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droyer\Desktop\"/>
    </mc:Choice>
  </mc:AlternateContent>
  <bookViews>
    <workbookView xWindow="1836" yWindow="0" windowWidth="7776" windowHeight="1956" activeTab="1"/>
  </bookViews>
  <sheets>
    <sheet name="notes &amp; references" sheetId="25" r:id="rId1"/>
    <sheet name="proxies" sheetId="24" r:id="rId2"/>
  </sheets>
  <calcPr calcId="162913"/>
</workbook>
</file>

<file path=xl/calcChain.xml><?xml version="1.0" encoding="utf-8"?>
<calcChain xmlns="http://schemas.openxmlformats.org/spreadsheetml/2006/main">
  <c r="Z283" i="24" l="1"/>
  <c r="Z284" i="24"/>
  <c r="Z285" i="24"/>
  <c r="Z286" i="24"/>
  <c r="Z287" i="24"/>
  <c r="Z288" i="24"/>
  <c r="Z289" i="24"/>
  <c r="Z290" i="24"/>
  <c r="Z291" i="24"/>
  <c r="Z292" i="24"/>
  <c r="Z293" i="24"/>
  <c r="Z294" i="24"/>
  <c r="Z295" i="24"/>
  <c r="Z296" i="24"/>
  <c r="Z297" i="24"/>
  <c r="Z298" i="24"/>
  <c r="Z299" i="24"/>
  <c r="Z300" i="24"/>
  <c r="Z301" i="24"/>
  <c r="Z302" i="24"/>
  <c r="Z303" i="24"/>
  <c r="Z304" i="24"/>
  <c r="Z305" i="24"/>
  <c r="Z306" i="24"/>
  <c r="Z307" i="24"/>
  <c r="Z308" i="24"/>
  <c r="Z309" i="24"/>
  <c r="Z310" i="24"/>
  <c r="Z311" i="24"/>
  <c r="Z312" i="24"/>
  <c r="Z313" i="24"/>
  <c r="Z314" i="24"/>
  <c r="Z315" i="24"/>
  <c r="Z316" i="24"/>
  <c r="Z317" i="24"/>
  <c r="Z318" i="24"/>
  <c r="Z319" i="24"/>
  <c r="Z320" i="24"/>
  <c r="Z321" i="24"/>
  <c r="Z322" i="24"/>
  <c r="Z323" i="24"/>
  <c r="Z324" i="24"/>
  <c r="Z325" i="24"/>
  <c r="Z326" i="24"/>
  <c r="Z327" i="24"/>
  <c r="Z328" i="24"/>
  <c r="Z329" i="24"/>
  <c r="Z330" i="24"/>
  <c r="Z331" i="24"/>
  <c r="Z332" i="24"/>
  <c r="Z333" i="24"/>
  <c r="Z334" i="24"/>
  <c r="Z335" i="24"/>
  <c r="Z336" i="24"/>
  <c r="Z337" i="24"/>
  <c r="Z338" i="24"/>
  <c r="Z339" i="24"/>
  <c r="Z340" i="24"/>
  <c r="Z341" i="24"/>
  <c r="Z342" i="24"/>
  <c r="Z343" i="24"/>
  <c r="Z344" i="24"/>
  <c r="Z345" i="24"/>
  <c r="Z346" i="24"/>
  <c r="Z347" i="24"/>
  <c r="Z348" i="24"/>
  <c r="Z349" i="24"/>
  <c r="Z350" i="24"/>
  <c r="Z351" i="24"/>
  <c r="Z352" i="24"/>
  <c r="Z353" i="24"/>
  <c r="Z354" i="24"/>
  <c r="Z355" i="24"/>
  <c r="Z356" i="24"/>
  <c r="Z357" i="24"/>
  <c r="Z358" i="24"/>
  <c r="Z359" i="24"/>
  <c r="Z360" i="24"/>
  <c r="Z361" i="24"/>
  <c r="Z362" i="24"/>
  <c r="Z363" i="24"/>
  <c r="Z364" i="24"/>
  <c r="Z365" i="24"/>
  <c r="Z366" i="24"/>
  <c r="Z367" i="24"/>
  <c r="Z368" i="24"/>
  <c r="Z369" i="24"/>
  <c r="Z370" i="24"/>
  <c r="Z371" i="24"/>
  <c r="Z372" i="24"/>
  <c r="Z373" i="24"/>
  <c r="Z374" i="24"/>
  <c r="Z375" i="24"/>
  <c r="Z376" i="24"/>
  <c r="Z377" i="24"/>
  <c r="Z378" i="24"/>
  <c r="Z379" i="24"/>
  <c r="Z380" i="24"/>
  <c r="Z381" i="24"/>
  <c r="Z382" i="24"/>
  <c r="Z383" i="24"/>
  <c r="Z384" i="24"/>
  <c r="Z385" i="24"/>
  <c r="Z386" i="24"/>
  <c r="Z387" i="24"/>
  <c r="Z388" i="24"/>
  <c r="Z389" i="24"/>
  <c r="Z390" i="24"/>
  <c r="Z391" i="24"/>
  <c r="Z392" i="24"/>
  <c r="Z393" i="24"/>
  <c r="Z394" i="24"/>
  <c r="Z395" i="24"/>
  <c r="Z396" i="24"/>
  <c r="Z397" i="24"/>
  <c r="Z398" i="24"/>
  <c r="Z399" i="24"/>
  <c r="Z400" i="24"/>
  <c r="Z401" i="24"/>
  <c r="Z402" i="24"/>
  <c r="Z403" i="24"/>
  <c r="Z404" i="24"/>
  <c r="Z405" i="24"/>
  <c r="Z406" i="24"/>
  <c r="Z407" i="24"/>
  <c r="Z408" i="24"/>
  <c r="Z409" i="24"/>
  <c r="Z410" i="24"/>
  <c r="Z411" i="24"/>
  <c r="Z412" i="24"/>
  <c r="Z413" i="24"/>
  <c r="Z414" i="24"/>
  <c r="Z415" i="24"/>
  <c r="Z416" i="24"/>
  <c r="Z417" i="24"/>
  <c r="Z418" i="24"/>
  <c r="Z419" i="24"/>
  <c r="Z420" i="24"/>
  <c r="Z421" i="24"/>
  <c r="Z422" i="24"/>
  <c r="Z423" i="24"/>
  <c r="Z424" i="24"/>
  <c r="Z425" i="24"/>
  <c r="Z426" i="24"/>
  <c r="Z427" i="24"/>
  <c r="Z428" i="24"/>
  <c r="Z429" i="24"/>
  <c r="Z430" i="24"/>
  <c r="Z431" i="24"/>
  <c r="Z432" i="24"/>
  <c r="Z433" i="24"/>
  <c r="Z434" i="24"/>
  <c r="Z435" i="24"/>
  <c r="Z436" i="24"/>
  <c r="Z437" i="24"/>
  <c r="Z438" i="24"/>
  <c r="Z439" i="24"/>
  <c r="Z440" i="24"/>
  <c r="Z441" i="24"/>
  <c r="Z442" i="24"/>
  <c r="Z443" i="24"/>
  <c r="Z444" i="24"/>
  <c r="Z445" i="24"/>
  <c r="Z446" i="24"/>
  <c r="Z447" i="24"/>
  <c r="Z448" i="24"/>
  <c r="Z449" i="24"/>
  <c r="Z450" i="24"/>
  <c r="Z451" i="24"/>
  <c r="Z452" i="24"/>
  <c r="Z453" i="24"/>
  <c r="Z454" i="24"/>
  <c r="Z455" i="24"/>
  <c r="Z456" i="24"/>
  <c r="Z457" i="24"/>
  <c r="Z458" i="24"/>
  <c r="Z459" i="24"/>
  <c r="Z460" i="24"/>
  <c r="Z461" i="24"/>
  <c r="Z462" i="24"/>
  <c r="Z463" i="24"/>
  <c r="Z464" i="24"/>
  <c r="Z465" i="24"/>
  <c r="Z466" i="24"/>
  <c r="Z467" i="24"/>
  <c r="Z468" i="24"/>
  <c r="Z469" i="24"/>
  <c r="Z470" i="24"/>
  <c r="Z471" i="24"/>
  <c r="Z472" i="24"/>
  <c r="Z473" i="24"/>
  <c r="Z474" i="24"/>
  <c r="Z475" i="24"/>
  <c r="Z476" i="24"/>
  <c r="Z477" i="24"/>
  <c r="Z478" i="24"/>
  <c r="Z479" i="24"/>
  <c r="Z480" i="24"/>
  <c r="Z481" i="24"/>
  <c r="Z482" i="24"/>
  <c r="Z483" i="24"/>
  <c r="Z484" i="24"/>
  <c r="Z485" i="24"/>
  <c r="Z486" i="24"/>
  <c r="Z487" i="24"/>
  <c r="Z488" i="24"/>
  <c r="Z489" i="24"/>
  <c r="Z490" i="24"/>
  <c r="Z491" i="24"/>
  <c r="Z492" i="24"/>
  <c r="Z493" i="24"/>
  <c r="Z494" i="24"/>
  <c r="Z495" i="24"/>
  <c r="Z496" i="24"/>
  <c r="Z497" i="24"/>
  <c r="Z498" i="24"/>
  <c r="Z499" i="24"/>
  <c r="Z500" i="24"/>
  <c r="Z501" i="24"/>
  <c r="Z502" i="24"/>
  <c r="Z503" i="24"/>
  <c r="Z504" i="24"/>
  <c r="Z505" i="24"/>
  <c r="Z506" i="24"/>
  <c r="Z507" i="24"/>
  <c r="Z508" i="24"/>
  <c r="Z509" i="24"/>
  <c r="Z510" i="24"/>
  <c r="Z511" i="24"/>
  <c r="Z512" i="24"/>
  <c r="Z513" i="24"/>
  <c r="Z514" i="24"/>
  <c r="Z515" i="24"/>
  <c r="Z516" i="24"/>
  <c r="Z517" i="24"/>
  <c r="Z518" i="24"/>
  <c r="Z519" i="24"/>
  <c r="Z520" i="24"/>
  <c r="Z521" i="24"/>
  <c r="Z522" i="24"/>
  <c r="Z523" i="24"/>
  <c r="Z524" i="24"/>
  <c r="Z525" i="24"/>
  <c r="Z526" i="24"/>
  <c r="Z527" i="24"/>
  <c r="Z528" i="24"/>
  <c r="Z529" i="24"/>
  <c r="Z530" i="24"/>
  <c r="Z531" i="24"/>
  <c r="Z532" i="24"/>
  <c r="Z533" i="24"/>
  <c r="Z534" i="24"/>
  <c r="Z535" i="24"/>
  <c r="Z536" i="24"/>
  <c r="Z537" i="24"/>
  <c r="Z538" i="24"/>
  <c r="Z539" i="24"/>
  <c r="Z540" i="24"/>
  <c r="Z541" i="24"/>
  <c r="Z542" i="24"/>
  <c r="Z543" i="24"/>
  <c r="Z544" i="24"/>
  <c r="Z545" i="24"/>
  <c r="Z546" i="24"/>
  <c r="Z547" i="24"/>
  <c r="Z548" i="24"/>
  <c r="Z549" i="24"/>
  <c r="Z550" i="24"/>
  <c r="Z551" i="24"/>
  <c r="Z552" i="24"/>
  <c r="Z553" i="24"/>
  <c r="Z554" i="24"/>
  <c r="Z555" i="24"/>
  <c r="Z556" i="24"/>
  <c r="Z557" i="24"/>
  <c r="Z558" i="24"/>
  <c r="Z559" i="24"/>
  <c r="Z560" i="24"/>
  <c r="Z561" i="24"/>
  <c r="Z562" i="24"/>
  <c r="Z563" i="24"/>
  <c r="Z564" i="24"/>
  <c r="Z565" i="24"/>
  <c r="Z566" i="24"/>
  <c r="Z567" i="24"/>
  <c r="Z568" i="24"/>
  <c r="Z569" i="24"/>
  <c r="Z570" i="24"/>
  <c r="Z571" i="24"/>
  <c r="Z572" i="24"/>
  <c r="Z573" i="24"/>
  <c r="Z574" i="24"/>
  <c r="Z575" i="24"/>
  <c r="Z576" i="24"/>
  <c r="Z577" i="24"/>
  <c r="Z578" i="24"/>
  <c r="Z579" i="24"/>
  <c r="Z580" i="24"/>
  <c r="Z581" i="24"/>
  <c r="Z582" i="24"/>
  <c r="Z583" i="24"/>
  <c r="Z584" i="24"/>
  <c r="Z585" i="24"/>
  <c r="Z586" i="24"/>
  <c r="Z587" i="24"/>
  <c r="Z282" i="24"/>
  <c r="AA283" i="24"/>
  <c r="AA284" i="24"/>
  <c r="AA285" i="24"/>
  <c r="AA286" i="24"/>
  <c r="AA287" i="24"/>
  <c r="AA288" i="24"/>
  <c r="AA289" i="24"/>
  <c r="AA290" i="24"/>
  <c r="AA291" i="24"/>
  <c r="AA292" i="24"/>
  <c r="AA293" i="24"/>
  <c r="AA294" i="24"/>
  <c r="AA295" i="24"/>
  <c r="AA296" i="24"/>
  <c r="AA297" i="24"/>
  <c r="AA298" i="24"/>
  <c r="AA299" i="24"/>
  <c r="AA300" i="24"/>
  <c r="AA301" i="24"/>
  <c r="AA302" i="24"/>
  <c r="AA303" i="24"/>
  <c r="AA304" i="24"/>
  <c r="AA305" i="24"/>
  <c r="AA306" i="24"/>
  <c r="AA307" i="24"/>
  <c r="AA308" i="24"/>
  <c r="AA309" i="24"/>
  <c r="AA310" i="24"/>
  <c r="AA311" i="24"/>
  <c r="AA312" i="24"/>
  <c r="AA313" i="24"/>
  <c r="AA314" i="24"/>
  <c r="AA315" i="24"/>
  <c r="AA316" i="24"/>
  <c r="AA317" i="24"/>
  <c r="AA318" i="24"/>
  <c r="AA319" i="24"/>
  <c r="AA320" i="24"/>
  <c r="AA321" i="24"/>
  <c r="AA322" i="24"/>
  <c r="AA323" i="24"/>
  <c r="AA324" i="24"/>
  <c r="AA325" i="24"/>
  <c r="AA326" i="24"/>
  <c r="AA327" i="24"/>
  <c r="AA328" i="24"/>
  <c r="AA329" i="24"/>
  <c r="AA330" i="24"/>
  <c r="AA331" i="24"/>
  <c r="AA332" i="24"/>
  <c r="AA333" i="24"/>
  <c r="AA334" i="24"/>
  <c r="AA335" i="24"/>
  <c r="AA336" i="24"/>
  <c r="AA337" i="24"/>
  <c r="AA338" i="24"/>
  <c r="AA339" i="24"/>
  <c r="AA340" i="24"/>
  <c r="AA341" i="24"/>
  <c r="AA342" i="24"/>
  <c r="AA343" i="24"/>
  <c r="AA344" i="24"/>
  <c r="AA345" i="24"/>
  <c r="AA346" i="24"/>
  <c r="AA347" i="24"/>
  <c r="AA348" i="24"/>
  <c r="AA349" i="24"/>
  <c r="AA350" i="24"/>
  <c r="AA351" i="24"/>
  <c r="AA352" i="24"/>
  <c r="AA353" i="24"/>
  <c r="AA354" i="24"/>
  <c r="AA355" i="24"/>
  <c r="AA356" i="24"/>
  <c r="AA357" i="24"/>
  <c r="AA358" i="24"/>
  <c r="AA359" i="24"/>
  <c r="AA360" i="24"/>
  <c r="AA361" i="24"/>
  <c r="AA362" i="24"/>
  <c r="AA363" i="24"/>
  <c r="AA364" i="24"/>
  <c r="AA365" i="24"/>
  <c r="AA366" i="24"/>
  <c r="AA367" i="24"/>
  <c r="AA368" i="24"/>
  <c r="AA369" i="24"/>
  <c r="AA370" i="24"/>
  <c r="AA371" i="24"/>
  <c r="AA372" i="24"/>
  <c r="AA373" i="24"/>
  <c r="AA374" i="24"/>
  <c r="AA375" i="24"/>
  <c r="AA376" i="24"/>
  <c r="AA377" i="24"/>
  <c r="AA378" i="24"/>
  <c r="AA379" i="24"/>
  <c r="AA380" i="24"/>
  <c r="AA381" i="24"/>
  <c r="AA382" i="24"/>
  <c r="AA383" i="24"/>
  <c r="AA384" i="24"/>
  <c r="AA385" i="24"/>
  <c r="AA386" i="24"/>
  <c r="AA387" i="24"/>
  <c r="AA388" i="24"/>
  <c r="AA389" i="24"/>
  <c r="AA390" i="24"/>
  <c r="AA391" i="24"/>
  <c r="AA392" i="24"/>
  <c r="AA393" i="24"/>
  <c r="AA394" i="24"/>
  <c r="AA395" i="24"/>
  <c r="AA396" i="24"/>
  <c r="AA397" i="24"/>
  <c r="AA398" i="24"/>
  <c r="AA399" i="24"/>
  <c r="AA400" i="24"/>
  <c r="AA401" i="24"/>
  <c r="AA402" i="24"/>
  <c r="AA403" i="24"/>
  <c r="AA404" i="24"/>
  <c r="AA405" i="24"/>
  <c r="AA406" i="24"/>
  <c r="AA407" i="24"/>
  <c r="AA408" i="24"/>
  <c r="AA409" i="24"/>
  <c r="AA410" i="24"/>
  <c r="AA411" i="24"/>
  <c r="AA412" i="24"/>
  <c r="AA413" i="24"/>
  <c r="AA414" i="24"/>
  <c r="AA415" i="24"/>
  <c r="AA416" i="24"/>
  <c r="AA417" i="24"/>
  <c r="AA418" i="24"/>
  <c r="AA419" i="24"/>
  <c r="AA420" i="24"/>
  <c r="AA421" i="24"/>
  <c r="AA422" i="24"/>
  <c r="AA423" i="24"/>
  <c r="AA424" i="24"/>
  <c r="AA425" i="24"/>
  <c r="AA426" i="24"/>
  <c r="AA427" i="24"/>
  <c r="AA428" i="24"/>
  <c r="AA429" i="24"/>
  <c r="AA430" i="24"/>
  <c r="AA431" i="24"/>
  <c r="AA432" i="24"/>
  <c r="AA433" i="24"/>
  <c r="AA434" i="24"/>
  <c r="AA435" i="24"/>
  <c r="AA436" i="24"/>
  <c r="AA437" i="24"/>
  <c r="AA438" i="24"/>
  <c r="AA439" i="24"/>
  <c r="AA440" i="24"/>
  <c r="AA441" i="24"/>
  <c r="AA442" i="24"/>
  <c r="AA443" i="24"/>
  <c r="AA444" i="24"/>
  <c r="AA445" i="24"/>
  <c r="AA446" i="24"/>
  <c r="AA447" i="24"/>
  <c r="AA448" i="24"/>
  <c r="AA449" i="24"/>
  <c r="AA450" i="24"/>
  <c r="AA451" i="24"/>
  <c r="AA452" i="24"/>
  <c r="AA453" i="24"/>
  <c r="AA454" i="24"/>
  <c r="AA455" i="24"/>
  <c r="AA456" i="24"/>
  <c r="AA457" i="24"/>
  <c r="AA458" i="24"/>
  <c r="AA459" i="24"/>
  <c r="AA460" i="24"/>
  <c r="AA461" i="24"/>
  <c r="AA462" i="24"/>
  <c r="AA463" i="24"/>
  <c r="AA464" i="24"/>
  <c r="AA465" i="24"/>
  <c r="AA466" i="24"/>
  <c r="AA467" i="24"/>
  <c r="AA468" i="24"/>
  <c r="AA469" i="24"/>
  <c r="AA470" i="24"/>
  <c r="AA471" i="24"/>
  <c r="AA472" i="24"/>
  <c r="AA473" i="24"/>
  <c r="AA474" i="24"/>
  <c r="AA475" i="24"/>
  <c r="AA476" i="24"/>
  <c r="AA477" i="24"/>
  <c r="AA478" i="24"/>
  <c r="AA479" i="24"/>
  <c r="AA480" i="24"/>
  <c r="AA481" i="24"/>
  <c r="AA482" i="24"/>
  <c r="AA483" i="24"/>
  <c r="AA484" i="24"/>
  <c r="AA485" i="24"/>
  <c r="AA486" i="24"/>
  <c r="AA487" i="24"/>
  <c r="AA488" i="24"/>
  <c r="AA489" i="24"/>
  <c r="AA490" i="24"/>
  <c r="AA491" i="24"/>
  <c r="AA492" i="24"/>
  <c r="AA493" i="24"/>
  <c r="AA494" i="24"/>
  <c r="AA495" i="24"/>
  <c r="AA496" i="24"/>
  <c r="AA497" i="24"/>
  <c r="AA498" i="24"/>
  <c r="AA499" i="24"/>
  <c r="AA500" i="24"/>
  <c r="AA501" i="24"/>
  <c r="AA502" i="24"/>
  <c r="AA503" i="24"/>
  <c r="AA504" i="24"/>
  <c r="AA505" i="24"/>
  <c r="AA506" i="24"/>
  <c r="AA507" i="24"/>
  <c r="AA508" i="24"/>
  <c r="AA509" i="24"/>
  <c r="AA510" i="24"/>
  <c r="AA511" i="24"/>
  <c r="AA512" i="24"/>
  <c r="AA513" i="24"/>
  <c r="AA514" i="24"/>
  <c r="AA515" i="24"/>
  <c r="AA516" i="24"/>
  <c r="AA517" i="24"/>
  <c r="AA518" i="24"/>
  <c r="AA519" i="24"/>
  <c r="AA520" i="24"/>
  <c r="AA521" i="24"/>
  <c r="AA522" i="24"/>
  <c r="AA523" i="24"/>
  <c r="AA524" i="24"/>
  <c r="AA525" i="24"/>
  <c r="AA526" i="24"/>
  <c r="AA527" i="24"/>
  <c r="AA528" i="24"/>
  <c r="AA529" i="24"/>
  <c r="AA530" i="24"/>
  <c r="AA531" i="24"/>
  <c r="AA532" i="24"/>
  <c r="AA533" i="24"/>
  <c r="AA534" i="24"/>
  <c r="AA535" i="24"/>
  <c r="AA536" i="24"/>
  <c r="AA537" i="24"/>
  <c r="AA538" i="24"/>
  <c r="AA539" i="24"/>
  <c r="AA540" i="24"/>
  <c r="AA541" i="24"/>
  <c r="AA542" i="24"/>
  <c r="AA543" i="24"/>
  <c r="AA544" i="24"/>
  <c r="AA545" i="24"/>
  <c r="AA546" i="24"/>
  <c r="AA547" i="24"/>
  <c r="AA548" i="24"/>
  <c r="AA549" i="24"/>
  <c r="AA550" i="24"/>
  <c r="AA551" i="24"/>
  <c r="AA552" i="24"/>
  <c r="AA553" i="24"/>
  <c r="AA554" i="24"/>
  <c r="AA555" i="24"/>
  <c r="AA556" i="24"/>
  <c r="AA557" i="24"/>
  <c r="AA558" i="24"/>
  <c r="AA559" i="24"/>
  <c r="AA560" i="24"/>
  <c r="AA561" i="24"/>
  <c r="AA562" i="24"/>
  <c r="AA563" i="24"/>
  <c r="AA564" i="24"/>
  <c r="AA565" i="24"/>
  <c r="AA566" i="24"/>
  <c r="AA567" i="24"/>
  <c r="AA568" i="24"/>
  <c r="AA569" i="24"/>
  <c r="AA570" i="24"/>
  <c r="AA571" i="24"/>
  <c r="AA572" i="24"/>
  <c r="AA573" i="24"/>
  <c r="AA574" i="24"/>
  <c r="AA575" i="24"/>
  <c r="AA576" i="24"/>
  <c r="AA577" i="24"/>
  <c r="AA578" i="24"/>
  <c r="AA579" i="24"/>
  <c r="AA580" i="24"/>
  <c r="AA581" i="24"/>
  <c r="AA582" i="24"/>
  <c r="AA583" i="24"/>
  <c r="AA584" i="24"/>
  <c r="AA585" i="24"/>
  <c r="AA586" i="24"/>
  <c r="AA587" i="24"/>
  <c r="AA282" i="24"/>
  <c r="AK282" i="24"/>
  <c r="AL282" i="24"/>
  <c r="AM282" i="24"/>
  <c r="AO282" i="24"/>
  <c r="AP282" i="24"/>
  <c r="BF282" i="24"/>
  <c r="BG282" i="24"/>
  <c r="I740" i="24"/>
  <c r="H740" i="24"/>
  <c r="F740" i="24"/>
  <c r="I739" i="24"/>
  <c r="H739" i="24"/>
  <c r="F739" i="24"/>
  <c r="I738" i="24"/>
  <c r="H738" i="24"/>
  <c r="F738" i="24"/>
  <c r="I737" i="24"/>
  <c r="H737" i="24"/>
  <c r="F737" i="24"/>
  <c r="I736" i="24"/>
  <c r="H736" i="24"/>
  <c r="F736" i="24"/>
  <c r="I735" i="24"/>
  <c r="H735" i="24"/>
  <c r="F735" i="24"/>
  <c r="I734" i="24"/>
  <c r="H734" i="24"/>
  <c r="F734" i="24"/>
  <c r="I733" i="24"/>
  <c r="H733" i="24"/>
  <c r="F733" i="24"/>
  <c r="I732" i="24"/>
  <c r="H732" i="24"/>
  <c r="F732" i="24"/>
  <c r="I731" i="24"/>
  <c r="H731" i="24"/>
  <c r="F731" i="24"/>
  <c r="I730" i="24"/>
  <c r="H730" i="24"/>
  <c r="F730" i="24"/>
  <c r="I729" i="24"/>
  <c r="H729" i="24"/>
  <c r="F729" i="24"/>
  <c r="I728" i="24"/>
  <c r="H728" i="24"/>
  <c r="F728" i="24"/>
  <c r="I727" i="24"/>
  <c r="H727" i="24"/>
  <c r="F727" i="24"/>
  <c r="I726" i="24"/>
  <c r="H726" i="24"/>
  <c r="F726" i="24"/>
  <c r="I725" i="24"/>
  <c r="H725" i="24"/>
  <c r="F725" i="24"/>
  <c r="I724" i="24"/>
  <c r="H724" i="24"/>
  <c r="F724" i="24"/>
  <c r="I723" i="24"/>
  <c r="H723" i="24"/>
  <c r="F723" i="24"/>
  <c r="I722" i="24"/>
  <c r="H722" i="24"/>
  <c r="F722" i="24"/>
  <c r="I721" i="24"/>
  <c r="H721" i="24"/>
  <c r="F721" i="24"/>
  <c r="I720" i="24"/>
  <c r="H720" i="24"/>
  <c r="F720" i="24"/>
  <c r="I719" i="24"/>
  <c r="H719" i="24"/>
  <c r="F719" i="24"/>
  <c r="I718" i="24"/>
  <c r="H718" i="24"/>
  <c r="F718" i="24"/>
  <c r="I717" i="24"/>
  <c r="H717" i="24"/>
  <c r="F717" i="24"/>
  <c r="I716" i="24"/>
  <c r="H716" i="24"/>
  <c r="F716" i="24"/>
  <c r="I715" i="24"/>
  <c r="H715" i="24"/>
  <c r="F715" i="24"/>
  <c r="I714" i="24"/>
  <c r="H714" i="24"/>
  <c r="F714" i="24"/>
  <c r="E714" i="24"/>
  <c r="D714" i="24"/>
  <c r="I713" i="24"/>
  <c r="H713" i="24"/>
  <c r="F713" i="24"/>
  <c r="E713" i="24"/>
  <c r="D713" i="24"/>
  <c r="I712" i="24"/>
  <c r="H712" i="24"/>
  <c r="F712" i="24"/>
  <c r="E712" i="24"/>
  <c r="D712" i="24"/>
  <c r="I711" i="24"/>
  <c r="H711" i="24"/>
  <c r="F711" i="24"/>
  <c r="E711" i="24"/>
  <c r="D711" i="24"/>
  <c r="I710" i="24"/>
  <c r="H710" i="24"/>
  <c r="F710" i="24"/>
  <c r="E710" i="24"/>
  <c r="D710" i="24"/>
  <c r="I709" i="24"/>
  <c r="H709" i="24"/>
  <c r="F709" i="24"/>
  <c r="E709" i="24"/>
  <c r="D709" i="24"/>
  <c r="I708" i="24"/>
  <c r="H708" i="24"/>
  <c r="F708" i="24"/>
  <c r="E708" i="24"/>
  <c r="D708" i="24"/>
  <c r="I707" i="24"/>
  <c r="H707" i="24"/>
  <c r="F707" i="24"/>
  <c r="E707" i="24"/>
  <c r="D707" i="24"/>
  <c r="I706" i="24"/>
  <c r="H706" i="24"/>
  <c r="F706" i="24"/>
  <c r="E706" i="24"/>
  <c r="D706" i="24"/>
  <c r="L705" i="24"/>
  <c r="F705" i="24" s="1"/>
  <c r="I705" i="24"/>
  <c r="H705" i="24"/>
  <c r="E705" i="24"/>
  <c r="D705" i="24"/>
  <c r="I704" i="24"/>
  <c r="H704" i="24"/>
  <c r="F704" i="24"/>
  <c r="E704" i="24"/>
  <c r="D704" i="24"/>
  <c r="I703" i="24"/>
  <c r="H703" i="24"/>
  <c r="F703" i="24"/>
  <c r="E703" i="24"/>
  <c r="D703" i="24"/>
  <c r="I702" i="24"/>
  <c r="H702" i="24"/>
  <c r="F702" i="24"/>
  <c r="E702" i="24"/>
  <c r="D702" i="24"/>
  <c r="L701" i="24"/>
  <c r="F701" i="24" s="1"/>
  <c r="I701" i="24"/>
  <c r="H701" i="24"/>
  <c r="E701" i="24"/>
  <c r="D701" i="24"/>
  <c r="I700" i="24"/>
  <c r="H700" i="24"/>
  <c r="F700" i="24"/>
  <c r="E700" i="24"/>
  <c r="D700" i="24"/>
  <c r="I699" i="24"/>
  <c r="H699" i="24"/>
  <c r="F699" i="24"/>
  <c r="E699" i="24"/>
  <c r="D699" i="24"/>
  <c r="I698" i="24"/>
  <c r="H698" i="24"/>
  <c r="F698" i="24"/>
  <c r="E698" i="24"/>
  <c r="D698" i="24"/>
  <c r="L697" i="24"/>
  <c r="F697" i="24" s="1"/>
  <c r="I697" i="24"/>
  <c r="H697" i="24"/>
  <c r="E697" i="24"/>
  <c r="D697" i="24"/>
  <c r="L696" i="24"/>
  <c r="F696" i="24" s="1"/>
  <c r="I696" i="24"/>
  <c r="H696" i="24"/>
  <c r="E696" i="24"/>
  <c r="D696" i="24"/>
  <c r="I695" i="24"/>
  <c r="H695" i="24"/>
  <c r="F695" i="24"/>
  <c r="E695" i="24"/>
  <c r="D695" i="24"/>
  <c r="L694" i="24"/>
  <c r="F694" i="24" s="1"/>
  <c r="I694" i="24"/>
  <c r="H694" i="24"/>
  <c r="E694" i="24"/>
  <c r="D694" i="24"/>
  <c r="L693" i="24"/>
  <c r="F693" i="24" s="1"/>
  <c r="I693" i="24"/>
  <c r="H693" i="24"/>
  <c r="E693" i="24"/>
  <c r="D693" i="24"/>
  <c r="I692" i="24"/>
  <c r="H692" i="24"/>
  <c r="F692" i="24"/>
  <c r="E692" i="24"/>
  <c r="D692" i="24"/>
  <c r="L691" i="24"/>
  <c r="F691" i="24" s="1"/>
  <c r="I691" i="24"/>
  <c r="H691" i="24"/>
  <c r="E691" i="24"/>
  <c r="D691" i="24"/>
  <c r="L690" i="24"/>
  <c r="F690" i="24" s="1"/>
  <c r="I690" i="24"/>
  <c r="H690" i="24"/>
  <c r="E690" i="24"/>
  <c r="D690" i="24"/>
  <c r="M689" i="24"/>
  <c r="H689" i="24" s="1"/>
  <c r="L689" i="24"/>
  <c r="F689" i="24" s="1"/>
  <c r="I689" i="24"/>
  <c r="E689" i="24"/>
  <c r="D689" i="24"/>
  <c r="L688" i="24"/>
  <c r="F688" i="24" s="1"/>
  <c r="I688" i="24"/>
  <c r="H688" i="24"/>
  <c r="E688" i="24"/>
  <c r="D688" i="24"/>
  <c r="L687" i="24"/>
  <c r="F687" i="24" s="1"/>
  <c r="I687" i="24"/>
  <c r="H687" i="24"/>
  <c r="E687" i="24"/>
  <c r="D687" i="24"/>
  <c r="M686" i="24"/>
  <c r="H686" i="24" s="1"/>
  <c r="L686" i="24"/>
  <c r="F686" i="24" s="1"/>
  <c r="I686" i="24"/>
  <c r="E686" i="24"/>
  <c r="D686" i="24"/>
  <c r="I685" i="24"/>
  <c r="H685" i="24"/>
  <c r="F685" i="24" s="1"/>
  <c r="I684" i="24"/>
  <c r="F684" i="24" s="1"/>
  <c r="H684" i="24"/>
  <c r="I683" i="24"/>
  <c r="F683" i="24" s="1"/>
  <c r="H683" i="24"/>
  <c r="I682" i="24"/>
  <c r="H682" i="24"/>
  <c r="F682" i="24" s="1"/>
  <c r="P681" i="24"/>
  <c r="I681" i="24"/>
  <c r="H681" i="24"/>
  <c r="F681" i="24"/>
  <c r="P680" i="24"/>
  <c r="I680" i="24"/>
  <c r="H680" i="24"/>
  <c r="F680" i="24"/>
  <c r="P679" i="24"/>
  <c r="I679" i="24"/>
  <c r="H679" i="24"/>
  <c r="F679" i="24"/>
  <c r="P678" i="24"/>
  <c r="I678" i="24"/>
  <c r="H678" i="24"/>
  <c r="F678" i="24"/>
  <c r="P677" i="24"/>
  <c r="I677" i="24"/>
  <c r="H677" i="24"/>
  <c r="F677" i="24"/>
  <c r="P676" i="24"/>
  <c r="I676" i="24"/>
  <c r="H676" i="24"/>
  <c r="F676" i="24"/>
  <c r="P675" i="24"/>
  <c r="I675" i="24"/>
  <c r="H675" i="24"/>
  <c r="F675" i="24"/>
  <c r="P674" i="24"/>
  <c r="I674" i="24"/>
  <c r="H674" i="24"/>
  <c r="F674" i="24"/>
  <c r="P673" i="24"/>
  <c r="I673" i="24"/>
  <c r="H673" i="24"/>
  <c r="F673" i="24"/>
  <c r="P672" i="24"/>
  <c r="I672" i="24"/>
  <c r="H672" i="24"/>
  <c r="F672" i="24"/>
  <c r="P671" i="24"/>
  <c r="I671" i="24"/>
  <c r="H671" i="24"/>
  <c r="F671" i="24"/>
  <c r="P670" i="24"/>
  <c r="I670" i="24"/>
  <c r="H670" i="24"/>
  <c r="F670" i="24"/>
  <c r="P669" i="24"/>
  <c r="I669" i="24"/>
  <c r="H669" i="24"/>
  <c r="F669" i="24"/>
  <c r="P668" i="24"/>
  <c r="I668" i="24"/>
  <c r="H668" i="24"/>
  <c r="F668" i="24"/>
  <c r="P667" i="24"/>
  <c r="I667" i="24"/>
  <c r="H667" i="24"/>
  <c r="F667" i="24"/>
  <c r="P666" i="24"/>
  <c r="I666" i="24"/>
  <c r="H666" i="24"/>
  <c r="F666" i="24"/>
  <c r="P665" i="24"/>
  <c r="I665" i="24"/>
  <c r="H665" i="24"/>
  <c r="F665" i="24"/>
  <c r="P664" i="24"/>
  <c r="I664" i="24"/>
  <c r="H664" i="24"/>
  <c r="F664" i="24"/>
  <c r="P663" i="24"/>
  <c r="I663" i="24"/>
  <c r="H663" i="24"/>
  <c r="F663" i="24"/>
  <c r="P662" i="24"/>
  <c r="I662" i="24"/>
  <c r="H662" i="24"/>
  <c r="F662" i="24"/>
  <c r="P661" i="24"/>
  <c r="I661" i="24"/>
  <c r="H661" i="24"/>
  <c r="F661" i="24"/>
  <c r="P660" i="24"/>
  <c r="I660" i="24"/>
  <c r="H660" i="24"/>
  <c r="F660" i="24"/>
  <c r="P659" i="24"/>
  <c r="I659" i="24"/>
  <c r="H659" i="24"/>
  <c r="F659" i="24"/>
  <c r="P658" i="24"/>
  <c r="I658" i="24"/>
  <c r="H658" i="24"/>
  <c r="F658" i="24"/>
  <c r="P657" i="24"/>
  <c r="I657" i="24"/>
  <c r="H657" i="24"/>
  <c r="F657" i="24"/>
  <c r="P656" i="24"/>
  <c r="I656" i="24"/>
  <c r="H656" i="24"/>
  <c r="F656" i="24"/>
  <c r="P655" i="24"/>
  <c r="I655" i="24"/>
  <c r="H655" i="24"/>
  <c r="F655" i="24"/>
  <c r="P654" i="24"/>
  <c r="I654" i="24"/>
  <c r="H654" i="24"/>
  <c r="F654" i="24"/>
  <c r="P653" i="24"/>
  <c r="I653" i="24"/>
  <c r="H653" i="24"/>
  <c r="F653" i="24"/>
  <c r="P652" i="24"/>
  <c r="I652" i="24"/>
  <c r="H652" i="24"/>
  <c r="F652" i="24"/>
  <c r="P651" i="24"/>
  <c r="I651" i="24"/>
  <c r="H651" i="24"/>
  <c r="F651" i="24"/>
  <c r="P650" i="24"/>
  <c r="I650" i="24"/>
  <c r="H650" i="24"/>
  <c r="F650" i="24"/>
  <c r="P649" i="24"/>
  <c r="I649" i="24"/>
  <c r="H649" i="24"/>
  <c r="F649" i="24"/>
  <c r="P648" i="24"/>
  <c r="I648" i="24"/>
  <c r="H648" i="24"/>
  <c r="F648" i="24"/>
  <c r="P647" i="24"/>
  <c r="I647" i="24"/>
  <c r="H647" i="24"/>
  <c r="F647" i="24"/>
  <c r="P646" i="24"/>
  <c r="I646" i="24"/>
  <c r="H646" i="24"/>
  <c r="F646" i="24"/>
  <c r="P645" i="24"/>
  <c r="I645" i="24"/>
  <c r="H645" i="24"/>
  <c r="F645" i="24"/>
  <c r="P644" i="24"/>
  <c r="I644" i="24"/>
  <c r="H644" i="24"/>
  <c r="F644" i="24"/>
  <c r="P643" i="24"/>
  <c r="I643" i="24"/>
  <c r="H643" i="24"/>
  <c r="F643" i="24"/>
  <c r="P642" i="24"/>
  <c r="I642" i="24"/>
  <c r="H642" i="24"/>
  <c r="F642" i="24"/>
  <c r="P641" i="24"/>
  <c r="I641" i="24"/>
  <c r="H641" i="24"/>
  <c r="F641" i="24"/>
  <c r="P640" i="24"/>
  <c r="I640" i="24"/>
  <c r="H640" i="24"/>
  <c r="F640" i="24"/>
  <c r="P639" i="24"/>
  <c r="I639" i="24"/>
  <c r="H639" i="24"/>
  <c r="F639" i="24"/>
  <c r="P638" i="24"/>
  <c r="I638" i="24"/>
  <c r="H638" i="24"/>
  <c r="F638" i="24"/>
  <c r="P637" i="24"/>
  <c r="I637" i="24"/>
  <c r="H637" i="24"/>
  <c r="F637" i="24"/>
  <c r="P636" i="24"/>
  <c r="I636" i="24"/>
  <c r="H636" i="24"/>
  <c r="F636" i="24"/>
  <c r="P635" i="24"/>
  <c r="I635" i="24"/>
  <c r="H635" i="24"/>
  <c r="F635" i="24"/>
  <c r="P634" i="24"/>
  <c r="I634" i="24"/>
  <c r="H634" i="24"/>
  <c r="F634" i="24"/>
  <c r="P633" i="24"/>
  <c r="I633" i="24"/>
  <c r="H633" i="24"/>
  <c r="F633" i="24"/>
  <c r="P632" i="24"/>
  <c r="I632" i="24"/>
  <c r="H632" i="24"/>
  <c r="F632" i="24"/>
  <c r="P631" i="24"/>
  <c r="I631" i="24"/>
  <c r="H631" i="24"/>
  <c r="F631" i="24"/>
  <c r="P630" i="24"/>
  <c r="I630" i="24"/>
  <c r="H630" i="24"/>
  <c r="F630" i="24"/>
  <c r="P629" i="24"/>
  <c r="I629" i="24"/>
  <c r="H629" i="24"/>
  <c r="F629" i="24"/>
  <c r="P628" i="24"/>
  <c r="I628" i="24"/>
  <c r="H628" i="24"/>
  <c r="F628" i="24"/>
  <c r="P627" i="24"/>
  <c r="I627" i="24"/>
  <c r="H627" i="24"/>
  <c r="F627" i="24"/>
  <c r="P626" i="24"/>
  <c r="I626" i="24"/>
  <c r="H626" i="24"/>
  <c r="F626" i="24"/>
  <c r="P625" i="24"/>
  <c r="I625" i="24"/>
  <c r="H625" i="24"/>
  <c r="F625" i="24"/>
  <c r="P624" i="24"/>
  <c r="I624" i="24"/>
  <c r="H624" i="24"/>
  <c r="F624" i="24"/>
  <c r="P623" i="24"/>
  <c r="I623" i="24"/>
  <c r="H623" i="24"/>
  <c r="F623" i="24"/>
  <c r="P622" i="24"/>
  <c r="I622" i="24"/>
  <c r="H622" i="24"/>
  <c r="F622" i="24"/>
  <c r="P621" i="24"/>
  <c r="I621" i="24"/>
  <c r="H621" i="24"/>
  <c r="F621" i="24"/>
  <c r="P620" i="24"/>
  <c r="I620" i="24"/>
  <c r="H620" i="24"/>
  <c r="F620" i="24"/>
  <c r="P619" i="24"/>
  <c r="I619" i="24"/>
  <c r="H619" i="24"/>
  <c r="F619" i="24"/>
  <c r="P618" i="24"/>
  <c r="I618" i="24"/>
  <c r="H618" i="24"/>
  <c r="F618" i="24"/>
  <c r="P617" i="24"/>
  <c r="I617" i="24"/>
  <c r="H617" i="24"/>
  <c r="F617" i="24"/>
  <c r="P616" i="24"/>
  <c r="I616" i="24"/>
  <c r="H616" i="24"/>
  <c r="F616" i="24"/>
  <c r="P615" i="24"/>
  <c r="I615" i="24"/>
  <c r="H615" i="24"/>
  <c r="F615" i="24"/>
  <c r="P614" i="24"/>
  <c r="I614" i="24"/>
  <c r="H614" i="24"/>
  <c r="F614" i="24"/>
  <c r="P613" i="24"/>
  <c r="I613" i="24"/>
  <c r="H613" i="24"/>
  <c r="F613" i="24"/>
  <c r="I612" i="24"/>
  <c r="H612" i="24"/>
  <c r="F612" i="24"/>
  <c r="E612" i="24"/>
  <c r="D612" i="24"/>
  <c r="I611" i="24"/>
  <c r="H611" i="24"/>
  <c r="F611" i="24"/>
  <c r="E611" i="24"/>
  <c r="D611" i="24"/>
  <c r="I610" i="24"/>
  <c r="H610" i="24"/>
  <c r="F610" i="24"/>
  <c r="E610" i="24"/>
  <c r="D610" i="24"/>
  <c r="I609" i="24"/>
  <c r="H609" i="24"/>
  <c r="F609" i="24"/>
  <c r="E609" i="24"/>
  <c r="D609" i="24"/>
  <c r="F608" i="24"/>
  <c r="F607" i="24"/>
  <c r="F606" i="24"/>
  <c r="F605" i="24"/>
  <c r="F604" i="24"/>
  <c r="F603" i="24"/>
  <c r="F602" i="24"/>
  <c r="F601" i="24"/>
  <c r="F600" i="24"/>
  <c r="F599" i="24"/>
  <c r="F598" i="24"/>
  <c r="I597" i="24"/>
  <c r="H597" i="24"/>
  <c r="F597" i="24"/>
  <c r="E597" i="24"/>
  <c r="D597" i="24"/>
  <c r="F596" i="24"/>
  <c r="E596" i="24"/>
  <c r="D596" i="24"/>
  <c r="I595" i="24"/>
  <c r="H595" i="24"/>
  <c r="F595" i="24"/>
  <c r="E595" i="24"/>
  <c r="D595" i="24"/>
  <c r="I594" i="24"/>
  <c r="H594" i="24"/>
  <c r="F594" i="24"/>
  <c r="E594" i="24"/>
  <c r="D594" i="24"/>
  <c r="F593" i="24"/>
  <c r="F592" i="24"/>
  <c r="I591" i="24"/>
  <c r="H591" i="24"/>
  <c r="F591" i="24"/>
  <c r="E591" i="24"/>
  <c r="D591" i="24"/>
  <c r="I590" i="24"/>
  <c r="H590" i="24"/>
  <c r="F590" i="24"/>
  <c r="E590" i="24"/>
  <c r="D590" i="24"/>
  <c r="I589" i="24"/>
  <c r="H589" i="24"/>
  <c r="F589" i="24"/>
  <c r="E589" i="24"/>
  <c r="D589" i="24"/>
  <c r="I588" i="24"/>
  <c r="H588" i="24"/>
  <c r="F588" i="24"/>
  <c r="E588" i="24"/>
  <c r="D588" i="24"/>
  <c r="I587" i="24"/>
  <c r="H587" i="24"/>
  <c r="F587" i="24"/>
  <c r="E587" i="24"/>
  <c r="D587" i="24"/>
  <c r="I586" i="24"/>
  <c r="H586" i="24"/>
  <c r="F586" i="24"/>
  <c r="E586" i="24"/>
  <c r="D586" i="24"/>
  <c r="F585" i="24"/>
  <c r="F584" i="24"/>
  <c r="I583" i="24"/>
  <c r="H583" i="24"/>
  <c r="F583" i="24"/>
  <c r="E583" i="24"/>
  <c r="D583" i="24"/>
  <c r="I582" i="24"/>
  <c r="H582" i="24"/>
  <c r="F582" i="24"/>
  <c r="E582" i="24"/>
  <c r="D582" i="24"/>
  <c r="I581" i="24"/>
  <c r="H581" i="24"/>
  <c r="F581" i="24"/>
  <c r="E581" i="24"/>
  <c r="D581" i="24"/>
  <c r="I580" i="24"/>
  <c r="H580" i="24"/>
  <c r="F580" i="24"/>
  <c r="E580" i="24"/>
  <c r="D580" i="24"/>
  <c r="I579" i="24"/>
  <c r="H579" i="24"/>
  <c r="F579" i="24"/>
  <c r="E579" i="24"/>
  <c r="D579" i="24"/>
  <c r="I578" i="24"/>
  <c r="H578" i="24"/>
  <c r="F578" i="24"/>
  <c r="E578" i="24"/>
  <c r="D578" i="24"/>
  <c r="I577" i="24"/>
  <c r="H577" i="24"/>
  <c r="F577" i="24"/>
  <c r="E577" i="24"/>
  <c r="D577" i="24"/>
  <c r="I576" i="24"/>
  <c r="H576" i="24"/>
  <c r="F576" i="24"/>
  <c r="E576" i="24"/>
  <c r="D576" i="24"/>
  <c r="I575" i="24"/>
  <c r="H575" i="24"/>
  <c r="F575" i="24"/>
  <c r="E575" i="24"/>
  <c r="D575" i="24"/>
  <c r="F574" i="24"/>
  <c r="F573" i="24"/>
  <c r="F572" i="24"/>
  <c r="F571" i="24"/>
  <c r="I570" i="24"/>
  <c r="H570" i="24"/>
  <c r="F570" i="24"/>
  <c r="E570" i="24"/>
  <c r="D570" i="24"/>
  <c r="I569" i="24"/>
  <c r="H569" i="24"/>
  <c r="F569" i="24"/>
  <c r="E569" i="24"/>
  <c r="D569" i="24"/>
  <c r="I568" i="24"/>
  <c r="H568" i="24"/>
  <c r="F568" i="24"/>
  <c r="E568" i="24"/>
  <c r="D568" i="24"/>
  <c r="I567" i="24"/>
  <c r="H567" i="24"/>
  <c r="F567" i="24"/>
  <c r="E567" i="24"/>
  <c r="D567" i="24"/>
  <c r="F566" i="24"/>
  <c r="E566" i="24"/>
  <c r="D566" i="24"/>
  <c r="I565" i="24"/>
  <c r="H565" i="24"/>
  <c r="F565" i="24"/>
  <c r="E565" i="24"/>
  <c r="D565" i="24"/>
  <c r="I564" i="24"/>
  <c r="H564" i="24"/>
  <c r="F564" i="24"/>
  <c r="E564" i="24"/>
  <c r="D564" i="24"/>
  <c r="I563" i="24"/>
  <c r="H563" i="24"/>
  <c r="F563" i="24"/>
  <c r="E563" i="24"/>
  <c r="D563" i="24"/>
  <c r="F562" i="24"/>
  <c r="F561" i="24"/>
  <c r="I560" i="24"/>
  <c r="H560" i="24"/>
  <c r="F560" i="24"/>
  <c r="E560" i="24"/>
  <c r="D560" i="24"/>
  <c r="I559" i="24"/>
  <c r="H559" i="24"/>
  <c r="F559" i="24"/>
  <c r="E559" i="24"/>
  <c r="D559" i="24"/>
  <c r="I558" i="24"/>
  <c r="H558" i="24"/>
  <c r="F558" i="24"/>
  <c r="E558" i="24"/>
  <c r="D558" i="24"/>
  <c r="F557" i="24"/>
  <c r="F556" i="24"/>
  <c r="I555" i="24"/>
  <c r="H555" i="24"/>
  <c r="F555" i="24"/>
  <c r="E555" i="24"/>
  <c r="D555" i="24"/>
  <c r="F554" i="24"/>
  <c r="F553" i="24"/>
  <c r="F552" i="24"/>
  <c r="F551" i="24"/>
  <c r="I550" i="24"/>
  <c r="H550" i="24"/>
  <c r="F550" i="24"/>
  <c r="E550" i="24"/>
  <c r="D550" i="24"/>
  <c r="I549" i="24"/>
  <c r="H549" i="24"/>
  <c r="F549" i="24"/>
  <c r="E549" i="24"/>
  <c r="D549" i="24"/>
  <c r="I548" i="24"/>
  <c r="H548" i="24"/>
  <c r="F548" i="24"/>
  <c r="E548" i="24"/>
  <c r="D548" i="24"/>
  <c r="I547" i="24"/>
  <c r="H547" i="24"/>
  <c r="F547" i="24"/>
  <c r="E547" i="24"/>
  <c r="D547" i="24"/>
  <c r="F546" i="24"/>
  <c r="E546" i="24"/>
  <c r="D546" i="24"/>
  <c r="I545" i="24"/>
  <c r="H545" i="24"/>
  <c r="F545" i="24"/>
  <c r="E545" i="24"/>
  <c r="D545" i="24"/>
  <c r="I544" i="24"/>
  <c r="H544" i="24"/>
  <c r="F544" i="24"/>
  <c r="E544" i="24"/>
  <c r="D544" i="24"/>
  <c r="I543" i="24"/>
  <c r="H543" i="24"/>
  <c r="F543" i="24"/>
  <c r="E543" i="24"/>
  <c r="D543" i="24"/>
  <c r="I542" i="24"/>
  <c r="H542" i="24"/>
  <c r="F542" i="24"/>
  <c r="E542" i="24"/>
  <c r="D542" i="24"/>
  <c r="I541" i="24"/>
  <c r="H541" i="24"/>
  <c r="F541" i="24"/>
  <c r="E541" i="24"/>
  <c r="D541" i="24"/>
  <c r="I540" i="24"/>
  <c r="H540" i="24"/>
  <c r="F540" i="24"/>
  <c r="E540" i="24"/>
  <c r="D540" i="24"/>
  <c r="I539" i="24"/>
  <c r="H539" i="24"/>
  <c r="F539" i="24"/>
  <c r="E539" i="24"/>
  <c r="D539" i="24"/>
  <c r="F538" i="24"/>
  <c r="E538" i="24"/>
  <c r="D538" i="24"/>
  <c r="I537" i="24"/>
  <c r="H537" i="24"/>
  <c r="F537" i="24"/>
  <c r="E537" i="24"/>
  <c r="D537" i="24"/>
  <c r="I536" i="24"/>
  <c r="H536" i="24"/>
  <c r="F536" i="24"/>
  <c r="E536" i="24"/>
  <c r="D536" i="24"/>
  <c r="I535" i="24"/>
  <c r="H535" i="24"/>
  <c r="F535" i="24"/>
  <c r="E535" i="24"/>
  <c r="D535" i="24"/>
  <c r="I534" i="24"/>
  <c r="H534" i="24"/>
  <c r="F534" i="24"/>
  <c r="E534" i="24"/>
  <c r="D534" i="24"/>
  <c r="I533" i="24"/>
  <c r="H533" i="24"/>
  <c r="F533" i="24"/>
  <c r="E533" i="24"/>
  <c r="D533" i="24"/>
  <c r="I532" i="24"/>
  <c r="H532" i="24"/>
  <c r="F532" i="24"/>
  <c r="E532" i="24"/>
  <c r="D532" i="24"/>
  <c r="I531" i="24"/>
  <c r="H531" i="24"/>
  <c r="F531" i="24"/>
  <c r="E531" i="24"/>
  <c r="D531" i="24"/>
  <c r="I530" i="24"/>
  <c r="H530" i="24"/>
  <c r="F530" i="24"/>
  <c r="E530" i="24"/>
  <c r="D530" i="24"/>
  <c r="I529" i="24"/>
  <c r="H529" i="24"/>
  <c r="F529" i="24"/>
  <c r="E529" i="24"/>
  <c r="D529" i="24"/>
  <c r="I528" i="24"/>
  <c r="H528" i="24"/>
  <c r="F528" i="24"/>
  <c r="E528" i="24"/>
  <c r="D528" i="24"/>
  <c r="I527" i="24"/>
  <c r="H527" i="24"/>
  <c r="F527" i="24"/>
  <c r="E527" i="24"/>
  <c r="D527" i="24"/>
  <c r="N526" i="24"/>
  <c r="I526" i="24" s="1"/>
  <c r="M526" i="24"/>
  <c r="H526" i="24" s="1"/>
  <c r="F526" i="24"/>
  <c r="P525" i="24"/>
  <c r="N525" i="24"/>
  <c r="M525" i="24"/>
  <c r="F525" i="24"/>
  <c r="I525" i="24" s="1"/>
  <c r="E525" i="24"/>
  <c r="D525" i="24"/>
  <c r="P524" i="24"/>
  <c r="F524" i="24" s="1"/>
  <c r="I524" i="24" s="1"/>
  <c r="N524" i="24"/>
  <c r="M524" i="24"/>
  <c r="E524" i="24"/>
  <c r="D524" i="24"/>
  <c r="P523" i="24"/>
  <c r="F523" i="24" s="1"/>
  <c r="N523" i="24"/>
  <c r="M523" i="24"/>
  <c r="C523" i="24"/>
  <c r="P522" i="24"/>
  <c r="F522" i="24" s="1"/>
  <c r="I522" i="24" s="1"/>
  <c r="N522" i="24"/>
  <c r="M522" i="24"/>
  <c r="C522" i="24"/>
  <c r="P521" i="24"/>
  <c r="F521" i="24" s="1"/>
  <c r="H521" i="24" s="1"/>
  <c r="N521" i="24"/>
  <c r="M521" i="24"/>
  <c r="C521" i="24"/>
  <c r="P520" i="24"/>
  <c r="F520" i="24"/>
  <c r="I520" i="24" s="1"/>
  <c r="P519" i="24"/>
  <c r="F519" i="24"/>
  <c r="I519" i="24" s="1"/>
  <c r="P518" i="24"/>
  <c r="F518" i="24"/>
  <c r="H518" i="24" s="1"/>
  <c r="P517" i="24"/>
  <c r="F517" i="24"/>
  <c r="I517" i="24" s="1"/>
  <c r="P516" i="24"/>
  <c r="F516" i="24"/>
  <c r="H516" i="24" s="1"/>
  <c r="P515" i="24"/>
  <c r="F515" i="24"/>
  <c r="I515" i="24" s="1"/>
  <c r="P514" i="24"/>
  <c r="F514" i="24"/>
  <c r="I514" i="24" s="1"/>
  <c r="P513" i="24"/>
  <c r="F513" i="24"/>
  <c r="I513" i="24" s="1"/>
  <c r="P512" i="24"/>
  <c r="F512" i="24"/>
  <c r="I512" i="24" s="1"/>
  <c r="P511" i="24"/>
  <c r="F511" i="24"/>
  <c r="I511" i="24" s="1"/>
  <c r="P510" i="24"/>
  <c r="F510" i="24"/>
  <c r="H510" i="24" s="1"/>
  <c r="P509" i="24"/>
  <c r="F509" i="24"/>
  <c r="I509" i="24" s="1"/>
  <c r="P508" i="24"/>
  <c r="H508" i="24"/>
  <c r="F508" i="24"/>
  <c r="I508" i="24" s="1"/>
  <c r="P507" i="24"/>
  <c r="F507" i="24"/>
  <c r="I507" i="24" s="1"/>
  <c r="BG506" i="24"/>
  <c r="BF506" i="24"/>
  <c r="P506" i="24"/>
  <c r="F506" i="24"/>
  <c r="I506" i="24" s="1"/>
  <c r="BG505" i="24"/>
  <c r="BF505" i="24"/>
  <c r="P505" i="24"/>
  <c r="I505" i="24"/>
  <c r="H505" i="24"/>
  <c r="F505" i="24"/>
  <c r="BG504" i="24"/>
  <c r="BF504" i="24"/>
  <c r="P504" i="24"/>
  <c r="F504" i="24"/>
  <c r="I504" i="24" s="1"/>
  <c r="BG503" i="24"/>
  <c r="BF503" i="24"/>
  <c r="P503" i="24"/>
  <c r="F503" i="24"/>
  <c r="I503" i="24" s="1"/>
  <c r="BG502" i="24"/>
  <c r="BF502" i="24"/>
  <c r="P502" i="24"/>
  <c r="F502" i="24"/>
  <c r="I502" i="24" s="1"/>
  <c r="BG501" i="24"/>
  <c r="BF501" i="24"/>
  <c r="P501" i="24"/>
  <c r="F501" i="24"/>
  <c r="I501" i="24" s="1"/>
  <c r="BG500" i="24"/>
  <c r="BF500" i="24"/>
  <c r="P500" i="24"/>
  <c r="F500" i="24"/>
  <c r="I500" i="24" s="1"/>
  <c r="BG499" i="24"/>
  <c r="BF499" i="24"/>
  <c r="P499" i="24"/>
  <c r="F499" i="24"/>
  <c r="I499" i="24" s="1"/>
  <c r="BG498" i="24"/>
  <c r="BF498" i="24"/>
  <c r="P498" i="24"/>
  <c r="F498" i="24"/>
  <c r="I498" i="24" s="1"/>
  <c r="BG497" i="24"/>
  <c r="BF497" i="24"/>
  <c r="P497" i="24"/>
  <c r="F497" i="24"/>
  <c r="I497" i="24" s="1"/>
  <c r="BG496" i="24"/>
  <c r="BF496" i="24"/>
  <c r="P496" i="24"/>
  <c r="F496" i="24"/>
  <c r="I496" i="24" s="1"/>
  <c r="BG495" i="24"/>
  <c r="BF495" i="24"/>
  <c r="P495" i="24"/>
  <c r="F495" i="24"/>
  <c r="I495" i="24" s="1"/>
  <c r="BG494" i="24"/>
  <c r="BF494" i="24"/>
  <c r="P494" i="24"/>
  <c r="H494" i="24"/>
  <c r="F494" i="24"/>
  <c r="I494" i="24" s="1"/>
  <c r="BG493" i="24"/>
  <c r="BF493" i="24"/>
  <c r="P493" i="24"/>
  <c r="F493" i="24"/>
  <c r="I493" i="24" s="1"/>
  <c r="BG492" i="24"/>
  <c r="BF492" i="24"/>
  <c r="P492" i="24"/>
  <c r="F492" i="24"/>
  <c r="I492" i="24" s="1"/>
  <c r="BG491" i="24"/>
  <c r="BF491" i="24"/>
  <c r="P491" i="24"/>
  <c r="F491" i="24"/>
  <c r="I491" i="24" s="1"/>
  <c r="BG490" i="24"/>
  <c r="BF490" i="24"/>
  <c r="P490" i="24"/>
  <c r="F490" i="24"/>
  <c r="I490" i="24" s="1"/>
  <c r="BG489" i="24"/>
  <c r="BF489" i="24"/>
  <c r="P489" i="24"/>
  <c r="F489" i="24"/>
  <c r="I489" i="24" s="1"/>
  <c r="BG488" i="24"/>
  <c r="BF488" i="24"/>
  <c r="P488" i="24"/>
  <c r="F488" i="24"/>
  <c r="I488" i="24" s="1"/>
  <c r="BG487" i="24"/>
  <c r="BF487" i="24"/>
  <c r="P487" i="24"/>
  <c r="F487" i="24"/>
  <c r="I487" i="24" s="1"/>
  <c r="BG486" i="24"/>
  <c r="BF486" i="24"/>
  <c r="P486" i="24"/>
  <c r="F486" i="24"/>
  <c r="I486" i="24" s="1"/>
  <c r="BG485" i="24"/>
  <c r="BF485" i="24"/>
  <c r="P485" i="24"/>
  <c r="I485" i="24"/>
  <c r="F485" i="24"/>
  <c r="H485" i="24" s="1"/>
  <c r="BG484" i="24"/>
  <c r="BF484" i="24"/>
  <c r="P484" i="24"/>
  <c r="F484" i="24"/>
  <c r="I484" i="24" s="1"/>
  <c r="BG483" i="24"/>
  <c r="BF483" i="24"/>
  <c r="P483" i="24"/>
  <c r="F483" i="24"/>
  <c r="I483" i="24" s="1"/>
  <c r="BG482" i="24"/>
  <c r="BF482" i="24"/>
  <c r="P482" i="24"/>
  <c r="F482" i="24"/>
  <c r="I482" i="24" s="1"/>
  <c r="BG481" i="24"/>
  <c r="BF481" i="24"/>
  <c r="P481" i="24"/>
  <c r="I481" i="24"/>
  <c r="H481" i="24"/>
  <c r="F481" i="24"/>
  <c r="BG480" i="24"/>
  <c r="BF480" i="24"/>
  <c r="P480" i="24"/>
  <c r="I480" i="24"/>
  <c r="H480" i="24"/>
  <c r="F480" i="24"/>
  <c r="BG479" i="24"/>
  <c r="BF479" i="24"/>
  <c r="P479" i="24"/>
  <c r="I479" i="24"/>
  <c r="H479" i="24"/>
  <c r="F479" i="24"/>
  <c r="BG478" i="24"/>
  <c r="BF478" i="24"/>
  <c r="P478" i="24"/>
  <c r="I478" i="24"/>
  <c r="H478" i="24"/>
  <c r="F478" i="24"/>
  <c r="BG477" i="24"/>
  <c r="BF477" i="24"/>
  <c r="P477" i="24"/>
  <c r="I477" i="24"/>
  <c r="H477" i="24"/>
  <c r="F477" i="24"/>
  <c r="BG476" i="24"/>
  <c r="BF476" i="24"/>
  <c r="P476" i="24"/>
  <c r="I476" i="24"/>
  <c r="H476" i="24"/>
  <c r="F476" i="24"/>
  <c r="BG475" i="24"/>
  <c r="BF475" i="24"/>
  <c r="P475" i="24"/>
  <c r="I475" i="24"/>
  <c r="H475" i="24"/>
  <c r="F475" i="24"/>
  <c r="BG474" i="24"/>
  <c r="BF474" i="24"/>
  <c r="P474" i="24"/>
  <c r="I474" i="24"/>
  <c r="H474" i="24"/>
  <c r="F474" i="24"/>
  <c r="BG473" i="24"/>
  <c r="BF473" i="24"/>
  <c r="P473" i="24"/>
  <c r="I473" i="24"/>
  <c r="H473" i="24"/>
  <c r="F473" i="24"/>
  <c r="BG472" i="24"/>
  <c r="BF472" i="24"/>
  <c r="P472" i="24"/>
  <c r="I472" i="24"/>
  <c r="H472" i="24"/>
  <c r="F472" i="24"/>
  <c r="BG471" i="24"/>
  <c r="BF471" i="24"/>
  <c r="P471" i="24"/>
  <c r="I471" i="24"/>
  <c r="H471" i="24"/>
  <c r="F471" i="24"/>
  <c r="BG470" i="24"/>
  <c r="BF470" i="24"/>
  <c r="P470" i="24"/>
  <c r="I470" i="24"/>
  <c r="H470" i="24"/>
  <c r="F470" i="24"/>
  <c r="BG469" i="24"/>
  <c r="BF469" i="24"/>
  <c r="P469" i="24"/>
  <c r="I469" i="24"/>
  <c r="H469" i="24"/>
  <c r="F469" i="24"/>
  <c r="BG468" i="24"/>
  <c r="BF468" i="24"/>
  <c r="P468" i="24"/>
  <c r="I468" i="24"/>
  <c r="H468" i="24"/>
  <c r="F468" i="24"/>
  <c r="BG467" i="24"/>
  <c r="BF467" i="24"/>
  <c r="P467" i="24"/>
  <c r="I467" i="24"/>
  <c r="H467" i="24"/>
  <c r="F467" i="24"/>
  <c r="BG466" i="24"/>
  <c r="BF466" i="24"/>
  <c r="P466" i="24"/>
  <c r="I466" i="24"/>
  <c r="H466" i="24"/>
  <c r="F466" i="24"/>
  <c r="BG465" i="24"/>
  <c r="BF465" i="24"/>
  <c r="P465" i="24"/>
  <c r="I465" i="24"/>
  <c r="H465" i="24"/>
  <c r="F465" i="24"/>
  <c r="BG464" i="24"/>
  <c r="BF464" i="24"/>
  <c r="P464" i="24"/>
  <c r="I464" i="24"/>
  <c r="H464" i="24"/>
  <c r="F464" i="24"/>
  <c r="BG463" i="24"/>
  <c r="BF463" i="24"/>
  <c r="P463" i="24"/>
  <c r="I463" i="24"/>
  <c r="H463" i="24"/>
  <c r="F463" i="24"/>
  <c r="BG462" i="24"/>
  <c r="BF462" i="24"/>
  <c r="P462" i="24"/>
  <c r="I462" i="24"/>
  <c r="H462" i="24"/>
  <c r="F462" i="24"/>
  <c r="BG461" i="24"/>
  <c r="BF461" i="24"/>
  <c r="P461" i="24"/>
  <c r="I461" i="24"/>
  <c r="H461" i="24"/>
  <c r="F461" i="24"/>
  <c r="BG460" i="24"/>
  <c r="BF460" i="24"/>
  <c r="P460" i="24"/>
  <c r="I460" i="24"/>
  <c r="H460" i="24"/>
  <c r="F460" i="24"/>
  <c r="BG459" i="24"/>
  <c r="BF459" i="24"/>
  <c r="P459" i="24"/>
  <c r="I459" i="24"/>
  <c r="H459" i="24"/>
  <c r="F459" i="24"/>
  <c r="BG458" i="24"/>
  <c r="BF458" i="24"/>
  <c r="P458" i="24"/>
  <c r="I458" i="24"/>
  <c r="H458" i="24"/>
  <c r="F458" i="24"/>
  <c r="BG457" i="24"/>
  <c r="BF457" i="24"/>
  <c r="P457" i="24"/>
  <c r="I457" i="24"/>
  <c r="H457" i="24"/>
  <c r="F457" i="24"/>
  <c r="BG456" i="24"/>
  <c r="BF456" i="24"/>
  <c r="P456" i="24"/>
  <c r="I456" i="24"/>
  <c r="H456" i="24"/>
  <c r="F456" i="24"/>
  <c r="BG455" i="24"/>
  <c r="BF455" i="24"/>
  <c r="P455" i="24"/>
  <c r="I455" i="24"/>
  <c r="H455" i="24"/>
  <c r="F455" i="24"/>
  <c r="BG454" i="24"/>
  <c r="BF454" i="24"/>
  <c r="P454" i="24"/>
  <c r="I454" i="24"/>
  <c r="H454" i="24"/>
  <c r="F454" i="24"/>
  <c r="BG453" i="24"/>
  <c r="BF453" i="24"/>
  <c r="P453" i="24"/>
  <c r="I453" i="24"/>
  <c r="H453" i="24"/>
  <c r="F453" i="24"/>
  <c r="BG452" i="24"/>
  <c r="BF452" i="24"/>
  <c r="P452" i="24"/>
  <c r="I452" i="24"/>
  <c r="H452" i="24"/>
  <c r="F452" i="24"/>
  <c r="BG451" i="24"/>
  <c r="BF451" i="24"/>
  <c r="P451" i="24"/>
  <c r="I451" i="24"/>
  <c r="H451" i="24"/>
  <c r="F451" i="24"/>
  <c r="BG450" i="24"/>
  <c r="BF450" i="24"/>
  <c r="P450" i="24"/>
  <c r="I450" i="24"/>
  <c r="H450" i="24"/>
  <c r="F450" i="24"/>
  <c r="BG449" i="24"/>
  <c r="BF449" i="24"/>
  <c r="F449" i="24"/>
  <c r="I449" i="24" s="1"/>
  <c r="BG448" i="24"/>
  <c r="BF448" i="24"/>
  <c r="F448" i="24"/>
  <c r="I448" i="24" s="1"/>
  <c r="BG447" i="24"/>
  <c r="BF447" i="24"/>
  <c r="F447" i="24"/>
  <c r="BG446" i="24"/>
  <c r="BF446" i="24"/>
  <c r="F446" i="24"/>
  <c r="I446" i="24" s="1"/>
  <c r="BG445" i="24"/>
  <c r="BF445" i="24"/>
  <c r="F445" i="24"/>
  <c r="H445" i="24" s="1"/>
  <c r="BG444" i="24"/>
  <c r="BF444" i="24"/>
  <c r="F444" i="24"/>
  <c r="I444" i="24" s="1"/>
  <c r="BG443" i="24"/>
  <c r="BF443" i="24"/>
  <c r="F443" i="24"/>
  <c r="I443" i="24" s="1"/>
  <c r="BG442" i="24"/>
  <c r="BF442" i="24"/>
  <c r="F442" i="24"/>
  <c r="I442" i="24" s="1"/>
  <c r="BG441" i="24"/>
  <c r="BF441" i="24"/>
  <c r="I441" i="24"/>
  <c r="H441" i="24"/>
  <c r="F441" i="24"/>
  <c r="BG440" i="24"/>
  <c r="BF440" i="24"/>
  <c r="I440" i="24"/>
  <c r="H440" i="24"/>
  <c r="F440" i="24"/>
  <c r="BG439" i="24"/>
  <c r="BF439" i="24"/>
  <c r="I439" i="24"/>
  <c r="H439" i="24"/>
  <c r="F439" i="24"/>
  <c r="BG438" i="24"/>
  <c r="BF438" i="24"/>
  <c r="I438" i="24"/>
  <c r="H438" i="24"/>
  <c r="F438" i="24"/>
  <c r="BG437" i="24"/>
  <c r="BF437" i="24"/>
  <c r="I437" i="24"/>
  <c r="H437" i="24"/>
  <c r="F437" i="24"/>
  <c r="BG436" i="24"/>
  <c r="BF436" i="24"/>
  <c r="I436" i="24"/>
  <c r="H436" i="24"/>
  <c r="F436" i="24"/>
  <c r="BG435" i="24"/>
  <c r="BF435" i="24"/>
  <c r="I435" i="24"/>
  <c r="H435" i="24"/>
  <c r="F435" i="24"/>
  <c r="BG434" i="24"/>
  <c r="BF434" i="24"/>
  <c r="I434" i="24"/>
  <c r="H434" i="24"/>
  <c r="F434" i="24"/>
  <c r="BG433" i="24"/>
  <c r="BF433" i="24"/>
  <c r="I433" i="24"/>
  <c r="H433" i="24"/>
  <c r="F433" i="24"/>
  <c r="BG432" i="24"/>
  <c r="BF432" i="24"/>
  <c r="I432" i="24"/>
  <c r="H432" i="24"/>
  <c r="F432" i="24"/>
  <c r="BG431" i="24"/>
  <c r="BF431" i="24"/>
  <c r="I431" i="24"/>
  <c r="H431" i="24"/>
  <c r="F431" i="24"/>
  <c r="BG430" i="24"/>
  <c r="BF430" i="24"/>
  <c r="I430" i="24"/>
  <c r="H430" i="24"/>
  <c r="F430" i="24"/>
  <c r="BG429" i="24"/>
  <c r="BF429" i="24"/>
  <c r="I429" i="24"/>
  <c r="H429" i="24"/>
  <c r="F429" i="24"/>
  <c r="BG428" i="24"/>
  <c r="BF428" i="24"/>
  <c r="I428" i="24"/>
  <c r="H428" i="24"/>
  <c r="F428" i="24"/>
  <c r="BG427" i="24"/>
  <c r="BF427" i="24"/>
  <c r="I427" i="24"/>
  <c r="H427" i="24"/>
  <c r="F427" i="24"/>
  <c r="BG426" i="24"/>
  <c r="BF426" i="24"/>
  <c r="I426" i="24"/>
  <c r="H426" i="24"/>
  <c r="F426" i="24"/>
  <c r="BG425" i="24"/>
  <c r="BF425" i="24"/>
  <c r="I425" i="24"/>
  <c r="H425" i="24"/>
  <c r="F425" i="24"/>
  <c r="BG424" i="24"/>
  <c r="BF424" i="24"/>
  <c r="I424" i="24"/>
  <c r="H424" i="24"/>
  <c r="F424" i="24"/>
  <c r="BG423" i="24"/>
  <c r="BF423" i="24"/>
  <c r="I423" i="24"/>
  <c r="H423" i="24"/>
  <c r="F423" i="24"/>
  <c r="BG422" i="24"/>
  <c r="BF422" i="24"/>
  <c r="I422" i="24"/>
  <c r="H422" i="24"/>
  <c r="F422" i="24"/>
  <c r="BG421" i="24"/>
  <c r="BF421" i="24"/>
  <c r="I421" i="24"/>
  <c r="H421" i="24"/>
  <c r="F421" i="24"/>
  <c r="BG420" i="24"/>
  <c r="BF420" i="24"/>
  <c r="I420" i="24"/>
  <c r="H420" i="24"/>
  <c r="F420" i="24"/>
  <c r="BG419" i="24"/>
  <c r="BF419" i="24"/>
  <c r="I419" i="24"/>
  <c r="H419" i="24"/>
  <c r="F419" i="24"/>
  <c r="BG418" i="24"/>
  <c r="BF418" i="24"/>
  <c r="I418" i="24"/>
  <c r="H418" i="24"/>
  <c r="F418" i="24"/>
  <c r="BG417" i="24"/>
  <c r="BF417" i="24"/>
  <c r="I417" i="24"/>
  <c r="H417" i="24"/>
  <c r="F417" i="24"/>
  <c r="BG416" i="24"/>
  <c r="BF416" i="24"/>
  <c r="I416" i="24"/>
  <c r="H416" i="24"/>
  <c r="F416" i="24"/>
  <c r="BG415" i="24"/>
  <c r="BF415" i="24"/>
  <c r="I415" i="24"/>
  <c r="H415" i="24"/>
  <c r="F415" i="24"/>
  <c r="BG414" i="24"/>
  <c r="BF414" i="24"/>
  <c r="I414" i="24"/>
  <c r="H414" i="24"/>
  <c r="F414" i="24"/>
  <c r="BG413" i="24"/>
  <c r="BF413" i="24"/>
  <c r="I413" i="24"/>
  <c r="H413" i="24"/>
  <c r="F413" i="24"/>
  <c r="BG412" i="24"/>
  <c r="BF412" i="24"/>
  <c r="I412" i="24"/>
  <c r="H412" i="24"/>
  <c r="F412" i="24"/>
  <c r="BG411" i="24"/>
  <c r="BF411" i="24"/>
  <c r="I411" i="24"/>
  <c r="H411" i="24"/>
  <c r="F411" i="24"/>
  <c r="BG410" i="24"/>
  <c r="BF410" i="24"/>
  <c r="I410" i="24"/>
  <c r="H410" i="24"/>
  <c r="F410" i="24"/>
  <c r="BG409" i="24"/>
  <c r="BF409" i="24"/>
  <c r="I409" i="24"/>
  <c r="H409" i="24"/>
  <c r="F409" i="24"/>
  <c r="BG408" i="24"/>
  <c r="BF408" i="24"/>
  <c r="I408" i="24"/>
  <c r="H408" i="24"/>
  <c r="F408" i="24"/>
  <c r="BG407" i="24"/>
  <c r="BF407" i="24"/>
  <c r="I407" i="24"/>
  <c r="H407" i="24"/>
  <c r="F407" i="24"/>
  <c r="BG406" i="24"/>
  <c r="BF406" i="24"/>
  <c r="I406" i="24"/>
  <c r="H406" i="24"/>
  <c r="F406" i="24"/>
  <c r="BG405" i="24"/>
  <c r="BF405" i="24"/>
  <c r="I405" i="24"/>
  <c r="H405" i="24"/>
  <c r="F405" i="24"/>
  <c r="BG404" i="24"/>
  <c r="BF404" i="24"/>
  <c r="I404" i="24"/>
  <c r="H404" i="24"/>
  <c r="F404" i="24"/>
  <c r="BG403" i="24"/>
  <c r="BF403" i="24"/>
  <c r="I403" i="24"/>
  <c r="H403" i="24"/>
  <c r="F403" i="24"/>
  <c r="BG402" i="24"/>
  <c r="BF402" i="24"/>
  <c r="I402" i="24"/>
  <c r="H402" i="24"/>
  <c r="F402" i="24"/>
  <c r="BG401" i="24"/>
  <c r="BF401" i="24"/>
  <c r="I401" i="24"/>
  <c r="H401" i="24"/>
  <c r="F401" i="24"/>
  <c r="BG400" i="24"/>
  <c r="BF400" i="24"/>
  <c r="I400" i="24"/>
  <c r="H400" i="24"/>
  <c r="F400" i="24"/>
  <c r="BG399" i="24"/>
  <c r="BF399" i="24"/>
  <c r="I399" i="24"/>
  <c r="H399" i="24"/>
  <c r="F399" i="24"/>
  <c r="BG398" i="24"/>
  <c r="BF398" i="24"/>
  <c r="I398" i="24"/>
  <c r="H398" i="24"/>
  <c r="F398" i="24"/>
  <c r="BG397" i="24"/>
  <c r="BF397" i="24"/>
  <c r="I397" i="24"/>
  <c r="H397" i="24"/>
  <c r="F397" i="24"/>
  <c r="BG396" i="24"/>
  <c r="BF396" i="24"/>
  <c r="I396" i="24"/>
  <c r="H396" i="24"/>
  <c r="F396" i="24"/>
  <c r="BG395" i="24"/>
  <c r="BF395" i="24"/>
  <c r="I395" i="24"/>
  <c r="H395" i="24"/>
  <c r="F395" i="24"/>
  <c r="BG394" i="24"/>
  <c r="BF394" i="24"/>
  <c r="I394" i="24"/>
  <c r="H394" i="24"/>
  <c r="F394" i="24"/>
  <c r="BG393" i="24"/>
  <c r="BF393" i="24"/>
  <c r="I393" i="24"/>
  <c r="H393" i="24"/>
  <c r="F393" i="24"/>
  <c r="BG392" i="24"/>
  <c r="BF392" i="24"/>
  <c r="I392" i="24"/>
  <c r="H392" i="24"/>
  <c r="F392" i="24"/>
  <c r="BG391" i="24"/>
  <c r="BF391" i="24"/>
  <c r="I391" i="24"/>
  <c r="H391" i="24"/>
  <c r="F391" i="24"/>
  <c r="BG390" i="24"/>
  <c r="BF390" i="24"/>
  <c r="I390" i="24"/>
  <c r="H390" i="24"/>
  <c r="F390" i="24"/>
  <c r="BG389" i="24"/>
  <c r="BF389" i="24"/>
  <c r="I389" i="24"/>
  <c r="H389" i="24"/>
  <c r="F389" i="24"/>
  <c r="BG388" i="24"/>
  <c r="BF388" i="24"/>
  <c r="I388" i="24"/>
  <c r="H388" i="24"/>
  <c r="F388" i="24"/>
  <c r="BG387" i="24"/>
  <c r="BF387" i="24"/>
  <c r="I387" i="24"/>
  <c r="H387" i="24"/>
  <c r="F387" i="24"/>
  <c r="BG386" i="24"/>
  <c r="BF386" i="24"/>
  <c r="I386" i="24"/>
  <c r="H386" i="24"/>
  <c r="F386" i="24"/>
  <c r="BG385" i="24"/>
  <c r="BF385" i="24"/>
  <c r="I385" i="24"/>
  <c r="H385" i="24"/>
  <c r="F385" i="24"/>
  <c r="BG384" i="24"/>
  <c r="BF384" i="24"/>
  <c r="I384" i="24"/>
  <c r="H384" i="24"/>
  <c r="F384" i="24"/>
  <c r="BG383" i="24"/>
  <c r="BF383" i="24"/>
  <c r="AU383" i="24"/>
  <c r="AT383" i="24"/>
  <c r="AP383" i="24"/>
  <c r="AO383" i="24" s="1"/>
  <c r="AM383" i="24" s="1"/>
  <c r="AJ383" i="24"/>
  <c r="I383" i="24"/>
  <c r="H383" i="24"/>
  <c r="F383" i="24"/>
  <c r="BG382" i="24"/>
  <c r="BF382" i="24"/>
  <c r="AU382" i="24"/>
  <c r="AT382" i="24"/>
  <c r="AP382" i="24"/>
  <c r="AO382" i="24" s="1"/>
  <c r="AM382" i="24" s="1"/>
  <c r="AJ382" i="24"/>
  <c r="I382" i="24"/>
  <c r="H382" i="24"/>
  <c r="F382" i="24"/>
  <c r="BG381" i="24"/>
  <c r="BF381" i="24"/>
  <c r="AU381" i="24"/>
  <c r="AT381" i="24"/>
  <c r="AP381" i="24"/>
  <c r="AO381" i="24" s="1"/>
  <c r="AM381" i="24" s="1"/>
  <c r="AJ381" i="24"/>
  <c r="I381" i="24"/>
  <c r="H381" i="24"/>
  <c r="F381" i="24"/>
  <c r="BG380" i="24"/>
  <c r="BF380" i="24"/>
  <c r="AU380" i="24"/>
  <c r="AT380" i="24"/>
  <c r="AP380" i="24"/>
  <c r="AO380" i="24" s="1"/>
  <c r="AM380" i="24" s="1"/>
  <c r="AJ380" i="24"/>
  <c r="F380" i="24"/>
  <c r="I380" i="24" s="1"/>
  <c r="BG379" i="24"/>
  <c r="BF379" i="24"/>
  <c r="AU379" i="24"/>
  <c r="AT379" i="24"/>
  <c r="AP379" i="24"/>
  <c r="AO379" i="24" s="1"/>
  <c r="AM379" i="24" s="1"/>
  <c r="AJ379" i="24"/>
  <c r="F379" i="24"/>
  <c r="H379" i="24" s="1"/>
  <c r="BG378" i="24"/>
  <c r="BF378" i="24"/>
  <c r="AU378" i="24"/>
  <c r="AT378" i="24"/>
  <c r="AP378" i="24"/>
  <c r="AO378" i="24" s="1"/>
  <c r="AM378" i="24" s="1"/>
  <c r="AJ378" i="24"/>
  <c r="F378" i="24"/>
  <c r="I378" i="24" s="1"/>
  <c r="BG377" i="24"/>
  <c r="BF377" i="24"/>
  <c r="AU377" i="24"/>
  <c r="AP377" i="24" s="1"/>
  <c r="AT377" i="24"/>
  <c r="AO377" i="24" s="1"/>
  <c r="AS377" i="24"/>
  <c r="AM377" i="24" s="1"/>
  <c r="AL377" i="24"/>
  <c r="AK377" i="24"/>
  <c r="F377" i="24"/>
  <c r="H377" i="24" s="1"/>
  <c r="BG376" i="24"/>
  <c r="BF376" i="24"/>
  <c r="AU376" i="24"/>
  <c r="AP376" i="24" s="1"/>
  <c r="AT376" i="24"/>
  <c r="AO376" i="24" s="1"/>
  <c r="AS376" i="24"/>
  <c r="AM376" i="24" s="1"/>
  <c r="AL376" i="24"/>
  <c r="AK376" i="24"/>
  <c r="F376" i="24"/>
  <c r="I376" i="24" s="1"/>
  <c r="BG375" i="24"/>
  <c r="BF375" i="24"/>
  <c r="AP375" i="24"/>
  <c r="AO375" i="24"/>
  <c r="AM375" i="24"/>
  <c r="AL375" i="24"/>
  <c r="AK375" i="24"/>
  <c r="F375" i="24"/>
  <c r="I375" i="24" s="1"/>
  <c r="BG374" i="24"/>
  <c r="BF374" i="24"/>
  <c r="AU374" i="24"/>
  <c r="AP374" i="24" s="1"/>
  <c r="AT374" i="24"/>
  <c r="AO374" i="24" s="1"/>
  <c r="AS374" i="24"/>
  <c r="AM374" i="24" s="1"/>
  <c r="AL374" i="24"/>
  <c r="AK374" i="24"/>
  <c r="F374" i="24"/>
  <c r="I374" i="24" s="1"/>
  <c r="BG373" i="24"/>
  <c r="BF373" i="24"/>
  <c r="AP373" i="24"/>
  <c r="AO373" i="24"/>
  <c r="AM373" i="24"/>
  <c r="AL373" i="24"/>
  <c r="AK373" i="24"/>
  <c r="F373" i="24"/>
  <c r="BG372" i="24"/>
  <c r="BF372" i="24"/>
  <c r="AP372" i="24"/>
  <c r="AO372" i="24"/>
  <c r="AM372" i="24"/>
  <c r="AL372" i="24"/>
  <c r="AK372" i="24"/>
  <c r="F372" i="24"/>
  <c r="H372" i="24" s="1"/>
  <c r="BG371" i="24"/>
  <c r="BF371" i="24"/>
  <c r="AP371" i="24"/>
  <c r="AO371" i="24"/>
  <c r="AM371" i="24"/>
  <c r="AL371" i="24"/>
  <c r="AK371" i="24"/>
  <c r="F371" i="24"/>
  <c r="I371" i="24" s="1"/>
  <c r="BG370" i="24"/>
  <c r="BF370" i="24"/>
  <c r="AP370" i="24"/>
  <c r="AO370" i="24"/>
  <c r="AM370" i="24"/>
  <c r="F370" i="24"/>
  <c r="I370" i="24" s="1"/>
  <c r="BG369" i="24"/>
  <c r="BF369" i="24"/>
  <c r="AP369" i="24"/>
  <c r="AO369" i="24"/>
  <c r="AM369" i="24"/>
  <c r="F369" i="24"/>
  <c r="I369" i="24" s="1"/>
  <c r="BG368" i="24"/>
  <c r="BF368" i="24"/>
  <c r="AU368" i="24"/>
  <c r="AT368" i="24"/>
  <c r="AM368" i="24"/>
  <c r="AP368" i="24" s="1"/>
  <c r="AJ368" i="24"/>
  <c r="F368" i="24"/>
  <c r="H368" i="24" s="1"/>
  <c r="BG367" i="24"/>
  <c r="BF367" i="24"/>
  <c r="AU367" i="24"/>
  <c r="AT367" i="24"/>
  <c r="AM367" i="24"/>
  <c r="AP367" i="24" s="1"/>
  <c r="AL367" i="24"/>
  <c r="AK367" i="24"/>
  <c r="F367" i="24"/>
  <c r="I367" i="24" s="1"/>
  <c r="BG366" i="24"/>
  <c r="BF366" i="24"/>
  <c r="AU366" i="24"/>
  <c r="AT366" i="24"/>
  <c r="AM366" i="24"/>
  <c r="AO366" i="24" s="1"/>
  <c r="AJ366" i="24"/>
  <c r="F366" i="24"/>
  <c r="I366" i="24" s="1"/>
  <c r="BG365" i="24"/>
  <c r="BF365" i="24"/>
  <c r="AP365" i="24"/>
  <c r="AO365" i="24"/>
  <c r="AM365" i="24"/>
  <c r="AL365" i="24"/>
  <c r="AK365" i="24"/>
  <c r="F365" i="24"/>
  <c r="BG364" i="24"/>
  <c r="BF364" i="24"/>
  <c r="AU364" i="24"/>
  <c r="AP364" i="24" s="1"/>
  <c r="AT364" i="24"/>
  <c r="AO364" i="24" s="1"/>
  <c r="AM364" i="24"/>
  <c r="AJ364" i="24"/>
  <c r="F364" i="24"/>
  <c r="I364" i="24" s="1"/>
  <c r="BG363" i="24"/>
  <c r="BF363" i="24"/>
  <c r="AU363" i="24"/>
  <c r="AP363" i="24" s="1"/>
  <c r="AT363" i="24"/>
  <c r="AO363" i="24" s="1"/>
  <c r="AM363" i="24"/>
  <c r="AJ363" i="24"/>
  <c r="F363" i="24"/>
  <c r="I363" i="24" s="1"/>
  <c r="BG362" i="24"/>
  <c r="BF362" i="24"/>
  <c r="AU362" i="24"/>
  <c r="AP362" i="24" s="1"/>
  <c r="AT362" i="24"/>
  <c r="AO362" i="24" s="1"/>
  <c r="AM362" i="24"/>
  <c r="AJ362" i="24"/>
  <c r="F362" i="24"/>
  <c r="I362" i="24" s="1"/>
  <c r="BG361" i="24"/>
  <c r="BF361" i="24"/>
  <c r="AU361" i="24"/>
  <c r="AP361" i="24" s="1"/>
  <c r="AT361" i="24"/>
  <c r="AO361" i="24" s="1"/>
  <c r="AM361" i="24"/>
  <c r="AJ361" i="24"/>
  <c r="F361" i="24"/>
  <c r="H361" i="24" s="1"/>
  <c r="BG360" i="24"/>
  <c r="BF360" i="24"/>
  <c r="AU360" i="24"/>
  <c r="AP360" i="24" s="1"/>
  <c r="AT360" i="24"/>
  <c r="AO360" i="24" s="1"/>
  <c r="AM360" i="24"/>
  <c r="AJ360" i="24"/>
  <c r="F360" i="24"/>
  <c r="H360" i="24" s="1"/>
  <c r="BG359" i="24"/>
  <c r="BF359" i="24"/>
  <c r="AU359" i="24"/>
  <c r="AP359" i="24" s="1"/>
  <c r="AT359" i="24"/>
  <c r="AO359" i="24" s="1"/>
  <c r="AM359" i="24"/>
  <c r="AL359" i="24"/>
  <c r="AK359" i="24"/>
  <c r="F359" i="24"/>
  <c r="I359" i="24" s="1"/>
  <c r="BG358" i="24"/>
  <c r="BF358" i="24"/>
  <c r="AU358" i="24"/>
  <c r="AT358" i="24"/>
  <c r="AO358" i="24" s="1"/>
  <c r="AP358" i="24"/>
  <c r="AM358" i="24"/>
  <c r="AJ358" i="24"/>
  <c r="F358" i="24"/>
  <c r="I358" i="24" s="1"/>
  <c r="BG357" i="24"/>
  <c r="BF357" i="24"/>
  <c r="AP357" i="24"/>
  <c r="AO357" i="24"/>
  <c r="F357" i="24"/>
  <c r="I357" i="24" s="1"/>
  <c r="BG356" i="24"/>
  <c r="BF356" i="24"/>
  <c r="AP356" i="24"/>
  <c r="AO356" i="24"/>
  <c r="F356" i="24"/>
  <c r="H356" i="24" s="1"/>
  <c r="BG355" i="24"/>
  <c r="BF355" i="24"/>
  <c r="AP355" i="24"/>
  <c r="AO355" i="24"/>
  <c r="F355" i="24"/>
  <c r="I355" i="24" s="1"/>
  <c r="BG354" i="24"/>
  <c r="BF354" i="24"/>
  <c r="AP354" i="24"/>
  <c r="AO354" i="24"/>
  <c r="F354" i="24"/>
  <c r="H354" i="24" s="1"/>
  <c r="BG353" i="24"/>
  <c r="BF353" i="24"/>
  <c r="AP353" i="24"/>
  <c r="AO353" i="24"/>
  <c r="F353" i="24"/>
  <c r="I353" i="24" s="1"/>
  <c r="BG352" i="24"/>
  <c r="BF352" i="24"/>
  <c r="AO352" i="24"/>
  <c r="AP352" i="24" s="1"/>
  <c r="F352" i="24"/>
  <c r="BG351" i="24"/>
  <c r="BF351" i="24"/>
  <c r="AP351" i="24"/>
  <c r="AO351" i="24"/>
  <c r="F351" i="24"/>
  <c r="I351" i="24" s="1"/>
  <c r="BG350" i="24"/>
  <c r="BF350" i="24"/>
  <c r="AP350" i="24"/>
  <c r="AO350" i="24"/>
  <c r="F350" i="24"/>
  <c r="I350" i="24" s="1"/>
  <c r="BG349" i="24"/>
  <c r="BF349" i="24"/>
  <c r="AP349" i="24"/>
  <c r="AO349" i="24"/>
  <c r="F349" i="24"/>
  <c r="I349" i="24" s="1"/>
  <c r="BG348" i="24"/>
  <c r="BF348" i="24"/>
  <c r="AP348" i="24"/>
  <c r="AO348" i="24"/>
  <c r="F348" i="24"/>
  <c r="I348" i="24" s="1"/>
  <c r="BG347" i="24"/>
  <c r="BF347" i="24"/>
  <c r="AP347" i="24"/>
  <c r="AO347" i="24"/>
  <c r="F347" i="24"/>
  <c r="I347" i="24" s="1"/>
  <c r="BG346" i="24"/>
  <c r="BF346" i="24"/>
  <c r="AP346" i="24"/>
  <c r="AO346" i="24"/>
  <c r="F346" i="24"/>
  <c r="H346" i="24" s="1"/>
  <c r="BG345" i="24"/>
  <c r="BF345" i="24"/>
  <c r="AP345" i="24"/>
  <c r="AO345" i="24"/>
  <c r="F345" i="24"/>
  <c r="I345" i="24" s="1"/>
  <c r="BG344" i="24"/>
  <c r="BF344" i="24"/>
  <c r="AP344" i="24"/>
  <c r="AO344" i="24"/>
  <c r="F344" i="24"/>
  <c r="BG343" i="24"/>
  <c r="BF343" i="24"/>
  <c r="AM343" i="24"/>
  <c r="AU343" i="24" s="1"/>
  <c r="AP343" i="24" s="1"/>
  <c r="AJ343" i="24"/>
  <c r="F343" i="24"/>
  <c r="I343" i="24" s="1"/>
  <c r="BG342" i="24"/>
  <c r="BF342" i="24"/>
  <c r="AM342" i="24"/>
  <c r="AU342" i="24" s="1"/>
  <c r="AP342" i="24" s="1"/>
  <c r="AJ342" i="24"/>
  <c r="I342" i="24"/>
  <c r="H342" i="24"/>
  <c r="F342" i="24"/>
  <c r="BG341" i="24"/>
  <c r="BF341" i="24"/>
  <c r="AM341" i="24"/>
  <c r="AU341" i="24" s="1"/>
  <c r="AP341" i="24" s="1"/>
  <c r="AJ341" i="24"/>
  <c r="I341" i="24"/>
  <c r="H341" i="24"/>
  <c r="F341" i="24"/>
  <c r="BG340" i="24"/>
  <c r="BF340" i="24"/>
  <c r="AM340" i="24"/>
  <c r="AJ340" i="24"/>
  <c r="I340" i="24"/>
  <c r="H340" i="24"/>
  <c r="F340" i="24"/>
  <c r="BG339" i="24"/>
  <c r="BF339" i="24"/>
  <c r="AM339" i="24"/>
  <c r="AU339" i="24" s="1"/>
  <c r="AP339" i="24" s="1"/>
  <c r="AJ339" i="24"/>
  <c r="I339" i="24"/>
  <c r="H339" i="24"/>
  <c r="F339" i="24"/>
  <c r="BG338" i="24"/>
  <c r="BF338" i="24"/>
  <c r="AM338" i="24"/>
  <c r="AT338" i="24" s="1"/>
  <c r="AO338" i="24" s="1"/>
  <c r="AJ338" i="24"/>
  <c r="I338" i="24"/>
  <c r="H338" i="24"/>
  <c r="F338" i="24"/>
  <c r="BG337" i="24"/>
  <c r="BF337" i="24"/>
  <c r="AP337" i="24"/>
  <c r="AO337" i="24"/>
  <c r="AM337" i="24"/>
  <c r="I337" i="24"/>
  <c r="H337" i="24"/>
  <c r="F337" i="24"/>
  <c r="BG336" i="24"/>
  <c r="BF336" i="24"/>
  <c r="AP336" i="24"/>
  <c r="AO336" i="24"/>
  <c r="AM336" i="24"/>
  <c r="I336" i="24"/>
  <c r="H336" i="24"/>
  <c r="F336" i="24"/>
  <c r="BG335" i="24"/>
  <c r="BF335" i="24"/>
  <c r="AP335" i="24"/>
  <c r="AO335" i="24"/>
  <c r="AM335" i="24"/>
  <c r="I335" i="24"/>
  <c r="H335" i="24"/>
  <c r="F335" i="24"/>
  <c r="BG334" i="24"/>
  <c r="BF334" i="24"/>
  <c r="AU334" i="24"/>
  <c r="AP334" i="24" s="1"/>
  <c r="AT334" i="24"/>
  <c r="AO334" i="24" s="1"/>
  <c r="AM334" i="24"/>
  <c r="I334" i="24"/>
  <c r="H334" i="24"/>
  <c r="F334" i="24"/>
  <c r="BG333" i="24"/>
  <c r="BF333" i="24"/>
  <c r="AM333" i="24"/>
  <c r="AU333" i="24" s="1"/>
  <c r="AP333" i="24" s="1"/>
  <c r="I333" i="24"/>
  <c r="H333" i="24"/>
  <c r="F333" i="24"/>
  <c r="BG332" i="24"/>
  <c r="BF332" i="24"/>
  <c r="AM332" i="24"/>
  <c r="AU332" i="24" s="1"/>
  <c r="AP332" i="24" s="1"/>
  <c r="P332" i="24"/>
  <c r="L332" i="24"/>
  <c r="F332" i="24" s="1"/>
  <c r="C332" i="24"/>
  <c r="BG331" i="24"/>
  <c r="BF331" i="24"/>
  <c r="AP331" i="24"/>
  <c r="AO331" i="24"/>
  <c r="AM331" i="24"/>
  <c r="AL331" i="24"/>
  <c r="AK331" i="24"/>
  <c r="P331" i="24"/>
  <c r="L331" i="24"/>
  <c r="C331" i="24"/>
  <c r="BG330" i="24"/>
  <c r="BF330" i="24"/>
  <c r="AM330" i="24"/>
  <c r="AP330" i="24" s="1"/>
  <c r="AL330" i="24"/>
  <c r="AK330" i="24"/>
  <c r="P330" i="24"/>
  <c r="L330" i="24"/>
  <c r="C330" i="24"/>
  <c r="BG329" i="24"/>
  <c r="BF329" i="24"/>
  <c r="AM329" i="24"/>
  <c r="AO329" i="24" s="1"/>
  <c r="AL329" i="24"/>
  <c r="AK329" i="24"/>
  <c r="P329" i="24"/>
  <c r="F329" i="24" s="1"/>
  <c r="E329" i="24"/>
  <c r="D329" i="24"/>
  <c r="BG328" i="24"/>
  <c r="BF328" i="24"/>
  <c r="AU328" i="24"/>
  <c r="AP328" i="24" s="1"/>
  <c r="AT328" i="24"/>
  <c r="AO328" i="24" s="1"/>
  <c r="AM328" i="24" s="1"/>
  <c r="AJ328" i="24"/>
  <c r="P328" i="24"/>
  <c r="F328" i="24" s="1"/>
  <c r="E328" i="24"/>
  <c r="D328" i="24"/>
  <c r="BG327" i="24"/>
  <c r="BF327" i="24"/>
  <c r="AP327" i="24"/>
  <c r="AO327" i="24"/>
  <c r="AM327" i="24"/>
  <c r="AJ327" i="24"/>
  <c r="L327" i="24"/>
  <c r="F327" i="24" s="1"/>
  <c r="C327" i="24"/>
  <c r="BG326" i="24"/>
  <c r="BF326" i="24"/>
  <c r="AS326" i="24"/>
  <c r="AM326" i="24" s="1"/>
  <c r="AP326" i="24"/>
  <c r="AO326" i="24"/>
  <c r="AL326" i="24"/>
  <c r="AK326" i="24"/>
  <c r="E326" i="24"/>
  <c r="D326" i="24"/>
  <c r="BG325" i="24"/>
  <c r="BF325" i="24"/>
  <c r="AS325" i="24"/>
  <c r="AM325" i="24" s="1"/>
  <c r="AP325" i="24"/>
  <c r="AO325" i="24"/>
  <c r="AL325" i="24"/>
  <c r="AK325" i="24"/>
  <c r="E325" i="24"/>
  <c r="D325" i="24"/>
  <c r="BG324" i="24"/>
  <c r="BF324" i="24"/>
  <c r="AS324" i="24"/>
  <c r="AM324" i="24" s="1"/>
  <c r="AP324" i="24"/>
  <c r="AO324" i="24"/>
  <c r="AL324" i="24"/>
  <c r="AK324" i="24"/>
  <c r="E324" i="24"/>
  <c r="D324" i="24"/>
  <c r="BG323" i="24"/>
  <c r="BF323" i="24"/>
  <c r="AS323" i="24"/>
  <c r="AM323" i="24" s="1"/>
  <c r="AP323" i="24"/>
  <c r="AO323" i="24"/>
  <c r="AL323" i="24"/>
  <c r="AK323" i="24"/>
  <c r="E323" i="24"/>
  <c r="D323" i="24"/>
  <c r="BG322" i="24"/>
  <c r="BF322" i="24"/>
  <c r="AS322" i="24"/>
  <c r="AM322" i="24" s="1"/>
  <c r="AP322" i="24"/>
  <c r="AO322" i="24"/>
  <c r="AL322" i="24"/>
  <c r="AK322" i="24"/>
  <c r="E322" i="24"/>
  <c r="D322" i="24"/>
  <c r="BG321" i="24"/>
  <c r="BF321" i="24"/>
  <c r="AS321" i="24"/>
  <c r="AM321" i="24" s="1"/>
  <c r="AP321" i="24"/>
  <c r="AO321" i="24"/>
  <c r="AL321" i="24"/>
  <c r="AK321" i="24"/>
  <c r="O321" i="24"/>
  <c r="N321" i="24"/>
  <c r="M321" i="24"/>
  <c r="C321" i="24"/>
  <c r="BG320" i="24"/>
  <c r="BF320" i="24"/>
  <c r="AS320" i="24"/>
  <c r="AM320" i="24" s="1"/>
  <c r="AP320" i="24"/>
  <c r="AO320" i="24"/>
  <c r="AL320" i="24"/>
  <c r="AK320" i="24"/>
  <c r="N320" i="24"/>
  <c r="I320" i="24" s="1"/>
  <c r="M320" i="24"/>
  <c r="H320" i="24" s="1"/>
  <c r="F320" i="24"/>
  <c r="C320" i="24"/>
  <c r="BG319" i="24"/>
  <c r="BF319" i="24"/>
  <c r="AS319" i="24"/>
  <c r="AM319" i="24" s="1"/>
  <c r="AP319" i="24"/>
  <c r="AO319" i="24"/>
  <c r="AL319" i="24"/>
  <c r="AK319" i="24"/>
  <c r="N319" i="24"/>
  <c r="M319" i="24"/>
  <c r="H319" i="24" s="1"/>
  <c r="I319" i="24"/>
  <c r="F319" i="24"/>
  <c r="C319" i="24"/>
  <c r="BG318" i="24"/>
  <c r="BF318" i="24"/>
  <c r="AP318" i="24"/>
  <c r="AO318" i="24"/>
  <c r="AM318" i="24"/>
  <c r="O318" i="24"/>
  <c r="F318" i="24" s="1"/>
  <c r="N318" i="24"/>
  <c r="I318" i="24" s="1"/>
  <c r="M318" i="24"/>
  <c r="C318" i="24"/>
  <c r="BG317" i="24"/>
  <c r="BF317" i="24"/>
  <c r="AU317" i="24"/>
  <c r="AP317" i="24" s="1"/>
  <c r="AT317" i="24"/>
  <c r="AO317" i="24" s="1"/>
  <c r="AJ317" i="24"/>
  <c r="O317" i="24"/>
  <c r="N317" i="24"/>
  <c r="M317" i="24"/>
  <c r="C317" i="24"/>
  <c r="BG316" i="24"/>
  <c r="BF316" i="24"/>
  <c r="AU316" i="24"/>
  <c r="AP316" i="24" s="1"/>
  <c r="AT316" i="24"/>
  <c r="AO316" i="24" s="1"/>
  <c r="N316" i="24"/>
  <c r="I316" i="24" s="1"/>
  <c r="M316" i="24"/>
  <c r="H316" i="24" s="1"/>
  <c r="F316" i="24"/>
  <c r="C316" i="24"/>
  <c r="BG315" i="24"/>
  <c r="BF315" i="24"/>
  <c r="AU315" i="24"/>
  <c r="AT315" i="24"/>
  <c r="AO315" i="24" s="1"/>
  <c r="AP315" i="24"/>
  <c r="AJ315" i="24"/>
  <c r="N315" i="24"/>
  <c r="I315" i="24" s="1"/>
  <c r="M315" i="24"/>
  <c r="H315" i="24" s="1"/>
  <c r="F315" i="24"/>
  <c r="C315" i="24"/>
  <c r="BG314" i="24"/>
  <c r="BF314" i="24"/>
  <c r="AP314" i="24"/>
  <c r="AO314" i="24"/>
  <c r="AL314" i="24"/>
  <c r="AK314" i="24"/>
  <c r="O314" i="24"/>
  <c r="F314" i="24" s="1"/>
  <c r="N314" i="24"/>
  <c r="M314" i="24"/>
  <c r="C314" i="24"/>
  <c r="BG313" i="24"/>
  <c r="BF313" i="24"/>
  <c r="AP313" i="24"/>
  <c r="AO313" i="24"/>
  <c r="AL313" i="24"/>
  <c r="AK313" i="24"/>
  <c r="O313" i="24"/>
  <c r="N313" i="24"/>
  <c r="I313" i="24" s="1"/>
  <c r="M313" i="24"/>
  <c r="C313" i="24"/>
  <c r="BG312" i="24"/>
  <c r="BF312" i="24"/>
  <c r="AU312" i="24"/>
  <c r="AP312" i="24" s="1"/>
  <c r="AT312" i="24"/>
  <c r="AO312" i="24" s="1"/>
  <c r="AS312" i="24"/>
  <c r="AM312" i="24" s="1"/>
  <c r="AJ312" i="24"/>
  <c r="N312" i="24"/>
  <c r="I312" i="24" s="1"/>
  <c r="M312" i="24"/>
  <c r="H312" i="24"/>
  <c r="F312" i="24"/>
  <c r="C312" i="24"/>
  <c r="BG311" i="24"/>
  <c r="BF311" i="24"/>
  <c r="AU311" i="24"/>
  <c r="AT311" i="24"/>
  <c r="AO311" i="24" s="1"/>
  <c r="AS311" i="24"/>
  <c r="AP311" i="24"/>
  <c r="AL311" i="24"/>
  <c r="AK311" i="24"/>
  <c r="N311" i="24"/>
  <c r="I311" i="24" s="1"/>
  <c r="M311" i="24"/>
  <c r="H311" i="24" s="1"/>
  <c r="F311" i="24"/>
  <c r="C311" i="24"/>
  <c r="BG310" i="24"/>
  <c r="BF310" i="24"/>
  <c r="AU310" i="24"/>
  <c r="AT310" i="24"/>
  <c r="AO310" i="24" s="1"/>
  <c r="AS310" i="24"/>
  <c r="AP310" i="24"/>
  <c r="AL310" i="24"/>
  <c r="AK310" i="24"/>
  <c r="I310" i="24"/>
  <c r="H310" i="24"/>
  <c r="F310" i="24"/>
  <c r="E310" i="24"/>
  <c r="D310" i="24"/>
  <c r="BG309" i="24"/>
  <c r="BF309" i="24"/>
  <c r="AU309" i="24"/>
  <c r="AT309" i="24"/>
  <c r="AO309" i="24" s="1"/>
  <c r="AS309" i="24"/>
  <c r="AP309" i="24"/>
  <c r="AL309" i="24"/>
  <c r="AK309" i="24"/>
  <c r="I309" i="24"/>
  <c r="H309" i="24"/>
  <c r="F309" i="24"/>
  <c r="E309" i="24"/>
  <c r="D309" i="24"/>
  <c r="BG308" i="24"/>
  <c r="BF308" i="24"/>
  <c r="AU308" i="24"/>
  <c r="AT308" i="24"/>
  <c r="AO308" i="24" s="1"/>
  <c r="AS308" i="24"/>
  <c r="AP308" i="24"/>
  <c r="AL308" i="24"/>
  <c r="AK308" i="24"/>
  <c r="I308" i="24"/>
  <c r="H308" i="24"/>
  <c r="F308" i="24"/>
  <c r="E308" i="24"/>
  <c r="D308" i="24"/>
  <c r="BG307" i="24"/>
  <c r="BF307" i="24"/>
  <c r="AU307" i="24"/>
  <c r="AT307" i="24"/>
  <c r="AO307" i="24" s="1"/>
  <c r="AS307" i="24"/>
  <c r="AP307" i="24"/>
  <c r="AL307" i="24"/>
  <c r="AK307" i="24"/>
  <c r="I307" i="24"/>
  <c r="H307" i="24"/>
  <c r="F307" i="24"/>
  <c r="E307" i="24"/>
  <c r="D307" i="24"/>
  <c r="BG306" i="24"/>
  <c r="BF306" i="24"/>
  <c r="AU306" i="24"/>
  <c r="AT306" i="24"/>
  <c r="AO306" i="24" s="1"/>
  <c r="AS306" i="24"/>
  <c r="AP306" i="24"/>
  <c r="AL306" i="24"/>
  <c r="AK306" i="24"/>
  <c r="I306" i="24"/>
  <c r="H306" i="24"/>
  <c r="F306" i="24"/>
  <c r="E306" i="24"/>
  <c r="D306" i="24"/>
  <c r="BG305" i="24"/>
  <c r="BF305" i="24"/>
  <c r="AU305" i="24"/>
  <c r="AT305" i="24"/>
  <c r="AO305" i="24" s="1"/>
  <c r="AS305" i="24"/>
  <c r="AP305" i="24"/>
  <c r="AL305" i="24"/>
  <c r="AK305" i="24"/>
  <c r="I305" i="24"/>
  <c r="H305" i="24"/>
  <c r="F305" i="24"/>
  <c r="E305" i="24"/>
  <c r="D305" i="24"/>
  <c r="BG304" i="24"/>
  <c r="BF304" i="24"/>
  <c r="AU304" i="24"/>
  <c r="AT304" i="24"/>
  <c r="AO304" i="24" s="1"/>
  <c r="AS304" i="24"/>
  <c r="AP304" i="24"/>
  <c r="AL304" i="24"/>
  <c r="AK304" i="24"/>
  <c r="I304" i="24"/>
  <c r="H304" i="24"/>
  <c r="F304" i="24"/>
  <c r="E304" i="24"/>
  <c r="D304" i="24"/>
  <c r="BG303" i="24"/>
  <c r="BF303" i="24"/>
  <c r="AU303" i="24"/>
  <c r="AT303" i="24"/>
  <c r="AS303" i="24"/>
  <c r="AP303" i="24"/>
  <c r="AO303" i="24"/>
  <c r="AL303" i="24"/>
  <c r="AK303" i="24"/>
  <c r="I303" i="24"/>
  <c r="H303" i="24"/>
  <c r="F303" i="24"/>
  <c r="E303" i="24"/>
  <c r="D303" i="24"/>
  <c r="BG302" i="24"/>
  <c r="BF302" i="24"/>
  <c r="AU302" i="24"/>
  <c r="AT302" i="24"/>
  <c r="AO302" i="24" s="1"/>
  <c r="AS302" i="24"/>
  <c r="AP302" i="24"/>
  <c r="AL302" i="24"/>
  <c r="AK302" i="24"/>
  <c r="I302" i="24"/>
  <c r="H302" i="24"/>
  <c r="F302" i="24"/>
  <c r="E302" i="24"/>
  <c r="D302" i="24"/>
  <c r="BG301" i="24"/>
  <c r="BF301" i="24"/>
  <c r="AU301" i="24"/>
  <c r="AT301" i="24"/>
  <c r="AO301" i="24" s="1"/>
  <c r="AS301" i="24"/>
  <c r="AP301" i="24"/>
  <c r="AL301" i="24"/>
  <c r="AK301" i="24"/>
  <c r="I301" i="24"/>
  <c r="H301" i="24"/>
  <c r="F301" i="24"/>
  <c r="E301" i="24"/>
  <c r="D301" i="24"/>
  <c r="BG300" i="24"/>
  <c r="BF300" i="24"/>
  <c r="AU300" i="24"/>
  <c r="AT300" i="24"/>
  <c r="AS300" i="24"/>
  <c r="AP300" i="24"/>
  <c r="AO300" i="24"/>
  <c r="AL300" i="24"/>
  <c r="AK300" i="24"/>
  <c r="I300" i="24"/>
  <c r="H300" i="24"/>
  <c r="F300" i="24"/>
  <c r="C300" i="24"/>
  <c r="BG299" i="24"/>
  <c r="BF299" i="24"/>
  <c r="AU299" i="24"/>
  <c r="AT299" i="24"/>
  <c r="AO299" i="24" s="1"/>
  <c r="AS299" i="24"/>
  <c r="AP299" i="24"/>
  <c r="AL299" i="24"/>
  <c r="AK299" i="24"/>
  <c r="N299" i="24"/>
  <c r="M299" i="24"/>
  <c r="F299" i="24"/>
  <c r="I299" i="24" s="1"/>
  <c r="C299" i="24"/>
  <c r="BG298" i="24"/>
  <c r="BF298" i="24"/>
  <c r="AU298" i="24"/>
  <c r="AT298" i="24"/>
  <c r="AO298" i="24" s="1"/>
  <c r="AS298" i="24"/>
  <c r="AP298" i="24"/>
  <c r="AL298" i="24"/>
  <c r="AK298" i="24"/>
  <c r="P298" i="24"/>
  <c r="F298" i="24" s="1"/>
  <c r="N298" i="24"/>
  <c r="M298" i="24"/>
  <c r="BG297" i="24"/>
  <c r="BF297" i="24"/>
  <c r="AU297" i="24"/>
  <c r="AT297" i="24"/>
  <c r="AO297" i="24" s="1"/>
  <c r="AS297" i="24"/>
  <c r="AP297" i="24"/>
  <c r="AL297" i="24"/>
  <c r="AK297" i="24"/>
  <c r="P297" i="24"/>
  <c r="F297" i="24" s="1"/>
  <c r="N297" i="24"/>
  <c r="M297" i="24"/>
  <c r="BG296" i="24"/>
  <c r="BF296" i="24"/>
  <c r="AU296" i="24"/>
  <c r="AT296" i="24"/>
  <c r="AO296" i="24" s="1"/>
  <c r="AS296" i="24"/>
  <c r="AP296" i="24"/>
  <c r="AL296" i="24"/>
  <c r="AK296" i="24"/>
  <c r="P296" i="24"/>
  <c r="F296" i="24" s="1"/>
  <c r="I296" i="24" s="1"/>
  <c r="N296" i="24"/>
  <c r="M296" i="24"/>
  <c r="BG295" i="24"/>
  <c r="BF295" i="24"/>
  <c r="AU295" i="24"/>
  <c r="AT295" i="24"/>
  <c r="AO295" i="24" s="1"/>
  <c r="AS295" i="24"/>
  <c r="AP295" i="24"/>
  <c r="AL295" i="24"/>
  <c r="AK295" i="24"/>
  <c r="P295" i="24"/>
  <c r="F295" i="24" s="1"/>
  <c r="N295" i="24"/>
  <c r="M295" i="24"/>
  <c r="BG294" i="24"/>
  <c r="BF294" i="24"/>
  <c r="AU294" i="24"/>
  <c r="AT294" i="24"/>
  <c r="AS294" i="24"/>
  <c r="AP294" i="24"/>
  <c r="AO294" i="24"/>
  <c r="AL294" i="24"/>
  <c r="AK294" i="24"/>
  <c r="P294" i="24"/>
  <c r="F294" i="24" s="1"/>
  <c r="I294" i="24" s="1"/>
  <c r="N294" i="24"/>
  <c r="M294" i="24"/>
  <c r="BG293" i="24"/>
  <c r="BF293" i="24"/>
  <c r="AU293" i="24"/>
  <c r="AT293" i="24"/>
  <c r="AO293" i="24" s="1"/>
  <c r="AS293" i="24"/>
  <c r="AP293" i="24"/>
  <c r="AL293" i="24"/>
  <c r="AK293" i="24"/>
  <c r="P293" i="24"/>
  <c r="F293" i="24" s="1"/>
  <c r="N293" i="24"/>
  <c r="M293" i="24"/>
  <c r="BG292" i="24"/>
  <c r="BF292" i="24"/>
  <c r="AU292" i="24"/>
  <c r="AT292" i="24"/>
  <c r="AO292" i="24" s="1"/>
  <c r="AS292" i="24"/>
  <c r="AP292" i="24"/>
  <c r="AL292" i="24"/>
  <c r="AK292" i="24"/>
  <c r="O292" i="24"/>
  <c r="N292" i="24"/>
  <c r="M292" i="24"/>
  <c r="C292" i="24"/>
  <c r="BG291" i="24"/>
  <c r="BF291" i="24"/>
  <c r="AU291" i="24"/>
  <c r="AT291" i="24"/>
  <c r="AO291" i="24" s="1"/>
  <c r="AS291" i="24"/>
  <c r="AP291" i="24"/>
  <c r="AL291" i="24"/>
  <c r="AK291" i="24"/>
  <c r="O291" i="24"/>
  <c r="N291" i="24"/>
  <c r="M291" i="24"/>
  <c r="C291" i="24"/>
  <c r="BG290" i="24"/>
  <c r="BF290" i="24"/>
  <c r="AU290" i="24"/>
  <c r="AT290" i="24"/>
  <c r="AO290" i="24" s="1"/>
  <c r="AS290" i="24"/>
  <c r="AP290" i="24"/>
  <c r="AL290" i="24"/>
  <c r="AK290" i="24"/>
  <c r="O290" i="24"/>
  <c r="N290" i="24"/>
  <c r="I290" i="24" s="1"/>
  <c r="M290" i="24"/>
  <c r="C290" i="24"/>
  <c r="BG289" i="24"/>
  <c r="BF289" i="24"/>
  <c r="AU289" i="24"/>
  <c r="AT289" i="24"/>
  <c r="AO289" i="24" s="1"/>
  <c r="AS289" i="24"/>
  <c r="AP289" i="24"/>
  <c r="AL289" i="24"/>
  <c r="AK289" i="24"/>
  <c r="P289" i="24"/>
  <c r="F289" i="24" s="1"/>
  <c r="N289" i="24"/>
  <c r="M289" i="24"/>
  <c r="BG288" i="24"/>
  <c r="BF288" i="24"/>
  <c r="AU288" i="24"/>
  <c r="AT288" i="24"/>
  <c r="AO288" i="24" s="1"/>
  <c r="AS288" i="24"/>
  <c r="AP288" i="24"/>
  <c r="AL288" i="24"/>
  <c r="AK288" i="24"/>
  <c r="P288" i="24"/>
  <c r="F288" i="24" s="1"/>
  <c r="N288" i="24"/>
  <c r="M288" i="24"/>
  <c r="BG287" i="24"/>
  <c r="BF287" i="24"/>
  <c r="AU287" i="24"/>
  <c r="AT287" i="24"/>
  <c r="AO287" i="24" s="1"/>
  <c r="AS287" i="24"/>
  <c r="AP287" i="24"/>
  <c r="AL287" i="24"/>
  <c r="AK287" i="24"/>
  <c r="P287" i="24"/>
  <c r="F287" i="24" s="1"/>
  <c r="N287" i="24"/>
  <c r="M287" i="24"/>
  <c r="BG286" i="24"/>
  <c r="BF286" i="24"/>
  <c r="AP286" i="24"/>
  <c r="AO286" i="24"/>
  <c r="AM286" i="24"/>
  <c r="AL286" i="24"/>
  <c r="AK286" i="24"/>
  <c r="P286" i="24"/>
  <c r="F286" i="24" s="1"/>
  <c r="H286" i="24" s="1"/>
  <c r="N286" i="24"/>
  <c r="M286" i="24"/>
  <c r="BG285" i="24"/>
  <c r="BF285" i="24"/>
  <c r="AP285" i="24"/>
  <c r="AO285" i="24"/>
  <c r="AM285" i="24"/>
  <c r="AL285" i="24"/>
  <c r="AK285" i="24"/>
  <c r="P285" i="24"/>
  <c r="F285" i="24" s="1"/>
  <c r="N285" i="24"/>
  <c r="M285" i="24"/>
  <c r="BG284" i="24"/>
  <c r="BF284" i="24"/>
  <c r="AP284" i="24"/>
  <c r="AO284" i="24"/>
  <c r="AM284" i="24"/>
  <c r="AL284" i="24"/>
  <c r="AK284" i="24"/>
  <c r="P284" i="24"/>
  <c r="F284" i="24" s="1"/>
  <c r="N284" i="24"/>
  <c r="M284" i="24"/>
  <c r="BG283" i="24"/>
  <c r="BF283" i="24"/>
  <c r="AP283" i="24"/>
  <c r="AO283" i="24"/>
  <c r="AM283" i="24"/>
  <c r="AL283" i="24"/>
  <c r="AK283" i="24"/>
  <c r="P283" i="24"/>
  <c r="N283" i="24"/>
  <c r="M283" i="24"/>
  <c r="F283" i="24"/>
  <c r="I283" i="24" s="1"/>
  <c r="P282" i="24"/>
  <c r="F282" i="24" s="1"/>
  <c r="N282" i="24"/>
  <c r="M282" i="24"/>
  <c r="BG281" i="24"/>
  <c r="BF281" i="24"/>
  <c r="AP281" i="24"/>
  <c r="AO281" i="24"/>
  <c r="AM281" i="24"/>
  <c r="AL281" i="24"/>
  <c r="AK281" i="24"/>
  <c r="AA281" i="24"/>
  <c r="Z281" i="24"/>
  <c r="P281" i="24"/>
  <c r="F281" i="24" s="1"/>
  <c r="N281" i="24"/>
  <c r="M281" i="24"/>
  <c r="BG280" i="24"/>
  <c r="BF280" i="24"/>
  <c r="AP280" i="24"/>
  <c r="AO280" i="24"/>
  <c r="AM280" i="24"/>
  <c r="AL280" i="24"/>
  <c r="AK280" i="24"/>
  <c r="AA280" i="24"/>
  <c r="Z280" i="24"/>
  <c r="P280" i="24"/>
  <c r="F280" i="24" s="1"/>
  <c r="N280" i="24"/>
  <c r="M280" i="24"/>
  <c r="BG279" i="24"/>
  <c r="BF279" i="24"/>
  <c r="AP279" i="24"/>
  <c r="AO279" i="24"/>
  <c r="AM279" i="24"/>
  <c r="AL279" i="24"/>
  <c r="AK279" i="24"/>
  <c r="AA279" i="24"/>
  <c r="Z279" i="24"/>
  <c r="P279" i="24"/>
  <c r="N279" i="24"/>
  <c r="M279" i="24"/>
  <c r="F279" i="24"/>
  <c r="I279" i="24" s="1"/>
  <c r="BG278" i="24"/>
  <c r="BF278" i="24"/>
  <c r="AP278" i="24"/>
  <c r="AO278" i="24"/>
  <c r="AM278" i="24"/>
  <c r="AL278" i="24"/>
  <c r="AK278" i="24"/>
  <c r="AA278" i="24"/>
  <c r="Z278" i="24"/>
  <c r="P278" i="24"/>
  <c r="F278" i="24" s="1"/>
  <c r="H278" i="24" s="1"/>
  <c r="N278" i="24"/>
  <c r="M278" i="24"/>
  <c r="BG277" i="24"/>
  <c r="BF277" i="24"/>
  <c r="AP277" i="24"/>
  <c r="AO277" i="24"/>
  <c r="AM277" i="24"/>
  <c r="AL277" i="24"/>
  <c r="AK277" i="24"/>
  <c r="AA277" i="24"/>
  <c r="Z277" i="24"/>
  <c r="P277" i="24"/>
  <c r="F277" i="24" s="1"/>
  <c r="N277" i="24"/>
  <c r="M277" i="24"/>
  <c r="BG276" i="24"/>
  <c r="BF276" i="24"/>
  <c r="AP276" i="24"/>
  <c r="AO276" i="24"/>
  <c r="AM276" i="24"/>
  <c r="AL276" i="24"/>
  <c r="AK276" i="24"/>
  <c r="AA276" i="24"/>
  <c r="Z276" i="24"/>
  <c r="P276" i="24"/>
  <c r="F276" i="24" s="1"/>
  <c r="N276" i="24"/>
  <c r="M276" i="24"/>
  <c r="BG275" i="24"/>
  <c r="BF275" i="24"/>
  <c r="AP275" i="24"/>
  <c r="AO275" i="24"/>
  <c r="AM275" i="24"/>
  <c r="AL275" i="24"/>
  <c r="AK275" i="24"/>
  <c r="AA275" i="24"/>
  <c r="Z275" i="24"/>
  <c r="P275" i="24"/>
  <c r="F275" i="24" s="1"/>
  <c r="N275" i="24"/>
  <c r="M275" i="24"/>
  <c r="BG274" i="24"/>
  <c r="BF274" i="24"/>
  <c r="AP274" i="24"/>
  <c r="AO274" i="24"/>
  <c r="AM274" i="24"/>
  <c r="AL274" i="24"/>
  <c r="AK274" i="24"/>
  <c r="AA274" i="24"/>
  <c r="Z274" i="24"/>
  <c r="P274" i="24"/>
  <c r="F274" i="24" s="1"/>
  <c r="N274" i="24"/>
  <c r="M274" i="24"/>
  <c r="BG273" i="24"/>
  <c r="BF273" i="24"/>
  <c r="AP273" i="24"/>
  <c r="AO273" i="24"/>
  <c r="AM273" i="24"/>
  <c r="AL273" i="24"/>
  <c r="AK273" i="24"/>
  <c r="AA273" i="24"/>
  <c r="Z273" i="24"/>
  <c r="P273" i="24"/>
  <c r="F273" i="24" s="1"/>
  <c r="N273" i="24"/>
  <c r="M273" i="24"/>
  <c r="BG272" i="24"/>
  <c r="BF272" i="24"/>
  <c r="AP272" i="24"/>
  <c r="AO272" i="24"/>
  <c r="AM272" i="24"/>
  <c r="AL272" i="24"/>
  <c r="AK272" i="24"/>
  <c r="AA272" i="24"/>
  <c r="Z272" i="24"/>
  <c r="P272" i="24"/>
  <c r="F272" i="24" s="1"/>
  <c r="M272" i="24"/>
  <c r="N272" i="24" s="1"/>
  <c r="BG271" i="24"/>
  <c r="BF271" i="24"/>
  <c r="AP271" i="24"/>
  <c r="AO271" i="24"/>
  <c r="AM271" i="24"/>
  <c r="AL271" i="24"/>
  <c r="AK271" i="24"/>
  <c r="AA271" i="24"/>
  <c r="Z271" i="24"/>
  <c r="P271" i="24"/>
  <c r="F271" i="24" s="1"/>
  <c r="I271" i="24" s="1"/>
  <c r="N271" i="24"/>
  <c r="M271" i="24"/>
  <c r="BG270" i="24"/>
  <c r="BF270" i="24"/>
  <c r="AP270" i="24"/>
  <c r="AO270" i="24"/>
  <c r="AM270" i="24"/>
  <c r="AL270" i="24"/>
  <c r="AK270" i="24"/>
  <c r="AA270" i="24"/>
  <c r="Z270" i="24"/>
  <c r="P270" i="24"/>
  <c r="F270" i="24" s="1"/>
  <c r="H270" i="24" s="1"/>
  <c r="N270" i="24"/>
  <c r="M270" i="24"/>
  <c r="BG269" i="24"/>
  <c r="BF269" i="24"/>
  <c r="AP269" i="24"/>
  <c r="AO269" i="24"/>
  <c r="AM269" i="24"/>
  <c r="AL269" i="24"/>
  <c r="AK269" i="24"/>
  <c r="AA269" i="24"/>
  <c r="Z269" i="24"/>
  <c r="P269" i="24"/>
  <c r="F269" i="24" s="1"/>
  <c r="I269" i="24" s="1"/>
  <c r="N269" i="24"/>
  <c r="M269" i="24"/>
  <c r="BG268" i="24"/>
  <c r="BF268" i="24"/>
  <c r="AP268" i="24"/>
  <c r="AO268" i="24"/>
  <c r="AM268" i="24"/>
  <c r="AL268" i="24"/>
  <c r="AK268" i="24"/>
  <c r="AA268" i="24"/>
  <c r="Z268" i="24"/>
  <c r="P268" i="24"/>
  <c r="F268" i="24" s="1"/>
  <c r="N268" i="24"/>
  <c r="M268" i="24"/>
  <c r="BG267" i="24"/>
  <c r="BF267" i="24"/>
  <c r="AP267" i="24"/>
  <c r="AO267" i="24"/>
  <c r="AM267" i="24"/>
  <c r="AL267" i="24"/>
  <c r="AK267" i="24"/>
  <c r="AA267" i="24"/>
  <c r="Z267" i="24"/>
  <c r="P267" i="24"/>
  <c r="F267" i="24" s="1"/>
  <c r="H267" i="24" s="1"/>
  <c r="N267" i="24"/>
  <c r="M267" i="24"/>
  <c r="BG266" i="24"/>
  <c r="BF266" i="24"/>
  <c r="AP266" i="24"/>
  <c r="AO266" i="24"/>
  <c r="AM266" i="24"/>
  <c r="AL266" i="24"/>
  <c r="AK266" i="24"/>
  <c r="AA266" i="24"/>
  <c r="Z266" i="24"/>
  <c r="P266" i="24"/>
  <c r="F266" i="24" s="1"/>
  <c r="I266" i="24" s="1"/>
  <c r="N266" i="24"/>
  <c r="M266" i="24"/>
  <c r="BG265" i="24"/>
  <c r="BF265" i="24"/>
  <c r="AP265" i="24"/>
  <c r="AO265" i="24"/>
  <c r="AM265" i="24"/>
  <c r="AL265" i="24"/>
  <c r="AK265" i="24"/>
  <c r="AA265" i="24"/>
  <c r="Z265" i="24"/>
  <c r="P265" i="24"/>
  <c r="F265" i="24" s="1"/>
  <c r="N265" i="24"/>
  <c r="M265" i="24"/>
  <c r="BG264" i="24"/>
  <c r="BF264" i="24"/>
  <c r="AU264" i="24"/>
  <c r="AP264" i="24" s="1"/>
  <c r="AT264" i="24"/>
  <c r="AO264" i="24" s="1"/>
  <c r="AM264" i="24"/>
  <c r="AJ264" i="24"/>
  <c r="AA264" i="24"/>
  <c r="Z264" i="24"/>
  <c r="P264" i="24"/>
  <c r="F264" i="24" s="1"/>
  <c r="N264" i="24"/>
  <c r="M264" i="24"/>
  <c r="BG263" i="24"/>
  <c r="BF263" i="24"/>
  <c r="AU263" i="24"/>
  <c r="AP263" i="24" s="1"/>
  <c r="AT263" i="24"/>
  <c r="AO263" i="24"/>
  <c r="AM263" i="24"/>
  <c r="AJ263" i="24"/>
  <c r="AA263" i="24"/>
  <c r="Z263" i="24"/>
  <c r="P263" i="24"/>
  <c r="F263" i="24" s="1"/>
  <c r="N263" i="24"/>
  <c r="M263" i="24"/>
  <c r="BG262" i="24"/>
  <c r="BF262" i="24"/>
  <c r="AU262" i="24"/>
  <c r="AP262" i="24" s="1"/>
  <c r="AT262" i="24"/>
  <c r="AO262" i="24" s="1"/>
  <c r="AM262" i="24"/>
  <c r="AJ262" i="24"/>
  <c r="AA262" i="24"/>
  <c r="Z262" i="24"/>
  <c r="P262" i="24"/>
  <c r="F262" i="24" s="1"/>
  <c r="N262" i="24"/>
  <c r="M262" i="24"/>
  <c r="BG261" i="24"/>
  <c r="BF261" i="24"/>
  <c r="AU261" i="24"/>
  <c r="AP261" i="24" s="1"/>
  <c r="AT261" i="24"/>
  <c r="AO261" i="24" s="1"/>
  <c r="AM261" i="24"/>
  <c r="AJ261" i="24"/>
  <c r="AA261" i="24"/>
  <c r="Z261" i="24"/>
  <c r="P261" i="24"/>
  <c r="F261" i="24" s="1"/>
  <c r="N261" i="24"/>
  <c r="M261" i="24"/>
  <c r="BG260" i="24"/>
  <c r="BF260" i="24"/>
  <c r="AM260" i="24"/>
  <c r="AU260" i="24" s="1"/>
  <c r="AA260" i="24"/>
  <c r="Z260" i="24"/>
  <c r="P260" i="24"/>
  <c r="F260" i="24" s="1"/>
  <c r="N260" i="24"/>
  <c r="M260" i="24"/>
  <c r="BG259" i="24"/>
  <c r="BF259" i="24"/>
  <c r="AM259" i="24"/>
  <c r="AU259" i="24" s="1"/>
  <c r="AA259" i="24"/>
  <c r="Z259" i="24"/>
  <c r="P259" i="24"/>
  <c r="F259" i="24" s="1"/>
  <c r="I259" i="24" s="1"/>
  <c r="N259" i="24"/>
  <c r="M259" i="24"/>
  <c r="BG258" i="24"/>
  <c r="BF258" i="24"/>
  <c r="AM258" i="24"/>
  <c r="AU258" i="24" s="1"/>
  <c r="AA258" i="24"/>
  <c r="Z258" i="24"/>
  <c r="P258" i="24"/>
  <c r="F258" i="24" s="1"/>
  <c r="H258" i="24" s="1"/>
  <c r="N258" i="24"/>
  <c r="M258" i="24"/>
  <c r="BG257" i="24"/>
  <c r="BF257" i="24"/>
  <c r="AM257" i="24"/>
  <c r="AT257" i="24" s="1"/>
  <c r="AO257" i="24" s="1"/>
  <c r="AA257" i="24"/>
  <c r="Z257" i="24"/>
  <c r="P257" i="24"/>
  <c r="F257" i="24" s="1"/>
  <c r="I257" i="24" s="1"/>
  <c r="N257" i="24"/>
  <c r="M257" i="24"/>
  <c r="BG256" i="24"/>
  <c r="BF256" i="24"/>
  <c r="AP256" i="24"/>
  <c r="AO256" i="24"/>
  <c r="AJ256" i="24"/>
  <c r="AA256" i="24"/>
  <c r="Z256" i="24"/>
  <c r="P256" i="24"/>
  <c r="F256" i="24" s="1"/>
  <c r="H256" i="24" s="1"/>
  <c r="N256" i="24"/>
  <c r="M256" i="24"/>
  <c r="BG255" i="24"/>
  <c r="BF255" i="24"/>
  <c r="AP255" i="24"/>
  <c r="AO255" i="24"/>
  <c r="AJ255" i="24"/>
  <c r="AA255" i="24"/>
  <c r="Z255" i="24"/>
  <c r="P255" i="24"/>
  <c r="F255" i="24" s="1"/>
  <c r="N255" i="24"/>
  <c r="M255" i="24"/>
  <c r="BG254" i="24"/>
  <c r="BF254" i="24"/>
  <c r="AP254" i="24"/>
  <c r="AO254" i="24"/>
  <c r="AJ254" i="24"/>
  <c r="AA254" i="24"/>
  <c r="Z254" i="24"/>
  <c r="P254" i="24"/>
  <c r="F254" i="24" s="1"/>
  <c r="N254" i="24"/>
  <c r="M254" i="24"/>
  <c r="BG253" i="24"/>
  <c r="BF253" i="24"/>
  <c r="AU253" i="24"/>
  <c r="AP253" i="24" s="1"/>
  <c r="AT253" i="24"/>
  <c r="AO253" i="24" s="1"/>
  <c r="AJ253" i="24"/>
  <c r="AA253" i="24"/>
  <c r="Z253" i="24"/>
  <c r="P253" i="24"/>
  <c r="F253" i="24" s="1"/>
  <c r="N253" i="24"/>
  <c r="M253" i="24"/>
  <c r="BG252" i="24"/>
  <c r="BF252" i="24"/>
  <c r="AU252" i="24"/>
  <c r="AP252" i="24" s="1"/>
  <c r="AT252" i="24"/>
  <c r="AO252" i="24" s="1"/>
  <c r="AJ252" i="24"/>
  <c r="AA252" i="24"/>
  <c r="Z252" i="24"/>
  <c r="F252" i="24"/>
  <c r="BG251" i="24"/>
  <c r="BF251" i="24"/>
  <c r="AU251" i="24"/>
  <c r="AP251" i="24" s="1"/>
  <c r="AT251" i="24"/>
  <c r="AO251" i="24"/>
  <c r="AJ251" i="24"/>
  <c r="AA251" i="24"/>
  <c r="Z251" i="24"/>
  <c r="F251" i="24"/>
  <c r="H251" i="24" s="1"/>
  <c r="BG250" i="24"/>
  <c r="BF250" i="24"/>
  <c r="AU250" i="24"/>
  <c r="AP250" i="24" s="1"/>
  <c r="AT250" i="24"/>
  <c r="AO250" i="24" s="1"/>
  <c r="AJ250" i="24"/>
  <c r="AA250" i="24"/>
  <c r="Z250" i="24"/>
  <c r="F250" i="24"/>
  <c r="H250" i="24" s="1"/>
  <c r="BG249" i="24"/>
  <c r="BF249" i="24"/>
  <c r="AU249" i="24"/>
  <c r="AP249" i="24" s="1"/>
  <c r="AT249" i="24"/>
  <c r="AO249" i="24" s="1"/>
  <c r="AM249" i="24" s="1"/>
  <c r="AJ249" i="24"/>
  <c r="AA249" i="24"/>
  <c r="Z249" i="24"/>
  <c r="F249" i="24"/>
  <c r="H249" i="24" s="1"/>
  <c r="BG248" i="24"/>
  <c r="BF248" i="24"/>
  <c r="AP248" i="24"/>
  <c r="AO248" i="24"/>
  <c r="AM248" i="24"/>
  <c r="AJ248" i="24"/>
  <c r="AA248" i="24"/>
  <c r="Z248" i="24"/>
  <c r="F248" i="24"/>
  <c r="H248" i="24" s="1"/>
  <c r="BG247" i="24"/>
  <c r="BF247" i="24"/>
  <c r="AU247" i="24"/>
  <c r="AT247" i="24"/>
  <c r="AP247" i="24"/>
  <c r="AO247" i="24"/>
  <c r="AM247" i="24" s="1"/>
  <c r="AJ247" i="24"/>
  <c r="AA247" i="24"/>
  <c r="Z247" i="24"/>
  <c r="F247" i="24"/>
  <c r="H247" i="24" s="1"/>
  <c r="BG246" i="24"/>
  <c r="BF246" i="24"/>
  <c r="AU246" i="24"/>
  <c r="AT246" i="24"/>
  <c r="AM246" i="24"/>
  <c r="AP246" i="24" s="1"/>
  <c r="AA246" i="24"/>
  <c r="Z246" i="24"/>
  <c r="F246" i="24"/>
  <c r="BG245" i="24"/>
  <c r="BF245" i="24"/>
  <c r="AU245" i="24"/>
  <c r="AT245" i="24"/>
  <c r="AM245" i="24"/>
  <c r="AO245" i="24" s="1"/>
  <c r="AA245" i="24"/>
  <c r="Z245" i="24"/>
  <c r="F245" i="24"/>
  <c r="H245" i="24" s="1"/>
  <c r="BG244" i="24"/>
  <c r="BF244" i="24"/>
  <c r="AU244" i="24"/>
  <c r="AT244" i="24"/>
  <c r="AM244" i="24"/>
  <c r="AP244" i="24" s="1"/>
  <c r="AA244" i="24"/>
  <c r="Z244" i="24"/>
  <c r="F244" i="24"/>
  <c r="BG243" i="24"/>
  <c r="BF243" i="24"/>
  <c r="AU243" i="24"/>
  <c r="AT243" i="24"/>
  <c r="AM243" i="24"/>
  <c r="AO243" i="24" s="1"/>
  <c r="AJ243" i="24"/>
  <c r="AA243" i="24"/>
  <c r="Z243" i="24"/>
  <c r="F243" i="24"/>
  <c r="BG242" i="24"/>
  <c r="BF242" i="24"/>
  <c r="AU242" i="24"/>
  <c r="AT242" i="24"/>
  <c r="AM242" i="24"/>
  <c r="AP242" i="24" s="1"/>
  <c r="AJ242" i="24"/>
  <c r="AA242" i="24"/>
  <c r="Z242" i="24"/>
  <c r="F242" i="24"/>
  <c r="BG241" i="24"/>
  <c r="BF241" i="24"/>
  <c r="AU241" i="24"/>
  <c r="AT241" i="24"/>
  <c r="AM241" i="24"/>
  <c r="AP241" i="24" s="1"/>
  <c r="AJ241" i="24"/>
  <c r="AA241" i="24"/>
  <c r="Z241" i="24"/>
  <c r="F241" i="24"/>
  <c r="H241" i="24" s="1"/>
  <c r="BG240" i="24"/>
  <c r="BF240" i="24"/>
  <c r="AU240" i="24"/>
  <c r="AT240" i="24"/>
  <c r="AP240" i="24"/>
  <c r="AO240" i="24"/>
  <c r="AJ240" i="24"/>
  <c r="AA240" i="24"/>
  <c r="Z240" i="24"/>
  <c r="F240" i="24"/>
  <c r="I240" i="24" s="1"/>
  <c r="BG239" i="24"/>
  <c r="BF239" i="24"/>
  <c r="AU239" i="24"/>
  <c r="AT239" i="24"/>
  <c r="AP239" i="24"/>
  <c r="AO239" i="24"/>
  <c r="AJ239" i="24"/>
  <c r="AA239" i="24"/>
  <c r="Z239" i="24"/>
  <c r="F239" i="24"/>
  <c r="BG238" i="24"/>
  <c r="BF238" i="24"/>
  <c r="AP238" i="24"/>
  <c r="AO238" i="24"/>
  <c r="AJ238" i="24"/>
  <c r="AA238" i="24"/>
  <c r="Z238" i="24"/>
  <c r="F238" i="24"/>
  <c r="I238" i="24" s="1"/>
  <c r="BG237" i="24"/>
  <c r="BF237" i="24"/>
  <c r="AJ237" i="24"/>
  <c r="AA237" i="24"/>
  <c r="Z237" i="24"/>
  <c r="F237" i="24"/>
  <c r="I237" i="24" s="1"/>
  <c r="BG236" i="24"/>
  <c r="BF236" i="24"/>
  <c r="AM236" i="24"/>
  <c r="AJ236" i="24"/>
  <c r="AA236" i="24"/>
  <c r="Z236" i="24"/>
  <c r="F236" i="24"/>
  <c r="H236" i="24" s="1"/>
  <c r="BG235" i="24"/>
  <c r="BF235" i="24"/>
  <c r="AM235" i="24"/>
  <c r="AJ235" i="24"/>
  <c r="AA235" i="24"/>
  <c r="Z235" i="24"/>
  <c r="F235" i="24"/>
  <c r="BG234" i="24"/>
  <c r="BF234" i="24"/>
  <c r="AM234" i="24"/>
  <c r="AJ234" i="24"/>
  <c r="AA234" i="24"/>
  <c r="Z234" i="24"/>
  <c r="F234" i="24"/>
  <c r="I234" i="24" s="1"/>
  <c r="BG233" i="24"/>
  <c r="BF233" i="24"/>
  <c r="AM233" i="24"/>
  <c r="AJ233" i="24"/>
  <c r="AA233" i="24"/>
  <c r="Z233" i="24"/>
  <c r="F233" i="24"/>
  <c r="H233" i="24" s="1"/>
  <c r="BG232" i="24"/>
  <c r="BF232" i="24"/>
  <c r="AM232" i="24"/>
  <c r="AJ232" i="24"/>
  <c r="AA232" i="24"/>
  <c r="Z232" i="24"/>
  <c r="F232" i="24"/>
  <c r="BG231" i="24"/>
  <c r="BF231" i="24"/>
  <c r="AM231" i="24"/>
  <c r="AJ231" i="24"/>
  <c r="AA231" i="24"/>
  <c r="Z231" i="24"/>
  <c r="F231" i="24"/>
  <c r="I231" i="24" s="1"/>
  <c r="BG230" i="24"/>
  <c r="BF230" i="24"/>
  <c r="AM230" i="24"/>
  <c r="AJ230" i="24"/>
  <c r="AA230" i="24"/>
  <c r="Z230" i="24"/>
  <c r="F230" i="24"/>
  <c r="H230" i="24" s="1"/>
  <c r="BG229" i="24"/>
  <c r="BF229" i="24"/>
  <c r="AM229" i="24"/>
  <c r="AJ229" i="24"/>
  <c r="AA229" i="24"/>
  <c r="Z229" i="24"/>
  <c r="F229" i="24"/>
  <c r="I229" i="24" s="1"/>
  <c r="BG228" i="24"/>
  <c r="BF228" i="24"/>
  <c r="AM228" i="24"/>
  <c r="AJ228" i="24"/>
  <c r="AA228" i="24"/>
  <c r="Z228" i="24"/>
  <c r="F228" i="24"/>
  <c r="H228" i="24" s="1"/>
  <c r="BG227" i="24"/>
  <c r="BF227" i="24"/>
  <c r="AM227" i="24"/>
  <c r="AJ227" i="24"/>
  <c r="AA227" i="24"/>
  <c r="Z227" i="24"/>
  <c r="F227" i="24"/>
  <c r="BG226" i="24"/>
  <c r="BF226" i="24"/>
  <c r="AM226" i="24"/>
  <c r="AJ226" i="24"/>
  <c r="AA226" i="24"/>
  <c r="Z226" i="24"/>
  <c r="F226" i="24"/>
  <c r="I226" i="24" s="1"/>
  <c r="BG225" i="24"/>
  <c r="BF225" i="24"/>
  <c r="AM225" i="24"/>
  <c r="AJ225" i="24"/>
  <c r="AA225" i="24"/>
  <c r="Z225" i="24"/>
  <c r="F225" i="24"/>
  <c r="H225" i="24" s="1"/>
  <c r="BG224" i="24"/>
  <c r="BF224" i="24"/>
  <c r="AM224" i="24"/>
  <c r="AJ224" i="24"/>
  <c r="AA224" i="24"/>
  <c r="Z224" i="24"/>
  <c r="F224" i="24"/>
  <c r="BG223" i="24"/>
  <c r="BF223" i="24"/>
  <c r="AM223" i="24"/>
  <c r="AJ223" i="24"/>
  <c r="AA223" i="24"/>
  <c r="Z223" i="24"/>
  <c r="F223" i="24"/>
  <c r="H223" i="24" s="1"/>
  <c r="BG222" i="24"/>
  <c r="BF222" i="24"/>
  <c r="AM222" i="24"/>
  <c r="AJ222" i="24"/>
  <c r="AA222" i="24"/>
  <c r="Z222" i="24"/>
  <c r="F222" i="24"/>
  <c r="H222" i="24" s="1"/>
  <c r="BG221" i="24"/>
  <c r="BF221" i="24"/>
  <c r="AS221" i="24"/>
  <c r="AP221" i="24"/>
  <c r="AO221" i="24"/>
  <c r="AA221" i="24"/>
  <c r="Z221" i="24"/>
  <c r="F221" i="24"/>
  <c r="I221" i="24" s="1"/>
  <c r="BG220" i="24"/>
  <c r="BF220" i="24"/>
  <c r="AS220" i="24"/>
  <c r="AP220" i="24"/>
  <c r="AO220" i="24"/>
  <c r="AA220" i="24"/>
  <c r="Z220" i="24"/>
  <c r="N220" i="24"/>
  <c r="M220" i="24"/>
  <c r="F220" i="24"/>
  <c r="C220" i="24"/>
  <c r="BG219" i="24"/>
  <c r="BF219" i="24"/>
  <c r="AS219" i="24"/>
  <c r="AP219" i="24"/>
  <c r="AO219" i="24"/>
  <c r="AA219" i="24"/>
  <c r="Z219" i="24"/>
  <c r="N219" i="24"/>
  <c r="M219" i="24"/>
  <c r="F219" i="24"/>
  <c r="C219" i="24"/>
  <c r="BG218" i="24"/>
  <c r="BF218" i="24"/>
  <c r="AS218" i="24"/>
  <c r="AP218" i="24"/>
  <c r="AO218" i="24"/>
  <c r="AA218" i="24"/>
  <c r="Z218" i="24"/>
  <c r="I218" i="24"/>
  <c r="H218" i="24"/>
  <c r="F218" i="24"/>
  <c r="BG217" i="24"/>
  <c r="BF217" i="24"/>
  <c r="AS217" i="24"/>
  <c r="AP217" i="24"/>
  <c r="AO217" i="24"/>
  <c r="AA217" i="24"/>
  <c r="Z217" i="24"/>
  <c r="I217" i="24"/>
  <c r="H217" i="24"/>
  <c r="F217" i="24"/>
  <c r="BG216" i="24"/>
  <c r="BF216" i="24"/>
  <c r="AS216" i="24"/>
  <c r="AM216" i="24" s="1"/>
  <c r="AP216" i="24"/>
  <c r="AO216" i="24"/>
  <c r="AJ216" i="24"/>
  <c r="AA216" i="24"/>
  <c r="Z216" i="24"/>
  <c r="I216" i="24"/>
  <c r="H216" i="24"/>
  <c r="F216" i="24"/>
  <c r="BG215" i="24"/>
  <c r="BF215" i="24"/>
  <c r="AS215" i="24"/>
  <c r="AP215" i="24"/>
  <c r="AO215" i="24"/>
  <c r="AM215" i="24"/>
  <c r="AJ215" i="24"/>
  <c r="AA215" i="24"/>
  <c r="Z215" i="24"/>
  <c r="I215" i="24"/>
  <c r="H215" i="24"/>
  <c r="F215" i="24"/>
  <c r="BG214" i="24"/>
  <c r="BF214" i="24"/>
  <c r="AP214" i="24"/>
  <c r="AO214" i="24"/>
  <c r="AJ214" i="24"/>
  <c r="AA214" i="24"/>
  <c r="Z214" i="24"/>
  <c r="I214" i="24"/>
  <c r="H214" i="24"/>
  <c r="F214" i="24"/>
  <c r="BG213" i="24"/>
  <c r="BF213" i="24"/>
  <c r="AS213" i="24"/>
  <c r="AM213" i="24" s="1"/>
  <c r="AP213" i="24" s="1"/>
  <c r="AJ213" i="24"/>
  <c r="AA213" i="24"/>
  <c r="Z213" i="24"/>
  <c r="I213" i="24"/>
  <c r="H213" i="24"/>
  <c r="F213" i="24"/>
  <c r="BG212" i="24"/>
  <c r="BF212" i="24"/>
  <c r="AS212" i="24"/>
  <c r="AM212" i="24" s="1"/>
  <c r="AO212" i="24" s="1"/>
  <c r="AJ212" i="24"/>
  <c r="AA212" i="24"/>
  <c r="Z212" i="24"/>
  <c r="I212" i="24"/>
  <c r="H212" i="24"/>
  <c r="F212" i="24"/>
  <c r="BG211" i="24"/>
  <c r="BF211" i="24"/>
  <c r="AS211" i="24"/>
  <c r="AM211" i="24" s="1"/>
  <c r="AP211" i="24" s="1"/>
  <c r="AJ211" i="24"/>
  <c r="AA211" i="24"/>
  <c r="Z211" i="24"/>
  <c r="I211" i="24"/>
  <c r="H211" i="24"/>
  <c r="F211" i="24"/>
  <c r="BG210" i="24"/>
  <c r="BF210" i="24"/>
  <c r="AS210" i="24"/>
  <c r="AP210" i="24"/>
  <c r="AO210" i="24"/>
  <c r="AJ210" i="24"/>
  <c r="AA210" i="24"/>
  <c r="Z210" i="24"/>
  <c r="I210" i="24"/>
  <c r="H210" i="24"/>
  <c r="F210" i="24"/>
  <c r="BG209" i="24"/>
  <c r="BF209" i="24"/>
  <c r="AP209" i="24"/>
  <c r="AO209" i="24"/>
  <c r="AJ209" i="24"/>
  <c r="AA209" i="24"/>
  <c r="Z209" i="24"/>
  <c r="N209" i="24"/>
  <c r="M209" i="24"/>
  <c r="F209" i="24"/>
  <c r="E209" i="24"/>
  <c r="D209" i="24"/>
  <c r="BG208" i="24"/>
  <c r="BF208" i="24"/>
  <c r="AP208" i="24"/>
  <c r="AO208" i="24"/>
  <c r="AJ208" i="24"/>
  <c r="AA208" i="24"/>
  <c r="Z208" i="24"/>
  <c r="N208" i="24"/>
  <c r="M208" i="24"/>
  <c r="F208" i="24"/>
  <c r="H208" i="24" s="1"/>
  <c r="E208" i="24"/>
  <c r="C208" i="24" s="1"/>
  <c r="D208" i="24"/>
  <c r="BG207" i="24"/>
  <c r="BF207" i="24"/>
  <c r="AU207" i="24"/>
  <c r="AT207" i="24"/>
  <c r="AO207" i="24" s="1"/>
  <c r="AJ207" i="24"/>
  <c r="AA207" i="24"/>
  <c r="Z207" i="24"/>
  <c r="N207" i="24"/>
  <c r="M207" i="24"/>
  <c r="F207" i="24"/>
  <c r="I207" i="24" s="1"/>
  <c r="E207" i="24"/>
  <c r="D207" i="24"/>
  <c r="BG206" i="24"/>
  <c r="BF206" i="24"/>
  <c r="AU206" i="24"/>
  <c r="AT206" i="24"/>
  <c r="AO206" i="24"/>
  <c r="AJ206" i="24"/>
  <c r="AA206" i="24"/>
  <c r="Z206" i="24"/>
  <c r="N206" i="24"/>
  <c r="M206" i="24"/>
  <c r="H206" i="24"/>
  <c r="F206" i="24"/>
  <c r="I206" i="24" s="1"/>
  <c r="E206" i="24"/>
  <c r="D206" i="24"/>
  <c r="BG205" i="24"/>
  <c r="BF205" i="24"/>
  <c r="AU205" i="24"/>
  <c r="AT205" i="24"/>
  <c r="AO205" i="24" s="1"/>
  <c r="AP205" i="24" s="1"/>
  <c r="AJ205" i="24"/>
  <c r="AA205" i="24"/>
  <c r="Z205" i="24"/>
  <c r="N205" i="24"/>
  <c r="M205" i="24"/>
  <c r="F205" i="24"/>
  <c r="E205" i="24"/>
  <c r="D205" i="24"/>
  <c r="C205" i="24" s="1"/>
  <c r="BG204" i="24"/>
  <c r="BF204" i="24"/>
  <c r="AU204" i="24"/>
  <c r="AT204" i="24"/>
  <c r="AO204" i="24" s="1"/>
  <c r="AP204" i="24" s="1"/>
  <c r="AJ204" i="24"/>
  <c r="AA204" i="24"/>
  <c r="Z204" i="24"/>
  <c r="N204" i="24"/>
  <c r="M204" i="24"/>
  <c r="I204" i="24"/>
  <c r="F204" i="24"/>
  <c r="H204" i="24" s="1"/>
  <c r="E204" i="24"/>
  <c r="D204" i="24"/>
  <c r="C204" i="24" s="1"/>
  <c r="BG203" i="24"/>
  <c r="BF203" i="24"/>
  <c r="AU203" i="24"/>
  <c r="AT203" i="24"/>
  <c r="AO203" i="24" s="1"/>
  <c r="AJ203" i="24"/>
  <c r="AA203" i="24"/>
  <c r="Z203" i="24"/>
  <c r="N203" i="24"/>
  <c r="M203" i="24"/>
  <c r="F203" i="24"/>
  <c r="I203" i="24" s="1"/>
  <c r="E203" i="24"/>
  <c r="C203" i="24" s="1"/>
  <c r="D203" i="24"/>
  <c r="BG202" i="24"/>
  <c r="BF202" i="24"/>
  <c r="AU202" i="24"/>
  <c r="AT202" i="24"/>
  <c r="AO202" i="24" s="1"/>
  <c r="AJ202" i="24"/>
  <c r="AA202" i="24"/>
  <c r="Z202" i="24"/>
  <c r="N202" i="24"/>
  <c r="M202" i="24"/>
  <c r="F202" i="24"/>
  <c r="I202" i="24" s="1"/>
  <c r="E202" i="24"/>
  <c r="D202" i="24"/>
  <c r="BG201" i="24"/>
  <c r="BF201" i="24"/>
  <c r="AU201" i="24"/>
  <c r="AT201" i="24"/>
  <c r="AO201" i="24" s="1"/>
  <c r="AP201" i="24" s="1"/>
  <c r="AL201" i="24"/>
  <c r="AK201" i="24"/>
  <c r="AA201" i="24"/>
  <c r="Z201" i="24"/>
  <c r="N201" i="24"/>
  <c r="M201" i="24"/>
  <c r="F201" i="24"/>
  <c r="I201" i="24" s="1"/>
  <c r="E201" i="24"/>
  <c r="D201" i="24"/>
  <c r="BG200" i="24"/>
  <c r="BF200" i="24"/>
  <c r="AU200" i="24"/>
  <c r="AT200" i="24"/>
  <c r="AO200" i="24" s="1"/>
  <c r="AP200" i="24" s="1"/>
  <c r="AJ200" i="24"/>
  <c r="AA200" i="24"/>
  <c r="Z200" i="24"/>
  <c r="N200" i="24"/>
  <c r="M200" i="24"/>
  <c r="F200" i="24"/>
  <c r="H200" i="24" s="1"/>
  <c r="E200" i="24"/>
  <c r="D200" i="24"/>
  <c r="BG199" i="24"/>
  <c r="BF199" i="24"/>
  <c r="AU199" i="24"/>
  <c r="AT199" i="24"/>
  <c r="AO199" i="24" s="1"/>
  <c r="AP199" i="24" s="1"/>
  <c r="AJ199" i="24"/>
  <c r="AA199" i="24"/>
  <c r="Z199" i="24"/>
  <c r="N199" i="24"/>
  <c r="M199" i="24"/>
  <c r="F199" i="24"/>
  <c r="H199" i="24" s="1"/>
  <c r="E199" i="24"/>
  <c r="D199" i="24"/>
  <c r="BG198" i="24"/>
  <c r="BF198" i="24"/>
  <c r="AO198" i="24"/>
  <c r="AP198" i="24" s="1"/>
  <c r="AM198" i="24" s="1"/>
  <c r="AJ198" i="24"/>
  <c r="AA198" i="24"/>
  <c r="Z198" i="24"/>
  <c r="N198" i="24"/>
  <c r="M198" i="24"/>
  <c r="F198" i="24"/>
  <c r="H198" i="24" s="1"/>
  <c r="E198" i="24"/>
  <c r="D198" i="24"/>
  <c r="BG197" i="24"/>
  <c r="BF197" i="24"/>
  <c r="AU197" i="24"/>
  <c r="AT197" i="24"/>
  <c r="AO197" i="24" s="1"/>
  <c r="AP197" i="24" s="1"/>
  <c r="AM197" i="24" s="1"/>
  <c r="AJ197" i="24"/>
  <c r="AA197" i="24"/>
  <c r="Z197" i="24"/>
  <c r="N197" i="24"/>
  <c r="M197" i="24"/>
  <c r="F197" i="24"/>
  <c r="I197" i="24" s="1"/>
  <c r="E197" i="24"/>
  <c r="D197" i="24"/>
  <c r="BG196" i="24"/>
  <c r="BF196" i="24"/>
  <c r="AU196" i="24"/>
  <c r="AT196" i="24"/>
  <c r="AO196" i="24" s="1"/>
  <c r="AJ196" i="24"/>
  <c r="AA196" i="24"/>
  <c r="Z196" i="24"/>
  <c r="N196" i="24"/>
  <c r="M196" i="24"/>
  <c r="F196" i="24"/>
  <c r="I196" i="24" s="1"/>
  <c r="E196" i="24"/>
  <c r="D196" i="24"/>
  <c r="BG195" i="24"/>
  <c r="BF195" i="24"/>
  <c r="AU195" i="24"/>
  <c r="AT195" i="24"/>
  <c r="AO195" i="24" s="1"/>
  <c r="AJ195" i="24"/>
  <c r="AA195" i="24"/>
  <c r="Z195" i="24"/>
  <c r="N195" i="24"/>
  <c r="M195" i="24"/>
  <c r="F195" i="24"/>
  <c r="H195" i="24" s="1"/>
  <c r="E195" i="24"/>
  <c r="D195" i="24"/>
  <c r="BG194" i="24"/>
  <c r="BF194" i="24"/>
  <c r="AU194" i="24"/>
  <c r="AT194" i="24"/>
  <c r="AO194" i="24" s="1"/>
  <c r="AP194" i="24" s="1"/>
  <c r="AM194" i="24" s="1"/>
  <c r="AL194" i="24"/>
  <c r="AK194" i="24"/>
  <c r="AA194" i="24"/>
  <c r="Z194" i="24"/>
  <c r="N194" i="24"/>
  <c r="M194" i="24"/>
  <c r="F194" i="24"/>
  <c r="I194" i="24" s="1"/>
  <c r="E194" i="24"/>
  <c r="D194" i="24"/>
  <c r="BG193" i="24"/>
  <c r="BF193" i="24"/>
  <c r="AU193" i="24"/>
  <c r="AT193" i="24"/>
  <c r="AO193" i="24" s="1"/>
  <c r="AJ193" i="24"/>
  <c r="AA193" i="24"/>
  <c r="Z193" i="24"/>
  <c r="N193" i="24"/>
  <c r="M193" i="24"/>
  <c r="F193" i="24"/>
  <c r="I193" i="24" s="1"/>
  <c r="E193" i="24"/>
  <c r="D193" i="24"/>
  <c r="BG192" i="24"/>
  <c r="BF192" i="24"/>
  <c r="AU192" i="24"/>
  <c r="AT192" i="24"/>
  <c r="AO192" i="24" s="1"/>
  <c r="AJ192" i="24"/>
  <c r="AA192" i="24"/>
  <c r="Z192" i="24"/>
  <c r="N192" i="24"/>
  <c r="M192" i="24"/>
  <c r="F192" i="24"/>
  <c r="H192" i="24" s="1"/>
  <c r="E192" i="24"/>
  <c r="D192" i="24"/>
  <c r="BG191" i="24"/>
  <c r="BF191" i="24"/>
  <c r="AO191" i="24"/>
  <c r="AP191" i="24" s="1"/>
  <c r="AM191" i="24" s="1"/>
  <c r="AJ191" i="24"/>
  <c r="AA191" i="24"/>
  <c r="Z191" i="24"/>
  <c r="N191" i="24"/>
  <c r="M191" i="24"/>
  <c r="F191" i="24"/>
  <c r="H191" i="24" s="1"/>
  <c r="E191" i="24"/>
  <c r="D191" i="24"/>
  <c r="BG190" i="24"/>
  <c r="BF190" i="24"/>
  <c r="AP190" i="24"/>
  <c r="AO190" i="24"/>
  <c r="AA190" i="24"/>
  <c r="Z190" i="24"/>
  <c r="N190" i="24"/>
  <c r="M190" i="24"/>
  <c r="F190" i="24"/>
  <c r="H190" i="24" s="1"/>
  <c r="E190" i="24"/>
  <c r="D190" i="24"/>
  <c r="BG189" i="24"/>
  <c r="BF189" i="24"/>
  <c r="AO189" i="24"/>
  <c r="AJ189" i="24"/>
  <c r="AA189" i="24"/>
  <c r="Z189" i="24"/>
  <c r="N189" i="24"/>
  <c r="M189" i="24"/>
  <c r="F189" i="24"/>
  <c r="I189" i="24" s="1"/>
  <c r="E189" i="24"/>
  <c r="D189" i="24"/>
  <c r="BG188" i="24"/>
  <c r="BF188" i="24"/>
  <c r="AP188" i="24"/>
  <c r="AO188" i="24"/>
  <c r="AL188" i="24"/>
  <c r="AK188" i="24"/>
  <c r="AA188" i="24"/>
  <c r="Z188" i="24"/>
  <c r="N188" i="24"/>
  <c r="M188" i="24"/>
  <c r="F188" i="24"/>
  <c r="H188" i="24" s="1"/>
  <c r="E188" i="24"/>
  <c r="D188" i="24"/>
  <c r="C188" i="24" s="1"/>
  <c r="BG187" i="24"/>
  <c r="BF187" i="24"/>
  <c r="AP187" i="24"/>
  <c r="AO187" i="24"/>
  <c r="AL187" i="24"/>
  <c r="AK187" i="24"/>
  <c r="AA187" i="24"/>
  <c r="Z187" i="24"/>
  <c r="N187" i="24"/>
  <c r="M187" i="24"/>
  <c r="H187" i="24"/>
  <c r="F187" i="24"/>
  <c r="I187" i="24" s="1"/>
  <c r="E187" i="24"/>
  <c r="D187" i="24"/>
  <c r="BG186" i="24"/>
  <c r="BF186" i="24"/>
  <c r="AP186" i="24"/>
  <c r="AO186" i="24"/>
  <c r="AL186" i="24"/>
  <c r="AK186" i="24"/>
  <c r="AA186" i="24"/>
  <c r="Z186" i="24"/>
  <c r="N186" i="24"/>
  <c r="M186" i="24"/>
  <c r="F186" i="24"/>
  <c r="H186" i="24" s="1"/>
  <c r="C186" i="24"/>
  <c r="BG185" i="24"/>
  <c r="BF185" i="24"/>
  <c r="AS185" i="24"/>
  <c r="AM185" i="24" s="1"/>
  <c r="AA185" i="24"/>
  <c r="Z185" i="24"/>
  <c r="N185" i="24"/>
  <c r="M185" i="24"/>
  <c r="F185" i="24"/>
  <c r="I185" i="24" s="1"/>
  <c r="C185" i="24"/>
  <c r="BG184" i="24"/>
  <c r="BF184" i="24"/>
  <c r="AS184" i="24"/>
  <c r="AM184" i="24" s="1"/>
  <c r="AA184" i="24"/>
  <c r="Z184" i="24"/>
  <c r="N184" i="24"/>
  <c r="M184" i="24"/>
  <c r="F184" i="24"/>
  <c r="I184" i="24" s="1"/>
  <c r="C184" i="24"/>
  <c r="BG183" i="24"/>
  <c r="BF183" i="24"/>
  <c r="AS183" i="24"/>
  <c r="AM183" i="24" s="1"/>
  <c r="AO183" i="24" s="1"/>
  <c r="AA183" i="24"/>
  <c r="Z183" i="24"/>
  <c r="N183" i="24"/>
  <c r="M183" i="24"/>
  <c r="F183" i="24"/>
  <c r="H183" i="24" s="1"/>
  <c r="C183" i="24"/>
  <c r="BG182" i="24"/>
  <c r="BF182" i="24"/>
  <c r="AS182" i="24"/>
  <c r="AM182" i="24" s="1"/>
  <c r="AA182" i="24"/>
  <c r="Z182" i="24"/>
  <c r="N182" i="24"/>
  <c r="M182" i="24"/>
  <c r="F182" i="24"/>
  <c r="I182" i="24" s="1"/>
  <c r="C182" i="24"/>
  <c r="BG181" i="24"/>
  <c r="BF181" i="24"/>
  <c r="AS181" i="24"/>
  <c r="AM181" i="24" s="1"/>
  <c r="AA181" i="24"/>
  <c r="Z181" i="24"/>
  <c r="N181" i="24"/>
  <c r="M181" i="24"/>
  <c r="F181" i="24"/>
  <c r="I181" i="24" s="1"/>
  <c r="C181" i="24"/>
  <c r="BG180" i="24"/>
  <c r="BF180" i="24"/>
  <c r="AS180" i="24"/>
  <c r="AM180" i="24" s="1"/>
  <c r="AA180" i="24"/>
  <c r="Z180" i="24"/>
  <c r="N180" i="24"/>
  <c r="M180" i="24"/>
  <c r="I180" i="24"/>
  <c r="F180" i="24"/>
  <c r="H180" i="24" s="1"/>
  <c r="C180" i="24"/>
  <c r="BG179" i="24"/>
  <c r="BF179" i="24"/>
  <c r="AS179" i="24"/>
  <c r="AM179" i="24" s="1"/>
  <c r="AA179" i="24"/>
  <c r="Z179" i="24"/>
  <c r="N179" i="24"/>
  <c r="M179" i="24"/>
  <c r="F179" i="24"/>
  <c r="I179" i="24" s="1"/>
  <c r="C179" i="24"/>
  <c r="BG178" i="24"/>
  <c r="BF178" i="24"/>
  <c r="AS178" i="24"/>
  <c r="AM178" i="24" s="1"/>
  <c r="AA178" i="24"/>
  <c r="Z178" i="24"/>
  <c r="N178" i="24"/>
  <c r="M178" i="24"/>
  <c r="F178" i="24"/>
  <c r="H178" i="24" s="1"/>
  <c r="C178" i="24"/>
  <c r="BG177" i="24"/>
  <c r="BF177" i="24"/>
  <c r="AS177" i="24"/>
  <c r="AM177" i="24" s="1"/>
  <c r="AA177" i="24"/>
  <c r="Z177" i="24"/>
  <c r="N177" i="24"/>
  <c r="M177" i="24"/>
  <c r="F177" i="24"/>
  <c r="I177" i="24" s="1"/>
  <c r="C177" i="24"/>
  <c r="BG176" i="24"/>
  <c r="BF176" i="24"/>
  <c r="AS176" i="24"/>
  <c r="AM176" i="24" s="1"/>
  <c r="AA176" i="24"/>
  <c r="Z176" i="24"/>
  <c r="N176" i="24"/>
  <c r="M176" i="24"/>
  <c r="F176" i="24"/>
  <c r="C176" i="24"/>
  <c r="BG175" i="24"/>
  <c r="BF175" i="24"/>
  <c r="AS175" i="24"/>
  <c r="AM175" i="24"/>
  <c r="AP175" i="24" s="1"/>
  <c r="AA175" i="24"/>
  <c r="Z175" i="24"/>
  <c r="N175" i="24"/>
  <c r="M175" i="24"/>
  <c r="F175" i="24"/>
  <c r="H175" i="24" s="1"/>
  <c r="C175" i="24"/>
  <c r="BG174" i="24"/>
  <c r="BF174" i="24"/>
  <c r="AS174" i="24"/>
  <c r="AM174" i="24" s="1"/>
  <c r="AA174" i="24"/>
  <c r="Z174" i="24"/>
  <c r="N174" i="24"/>
  <c r="M174" i="24"/>
  <c r="F174" i="24"/>
  <c r="I174" i="24" s="1"/>
  <c r="C174" i="24"/>
  <c r="BG173" i="24"/>
  <c r="BF173" i="24"/>
  <c r="AS173" i="24"/>
  <c r="AM173" i="24" s="1"/>
  <c r="AA173" i="24"/>
  <c r="Z173" i="24"/>
  <c r="N173" i="24"/>
  <c r="M173" i="24"/>
  <c r="F173" i="24"/>
  <c r="H173" i="24" s="1"/>
  <c r="C173" i="24"/>
  <c r="BG172" i="24"/>
  <c r="BF172" i="24"/>
  <c r="AS172" i="24"/>
  <c r="AM172" i="24" s="1"/>
  <c r="AA172" i="24"/>
  <c r="Z172" i="24"/>
  <c r="N172" i="24"/>
  <c r="M172" i="24"/>
  <c r="F172" i="24"/>
  <c r="C172" i="24"/>
  <c r="BG171" i="24"/>
  <c r="BF171" i="24"/>
  <c r="AS171" i="24"/>
  <c r="AM171" i="24" s="1"/>
  <c r="AP171" i="24" s="1"/>
  <c r="AA171" i="24"/>
  <c r="Z171" i="24"/>
  <c r="N171" i="24"/>
  <c r="F171" i="24"/>
  <c r="H171" i="24" s="1"/>
  <c r="C171" i="24"/>
  <c r="BG170" i="24"/>
  <c r="BF170" i="24"/>
  <c r="AS170" i="24"/>
  <c r="AM170" i="24" s="1"/>
  <c r="AA170" i="24"/>
  <c r="Z170" i="24"/>
  <c r="N170" i="24"/>
  <c r="F170" i="24"/>
  <c r="H170" i="24" s="1"/>
  <c r="C170" i="24"/>
  <c r="BG169" i="24"/>
  <c r="BF169" i="24"/>
  <c r="AS169" i="24"/>
  <c r="AM169" i="24" s="1"/>
  <c r="AA169" i="24"/>
  <c r="Z169" i="24"/>
  <c r="N169" i="24"/>
  <c r="M169" i="24"/>
  <c r="F169" i="24"/>
  <c r="C169" i="24"/>
  <c r="BG168" i="24"/>
  <c r="BF168" i="24"/>
  <c r="AP168" i="24"/>
  <c r="AO168" i="24" s="1"/>
  <c r="AM168" i="24" s="1"/>
  <c r="AJ168" i="24"/>
  <c r="AA168" i="24"/>
  <c r="Z168" i="24"/>
  <c r="N168" i="24"/>
  <c r="M168" i="24"/>
  <c r="F168" i="24"/>
  <c r="I168" i="24" s="1"/>
  <c r="C168" i="24"/>
  <c r="BG167" i="24"/>
  <c r="BF167" i="24"/>
  <c r="AP167" i="24"/>
  <c r="AO167" i="24" s="1"/>
  <c r="AM167" i="24" s="1"/>
  <c r="AJ167" i="24"/>
  <c r="AA167" i="24"/>
  <c r="Z167" i="24"/>
  <c r="N167" i="24"/>
  <c r="F167" i="24"/>
  <c r="H167" i="24" s="1"/>
  <c r="C167" i="24"/>
  <c r="BG166" i="24"/>
  <c r="BF166" i="24"/>
  <c r="AP166" i="24"/>
  <c r="AO166" i="24" s="1"/>
  <c r="AM166" i="24" s="1"/>
  <c r="AJ166" i="24"/>
  <c r="AA166" i="24"/>
  <c r="Z166" i="24"/>
  <c r="I166" i="24"/>
  <c r="H166" i="24"/>
  <c r="F166" i="24"/>
  <c r="BG165" i="24"/>
  <c r="BF165" i="24"/>
  <c r="AP165" i="24"/>
  <c r="AO165" i="24" s="1"/>
  <c r="AM165" i="24" s="1"/>
  <c r="AJ165" i="24"/>
  <c r="AA165" i="24"/>
  <c r="Z165" i="24"/>
  <c r="I165" i="24"/>
  <c r="H165" i="24"/>
  <c r="F165" i="24"/>
  <c r="BG164" i="24"/>
  <c r="BF164" i="24"/>
  <c r="AP164" i="24"/>
  <c r="AO164" i="24" s="1"/>
  <c r="AM164" i="24" s="1"/>
  <c r="AJ164" i="24"/>
  <c r="AA164" i="24"/>
  <c r="Z164" i="24"/>
  <c r="I164" i="24"/>
  <c r="H164" i="24"/>
  <c r="F164" i="24"/>
  <c r="BG163" i="24"/>
  <c r="BF163" i="24"/>
  <c r="AU163" i="24"/>
  <c r="AT163" i="24"/>
  <c r="AS163" i="24"/>
  <c r="AP163" i="24"/>
  <c r="AO163" i="24"/>
  <c r="AJ163" i="24"/>
  <c r="AA163" i="24"/>
  <c r="Z163" i="24"/>
  <c r="I163" i="24"/>
  <c r="H163" i="24"/>
  <c r="F163" i="24"/>
  <c r="BG162" i="24"/>
  <c r="BF162" i="24"/>
  <c r="AU162" i="24"/>
  <c r="AT162" i="24"/>
  <c r="AS162" i="24"/>
  <c r="AP162" i="24"/>
  <c r="AO162" i="24"/>
  <c r="AM162" i="24" s="1"/>
  <c r="AJ162" i="24"/>
  <c r="AA162" i="24"/>
  <c r="Z162" i="24"/>
  <c r="I162" i="24"/>
  <c r="H162" i="24"/>
  <c r="F162" i="24"/>
  <c r="BG161" i="24"/>
  <c r="BF161" i="24"/>
  <c r="AU161" i="24"/>
  <c r="AT161" i="24"/>
  <c r="AS161" i="24"/>
  <c r="AP161" i="24"/>
  <c r="AO161" i="24"/>
  <c r="AJ161" i="24"/>
  <c r="AA161" i="24"/>
  <c r="Z161" i="24"/>
  <c r="I161" i="24"/>
  <c r="H161" i="24"/>
  <c r="F161" i="24"/>
  <c r="BG160" i="24"/>
  <c r="BF160" i="24"/>
  <c r="AU160" i="24"/>
  <c r="AT160" i="24"/>
  <c r="AS160" i="24"/>
  <c r="AP160" i="24"/>
  <c r="AO160" i="24"/>
  <c r="AM160" i="24" s="1"/>
  <c r="AJ160" i="24"/>
  <c r="AA160" i="24"/>
  <c r="Z160" i="24"/>
  <c r="I160" i="24"/>
  <c r="H160" i="24"/>
  <c r="F160" i="24"/>
  <c r="BG159" i="24"/>
  <c r="BF159" i="24"/>
  <c r="AU159" i="24"/>
  <c r="AT159" i="24"/>
  <c r="AS159" i="24"/>
  <c r="AP159" i="24"/>
  <c r="AO159" i="24"/>
  <c r="AM159" i="24" s="1"/>
  <c r="AJ159" i="24"/>
  <c r="AA159" i="24"/>
  <c r="Z159" i="24"/>
  <c r="I159" i="24"/>
  <c r="H159" i="24"/>
  <c r="F159" i="24"/>
  <c r="BG158" i="24"/>
  <c r="BF158" i="24"/>
  <c r="AU158" i="24"/>
  <c r="AT158" i="24"/>
  <c r="AS158" i="24"/>
  <c r="AP158" i="24"/>
  <c r="AO158" i="24"/>
  <c r="AM158" i="24" s="1"/>
  <c r="AJ158" i="24"/>
  <c r="AA158" i="24"/>
  <c r="Z158" i="24"/>
  <c r="I158" i="24"/>
  <c r="H158" i="24"/>
  <c r="F158" i="24"/>
  <c r="BG157" i="24"/>
  <c r="BF157" i="24"/>
  <c r="AU157" i="24"/>
  <c r="AT157" i="24"/>
  <c r="AS157" i="24"/>
  <c r="AP157" i="24"/>
  <c r="AO157" i="24"/>
  <c r="AJ157" i="24"/>
  <c r="AA157" i="24"/>
  <c r="Z157" i="24"/>
  <c r="I157" i="24"/>
  <c r="H157" i="24"/>
  <c r="F157" i="24"/>
  <c r="BG156" i="24"/>
  <c r="BF156" i="24"/>
  <c r="AU156" i="24"/>
  <c r="AT156" i="24"/>
  <c r="AS156" i="24"/>
  <c r="AP156" i="24"/>
  <c r="AM156" i="24" s="1"/>
  <c r="AO156" i="24"/>
  <c r="AJ156" i="24"/>
  <c r="AA156" i="24"/>
  <c r="Z156" i="24"/>
  <c r="I156" i="24"/>
  <c r="H156" i="24"/>
  <c r="F156" i="24"/>
  <c r="BG155" i="24"/>
  <c r="BF155" i="24"/>
  <c r="AU155" i="24"/>
  <c r="AT155" i="24"/>
  <c r="AS155" i="24"/>
  <c r="AP155" i="24"/>
  <c r="AO155" i="24"/>
  <c r="AJ155" i="24"/>
  <c r="AA155" i="24"/>
  <c r="Z155" i="24"/>
  <c r="I155" i="24"/>
  <c r="H155" i="24"/>
  <c r="F155" i="24"/>
  <c r="BG154" i="24"/>
  <c r="BF154" i="24"/>
  <c r="AU154" i="24"/>
  <c r="AT154" i="24"/>
  <c r="AS154" i="24"/>
  <c r="AP154" i="24"/>
  <c r="AO154" i="24"/>
  <c r="AJ154" i="24"/>
  <c r="AA154" i="24"/>
  <c r="Z154" i="24"/>
  <c r="I154" i="24"/>
  <c r="H154" i="24"/>
  <c r="F154" i="24"/>
  <c r="BG153" i="24"/>
  <c r="BF153" i="24"/>
  <c r="AU153" i="24"/>
  <c r="AT153" i="24"/>
  <c r="AS153" i="24"/>
  <c r="AP153" i="24"/>
  <c r="AO153" i="24"/>
  <c r="AJ153" i="24"/>
  <c r="AA153" i="24"/>
  <c r="Z153" i="24"/>
  <c r="I153" i="24"/>
  <c r="H153" i="24"/>
  <c r="F153" i="24"/>
  <c r="BG152" i="24"/>
  <c r="BF152" i="24"/>
  <c r="AU152" i="24"/>
  <c r="AT152" i="24"/>
  <c r="AS152" i="24"/>
  <c r="AP152" i="24"/>
  <c r="AO152" i="24"/>
  <c r="AJ152" i="24"/>
  <c r="AA152" i="24"/>
  <c r="Z152" i="24"/>
  <c r="I152" i="24"/>
  <c r="H152" i="24"/>
  <c r="F152" i="24"/>
  <c r="BG151" i="24"/>
  <c r="BF151" i="24"/>
  <c r="AU151" i="24"/>
  <c r="AT151" i="24"/>
  <c r="AS151" i="24"/>
  <c r="AP151" i="24"/>
  <c r="AO151" i="24"/>
  <c r="AM151" i="24" s="1"/>
  <c r="AJ151" i="24"/>
  <c r="AA151" i="24"/>
  <c r="Z151" i="24"/>
  <c r="I151" i="24"/>
  <c r="H151" i="24"/>
  <c r="F151" i="24"/>
  <c r="BG150" i="24"/>
  <c r="BF150" i="24"/>
  <c r="AU150" i="24"/>
  <c r="AT150" i="24"/>
  <c r="AS150" i="24"/>
  <c r="AP150" i="24"/>
  <c r="AO150" i="24"/>
  <c r="AJ150" i="24"/>
  <c r="AA150" i="24"/>
  <c r="Z150" i="24"/>
  <c r="I150" i="24"/>
  <c r="H150" i="24"/>
  <c r="F150" i="24"/>
  <c r="BG149" i="24"/>
  <c r="BF149" i="24"/>
  <c r="AU149" i="24"/>
  <c r="AT149" i="24"/>
  <c r="AS149" i="24"/>
  <c r="AP149" i="24"/>
  <c r="AO149" i="24"/>
  <c r="AJ149" i="24"/>
  <c r="AA149" i="24"/>
  <c r="Z149" i="24"/>
  <c r="I149" i="24"/>
  <c r="H149" i="24"/>
  <c r="F149" i="24"/>
  <c r="BG148" i="24"/>
  <c r="BF148" i="24"/>
  <c r="AU148" i="24"/>
  <c r="AT148" i="24"/>
  <c r="AS148" i="24"/>
  <c r="AM148" i="24" s="1"/>
  <c r="AP148" i="24" s="1"/>
  <c r="AJ148" i="24"/>
  <c r="AA148" i="24"/>
  <c r="Z148" i="24"/>
  <c r="I148" i="24"/>
  <c r="H148" i="24"/>
  <c r="F148" i="24"/>
  <c r="BG147" i="24"/>
  <c r="BF147" i="24"/>
  <c r="AU147" i="24"/>
  <c r="AT147" i="24"/>
  <c r="AS147" i="24"/>
  <c r="AM147" i="24" s="1"/>
  <c r="AJ147" i="24"/>
  <c r="AA147" i="24"/>
  <c r="Z147" i="24"/>
  <c r="I147" i="24"/>
  <c r="H147" i="24"/>
  <c r="F147" i="24"/>
  <c r="E147" i="24"/>
  <c r="D147" i="24"/>
  <c r="BG146" i="24"/>
  <c r="BF146" i="24"/>
  <c r="AU146" i="24"/>
  <c r="AT146" i="24"/>
  <c r="AP146" i="24"/>
  <c r="AO146" i="24"/>
  <c r="AJ146" i="24"/>
  <c r="AA146" i="24"/>
  <c r="Z146" i="24"/>
  <c r="I146" i="24"/>
  <c r="H146" i="24"/>
  <c r="F146" i="24"/>
  <c r="E146" i="24"/>
  <c r="D146" i="24"/>
  <c r="BG145" i="24"/>
  <c r="BF145" i="24"/>
  <c r="AU145" i="24"/>
  <c r="AT145" i="24"/>
  <c r="AP145" i="24"/>
  <c r="AO145" i="24"/>
  <c r="AJ145" i="24"/>
  <c r="AA145" i="24"/>
  <c r="Z145" i="24"/>
  <c r="I145" i="24"/>
  <c r="H145" i="24"/>
  <c r="F145" i="24"/>
  <c r="E145" i="24"/>
  <c r="D145" i="24"/>
  <c r="BG144" i="24"/>
  <c r="BF144" i="24"/>
  <c r="AU144" i="24"/>
  <c r="AT144" i="24"/>
  <c r="AP144" i="24"/>
  <c r="AO144" i="24"/>
  <c r="AJ144" i="24"/>
  <c r="AA144" i="24"/>
  <c r="Z144" i="24"/>
  <c r="I144" i="24"/>
  <c r="H144" i="24"/>
  <c r="F144" i="24"/>
  <c r="E144" i="24"/>
  <c r="D144" i="24"/>
  <c r="BG143" i="24"/>
  <c r="BF143" i="24"/>
  <c r="AU143" i="24"/>
  <c r="AT143" i="24"/>
  <c r="AP143" i="24"/>
  <c r="AO143" i="24"/>
  <c r="AM143" i="24" s="1"/>
  <c r="AJ143" i="24"/>
  <c r="AA143" i="24"/>
  <c r="Z143" i="24"/>
  <c r="I143" i="24"/>
  <c r="H143" i="24"/>
  <c r="F143" i="24"/>
  <c r="E143" i="24"/>
  <c r="D143" i="24"/>
  <c r="BG142" i="24"/>
  <c r="BF142" i="24"/>
  <c r="AU142" i="24"/>
  <c r="AT142" i="24"/>
  <c r="AP142" i="24"/>
  <c r="AM142" i="24" s="1"/>
  <c r="AO142" i="24"/>
  <c r="AJ142" i="24"/>
  <c r="AA142" i="24"/>
  <c r="Z142" i="24"/>
  <c r="I142" i="24"/>
  <c r="H142" i="24"/>
  <c r="F142" i="24"/>
  <c r="E142" i="24"/>
  <c r="D142" i="24"/>
  <c r="BG141" i="24"/>
  <c r="BF141" i="24"/>
  <c r="AU141" i="24"/>
  <c r="AT141" i="24"/>
  <c r="AP141" i="24"/>
  <c r="AO141" i="24"/>
  <c r="AJ141" i="24"/>
  <c r="AA141" i="24"/>
  <c r="Z141" i="24"/>
  <c r="I141" i="24"/>
  <c r="H141" i="24"/>
  <c r="F141" i="24"/>
  <c r="E141" i="24"/>
  <c r="D141" i="24"/>
  <c r="BG140" i="24"/>
  <c r="BF140" i="24"/>
  <c r="AU140" i="24"/>
  <c r="AT140" i="24"/>
  <c r="AP140" i="24"/>
  <c r="AO140" i="24"/>
  <c r="AM140" i="24" s="1"/>
  <c r="AJ140" i="24"/>
  <c r="AA140" i="24"/>
  <c r="Z140" i="24"/>
  <c r="I140" i="24"/>
  <c r="H140" i="24"/>
  <c r="F140" i="24"/>
  <c r="E140" i="24"/>
  <c r="D140" i="24"/>
  <c r="BG139" i="24"/>
  <c r="BF139" i="24"/>
  <c r="AU139" i="24"/>
  <c r="AT139" i="24"/>
  <c r="AP139" i="24"/>
  <c r="AO139" i="24"/>
  <c r="AJ139" i="24"/>
  <c r="AA139" i="24"/>
  <c r="Z139" i="24"/>
  <c r="I139" i="24"/>
  <c r="H139" i="24"/>
  <c r="F139" i="24"/>
  <c r="E139" i="24"/>
  <c r="D139" i="24"/>
  <c r="BG138" i="24"/>
  <c r="BF138" i="24"/>
  <c r="AU138" i="24"/>
  <c r="AT138" i="24"/>
  <c r="AP138" i="24"/>
  <c r="AO138" i="24"/>
  <c r="AJ138" i="24"/>
  <c r="AA138" i="24"/>
  <c r="Z138" i="24"/>
  <c r="I138" i="24"/>
  <c r="H138" i="24"/>
  <c r="F138" i="24"/>
  <c r="E138" i="24"/>
  <c r="D138" i="24"/>
  <c r="BG137" i="24"/>
  <c r="BF137" i="24"/>
  <c r="AU137" i="24"/>
  <c r="AT137" i="24"/>
  <c r="AP137" i="24"/>
  <c r="AO137" i="24"/>
  <c r="AJ137" i="24"/>
  <c r="AA137" i="24"/>
  <c r="Z137" i="24"/>
  <c r="I137" i="24"/>
  <c r="H137" i="24"/>
  <c r="F137" i="24"/>
  <c r="E137" i="24"/>
  <c r="D137" i="24"/>
  <c r="BG136" i="24"/>
  <c r="BF136" i="24"/>
  <c r="AU136" i="24"/>
  <c r="AT136" i="24"/>
  <c r="AP136" i="24"/>
  <c r="AO136" i="24"/>
  <c r="AJ136" i="24"/>
  <c r="AA136" i="24"/>
  <c r="Z136" i="24"/>
  <c r="L136" i="24"/>
  <c r="F136" i="24" s="1"/>
  <c r="I136" i="24" s="1"/>
  <c r="C136" i="24"/>
  <c r="BG135" i="24"/>
  <c r="BF135" i="24"/>
  <c r="AU135" i="24"/>
  <c r="AT135" i="24"/>
  <c r="AP135" i="24"/>
  <c r="AO135" i="24"/>
  <c r="AJ135" i="24"/>
  <c r="AA135" i="24"/>
  <c r="Z135" i="24"/>
  <c r="N135" i="24"/>
  <c r="M135" i="24"/>
  <c r="F135" i="24"/>
  <c r="I135" i="24" s="1"/>
  <c r="C135" i="24"/>
  <c r="BG134" i="24"/>
  <c r="BF134" i="24"/>
  <c r="AU134" i="24"/>
  <c r="AT134" i="24"/>
  <c r="AP134" i="24"/>
  <c r="AO134" i="24"/>
  <c r="AM134" i="24" s="1"/>
  <c r="AJ134" i="24"/>
  <c r="AA134" i="24"/>
  <c r="Z134" i="24"/>
  <c r="N134" i="24"/>
  <c r="M134" i="24"/>
  <c r="F134" i="24"/>
  <c r="H134" i="24" s="1"/>
  <c r="C134" i="24"/>
  <c r="BG133" i="24"/>
  <c r="BF133" i="24"/>
  <c r="AP133" i="24"/>
  <c r="AO133" i="24"/>
  <c r="AA133" i="24"/>
  <c r="Z133" i="24"/>
  <c r="N133" i="24"/>
  <c r="M133" i="24"/>
  <c r="F133" i="24"/>
  <c r="I133" i="24" s="1"/>
  <c r="C133" i="24"/>
  <c r="BG132" i="24"/>
  <c r="BF132" i="24"/>
  <c r="AP132" i="24"/>
  <c r="AO132" i="24"/>
  <c r="AA132" i="24"/>
  <c r="Z132" i="24"/>
  <c r="N132" i="24"/>
  <c r="M132" i="24"/>
  <c r="F132" i="24"/>
  <c r="I132" i="24" s="1"/>
  <c r="C132" i="24"/>
  <c r="BG131" i="24"/>
  <c r="BF131" i="24"/>
  <c r="AP131" i="24"/>
  <c r="AO131" i="24"/>
  <c r="AA131" i="24"/>
  <c r="Z131" i="24"/>
  <c r="N131" i="24"/>
  <c r="M131" i="24"/>
  <c r="F131" i="24"/>
  <c r="I131" i="24" s="1"/>
  <c r="C131" i="24"/>
  <c r="BG130" i="24"/>
  <c r="BF130" i="24"/>
  <c r="AP130" i="24"/>
  <c r="AO130" i="24"/>
  <c r="AM130" i="24" s="1"/>
  <c r="AA130" i="24"/>
  <c r="Z130" i="24"/>
  <c r="F130" i="24"/>
  <c r="I130" i="24" s="1"/>
  <c r="C130" i="24"/>
  <c r="BG129" i="24"/>
  <c r="BF129" i="24"/>
  <c r="AP129" i="24"/>
  <c r="AO129" i="24"/>
  <c r="AM129" i="24" s="1"/>
  <c r="AA129" i="24"/>
  <c r="Z129" i="24"/>
  <c r="F129" i="24"/>
  <c r="I129" i="24" s="1"/>
  <c r="C129" i="24"/>
  <c r="BG128" i="24"/>
  <c r="BF128" i="24"/>
  <c r="AP128" i="24"/>
  <c r="AO128" i="24"/>
  <c r="AM128" i="24" s="1"/>
  <c r="AA128" i="24"/>
  <c r="Z128" i="24"/>
  <c r="F128" i="24"/>
  <c r="H128" i="24" s="1"/>
  <c r="C128" i="24"/>
  <c r="BG127" i="24"/>
  <c r="BF127" i="24"/>
  <c r="AP127" i="24"/>
  <c r="AO127" i="24"/>
  <c r="AM127" i="24" s="1"/>
  <c r="AA127" i="24"/>
  <c r="Z127" i="24"/>
  <c r="F127" i="24"/>
  <c r="H127" i="24" s="1"/>
  <c r="C127" i="24"/>
  <c r="BG126" i="24"/>
  <c r="BF126" i="24"/>
  <c r="AP126" i="24"/>
  <c r="AO126" i="24"/>
  <c r="AA126" i="24"/>
  <c r="Z126" i="24"/>
  <c r="F126" i="24"/>
  <c r="C126" i="24"/>
  <c r="BG125" i="24"/>
  <c r="BF125" i="24"/>
  <c r="AP125" i="24"/>
  <c r="AO125" i="24"/>
  <c r="AM125" i="24" s="1"/>
  <c r="AA125" i="24"/>
  <c r="Z125" i="24"/>
  <c r="I125" i="24"/>
  <c r="F125" i="24"/>
  <c r="H125" i="24" s="1"/>
  <c r="C125" i="24"/>
  <c r="BG124" i="24"/>
  <c r="BF124" i="24"/>
  <c r="AM124" i="24"/>
  <c r="AP124" i="24" s="1"/>
  <c r="AJ124" i="24"/>
  <c r="AA124" i="24"/>
  <c r="Z124" i="24"/>
  <c r="F124" i="24"/>
  <c r="H124" i="24" s="1"/>
  <c r="C124" i="24"/>
  <c r="BG123" i="24"/>
  <c r="BF123" i="24"/>
  <c r="AM123" i="24"/>
  <c r="AP123" i="24" s="1"/>
  <c r="AJ123" i="24"/>
  <c r="AA123" i="24"/>
  <c r="Z123" i="24"/>
  <c r="F123" i="24"/>
  <c r="H123" i="24" s="1"/>
  <c r="C123" i="24"/>
  <c r="D123" i="24" s="1"/>
  <c r="BG122" i="24"/>
  <c r="BF122" i="24"/>
  <c r="AP122" i="24"/>
  <c r="AM122" i="24"/>
  <c r="AO122" i="24" s="1"/>
  <c r="AJ122" i="24"/>
  <c r="AA122" i="24"/>
  <c r="Z122" i="24"/>
  <c r="F122" i="24"/>
  <c r="I122" i="24" s="1"/>
  <c r="C122" i="24"/>
  <c r="E122" i="24" s="1"/>
  <c r="BG121" i="24"/>
  <c r="BF121" i="24"/>
  <c r="AM121" i="24"/>
  <c r="AP121" i="24" s="1"/>
  <c r="AJ121" i="24"/>
  <c r="AA121" i="24"/>
  <c r="Z121" i="24"/>
  <c r="F121" i="24"/>
  <c r="H121" i="24" s="1"/>
  <c r="C121" i="24"/>
  <c r="D121" i="24" s="1"/>
  <c r="BG120" i="24"/>
  <c r="BF120" i="24"/>
  <c r="AM120" i="24"/>
  <c r="AO120" i="24" s="1"/>
  <c r="AJ120" i="24"/>
  <c r="AA120" i="24"/>
  <c r="Z120" i="24"/>
  <c r="F120" i="24"/>
  <c r="I120" i="24" s="1"/>
  <c r="C120" i="24"/>
  <c r="BG119" i="24"/>
  <c r="BF119" i="24"/>
  <c r="AM119" i="24"/>
  <c r="AO119" i="24" s="1"/>
  <c r="AJ119" i="24"/>
  <c r="AA119" i="24"/>
  <c r="Z119" i="24"/>
  <c r="F119" i="24"/>
  <c r="H119" i="24" s="1"/>
  <c r="C119" i="24"/>
  <c r="D119" i="24" s="1"/>
  <c r="BG118" i="24"/>
  <c r="BF118" i="24"/>
  <c r="AP118" i="24"/>
  <c r="AM118" i="24"/>
  <c r="AO118" i="24" s="1"/>
  <c r="AJ118" i="24"/>
  <c r="AA118" i="24"/>
  <c r="Z118" i="24"/>
  <c r="F118" i="24"/>
  <c r="I118" i="24" s="1"/>
  <c r="C118" i="24"/>
  <c r="D118" i="24" s="1"/>
  <c r="BG117" i="24"/>
  <c r="BF117" i="24"/>
  <c r="AM117" i="24"/>
  <c r="AP117" i="24" s="1"/>
  <c r="AJ117" i="24"/>
  <c r="AA117" i="24"/>
  <c r="Z117" i="24"/>
  <c r="F117" i="24"/>
  <c r="H117" i="24" s="1"/>
  <c r="E117" i="24"/>
  <c r="C117" i="24"/>
  <c r="D117" i="24" s="1"/>
  <c r="BG116" i="24"/>
  <c r="BF116" i="24"/>
  <c r="AM116" i="24"/>
  <c r="AO116" i="24" s="1"/>
  <c r="AJ116" i="24"/>
  <c r="AA116" i="24"/>
  <c r="Z116" i="24"/>
  <c r="F116" i="24"/>
  <c r="H116" i="24" s="1"/>
  <c r="C116" i="24"/>
  <c r="BG115" i="24"/>
  <c r="BF115" i="24"/>
  <c r="AU115" i="24"/>
  <c r="AT115" i="24"/>
  <c r="AO115" i="24"/>
  <c r="AJ115" i="24"/>
  <c r="AA115" i="24"/>
  <c r="Z115" i="24"/>
  <c r="F115" i="24"/>
  <c r="H115" i="24" s="1"/>
  <c r="E115" i="24"/>
  <c r="C115" i="24"/>
  <c r="D115" i="24" s="1"/>
  <c r="BG114" i="24"/>
  <c r="BF114" i="24"/>
  <c r="AM114" i="24"/>
  <c r="AO114" i="24" s="1"/>
  <c r="AJ114" i="24"/>
  <c r="AA114" i="24"/>
  <c r="Z114" i="24"/>
  <c r="F114" i="24"/>
  <c r="I114" i="24" s="1"/>
  <c r="C114" i="24"/>
  <c r="D114" i="24" s="1"/>
  <c r="BG113" i="24"/>
  <c r="BF113" i="24"/>
  <c r="AM113" i="24"/>
  <c r="AP113" i="24" s="1"/>
  <c r="AJ113" i="24"/>
  <c r="AA113" i="24"/>
  <c r="Z113" i="24"/>
  <c r="F113" i="24"/>
  <c r="I113" i="24" s="1"/>
  <c r="C113" i="24"/>
  <c r="E113" i="24" s="1"/>
  <c r="BG112" i="24"/>
  <c r="BF112" i="24"/>
  <c r="AM112" i="24"/>
  <c r="AP112" i="24" s="1"/>
  <c r="AJ112" i="24"/>
  <c r="AA112" i="24"/>
  <c r="Z112" i="24"/>
  <c r="F112" i="24"/>
  <c r="I112" i="24" s="1"/>
  <c r="C112" i="24"/>
  <c r="BG111" i="24"/>
  <c r="BF111" i="24"/>
  <c r="AM111" i="24"/>
  <c r="AP111" i="24" s="1"/>
  <c r="AJ111" i="24"/>
  <c r="AA111" i="24"/>
  <c r="Z111" i="24"/>
  <c r="F111" i="24"/>
  <c r="H111" i="24" s="1"/>
  <c r="C111" i="24"/>
  <c r="E111" i="24" s="1"/>
  <c r="BG110" i="24"/>
  <c r="BF110" i="24"/>
  <c r="AM110" i="24"/>
  <c r="AO110" i="24" s="1"/>
  <c r="AJ110" i="24"/>
  <c r="AA110" i="24"/>
  <c r="Z110" i="24"/>
  <c r="F110" i="24"/>
  <c r="I110" i="24" s="1"/>
  <c r="C110" i="24"/>
  <c r="D110" i="24" s="1"/>
  <c r="BG109" i="24"/>
  <c r="BF109" i="24"/>
  <c r="AM109" i="24"/>
  <c r="AP109" i="24" s="1"/>
  <c r="AJ109" i="24"/>
  <c r="AA109" i="24"/>
  <c r="Z109" i="24"/>
  <c r="F109" i="24"/>
  <c r="I109" i="24" s="1"/>
  <c r="E109" i="24"/>
  <c r="D109" i="24"/>
  <c r="C109" i="24"/>
  <c r="BG108" i="24"/>
  <c r="BF108" i="24"/>
  <c r="AM108" i="24"/>
  <c r="AP108" i="24" s="1"/>
  <c r="AJ108" i="24"/>
  <c r="AA108" i="24"/>
  <c r="Z108" i="24"/>
  <c r="I108" i="24"/>
  <c r="F108" i="24"/>
  <c r="H108" i="24" s="1"/>
  <c r="C108" i="24"/>
  <c r="BG107" i="24"/>
  <c r="BF107" i="24"/>
  <c r="AM107" i="24"/>
  <c r="AP107" i="24" s="1"/>
  <c r="AJ107" i="24"/>
  <c r="AA107" i="24"/>
  <c r="Z107" i="24"/>
  <c r="F107" i="24"/>
  <c r="H107" i="24" s="1"/>
  <c r="C107" i="24"/>
  <c r="D107" i="24" s="1"/>
  <c r="BG106" i="24"/>
  <c r="BF106" i="24"/>
  <c r="AP106" i="24"/>
  <c r="AM106" i="24" s="1"/>
  <c r="AO106" i="24"/>
  <c r="AJ106" i="24"/>
  <c r="AA106" i="24"/>
  <c r="Z106" i="24"/>
  <c r="H106" i="24"/>
  <c r="F106" i="24"/>
  <c r="I106" i="24" s="1"/>
  <c r="C106" i="24"/>
  <c r="E106" i="24" s="1"/>
  <c r="BG105" i="24"/>
  <c r="BF105" i="24"/>
  <c r="AP105" i="24"/>
  <c r="AM105" i="24" s="1"/>
  <c r="AO105" i="24"/>
  <c r="AJ105" i="24"/>
  <c r="AA105" i="24"/>
  <c r="Z105" i="24"/>
  <c r="F105" i="24"/>
  <c r="H105" i="24" s="1"/>
  <c r="C105" i="24"/>
  <c r="E105" i="24" s="1"/>
  <c r="BG104" i="24"/>
  <c r="BF104" i="24"/>
  <c r="AP104" i="24"/>
  <c r="AO104" i="24"/>
  <c r="AJ104" i="24"/>
  <c r="AA104" i="24"/>
  <c r="Z104" i="24"/>
  <c r="F104" i="24"/>
  <c r="I104" i="24" s="1"/>
  <c r="C104" i="24"/>
  <c r="BG103" i="24"/>
  <c r="BF103" i="24"/>
  <c r="AP103" i="24"/>
  <c r="AO103" i="24"/>
  <c r="AJ103" i="24"/>
  <c r="AA103" i="24"/>
  <c r="Z103" i="24"/>
  <c r="F103" i="24"/>
  <c r="H103" i="24" s="1"/>
  <c r="C103" i="24"/>
  <c r="D103" i="24" s="1"/>
  <c r="BG102" i="24"/>
  <c r="BF102" i="24"/>
  <c r="AP102" i="24"/>
  <c r="AO102" i="24"/>
  <c r="AJ102" i="24"/>
  <c r="AA102" i="24"/>
  <c r="Z102" i="24"/>
  <c r="F102" i="24"/>
  <c r="I102" i="24" s="1"/>
  <c r="C102" i="24"/>
  <c r="D102" i="24" s="1"/>
  <c r="BG101" i="24"/>
  <c r="BF101" i="24"/>
  <c r="AP101" i="24"/>
  <c r="AO101" i="24"/>
  <c r="AJ101" i="24"/>
  <c r="AA101" i="24"/>
  <c r="Z101" i="24"/>
  <c r="F101" i="24"/>
  <c r="I101" i="24" s="1"/>
  <c r="C101" i="24"/>
  <c r="D101" i="24" s="1"/>
  <c r="BG100" i="24"/>
  <c r="BF100" i="24"/>
  <c r="AP100" i="24"/>
  <c r="AO100" i="24"/>
  <c r="AJ100" i="24"/>
  <c r="AA100" i="24"/>
  <c r="Z100" i="24"/>
  <c r="F100" i="24"/>
  <c r="H100" i="24" s="1"/>
  <c r="C100" i="24"/>
  <c r="BG99" i="24"/>
  <c r="BF99" i="24"/>
  <c r="AU99" i="24"/>
  <c r="AT99" i="24"/>
  <c r="AP99" i="24"/>
  <c r="AM99" i="24" s="1"/>
  <c r="AO99" i="24"/>
  <c r="AJ99" i="24"/>
  <c r="AA99" i="24"/>
  <c r="Z99" i="24"/>
  <c r="F99" i="24"/>
  <c r="I99" i="24" s="1"/>
  <c r="C99" i="24"/>
  <c r="BG98" i="24"/>
  <c r="BF98" i="24"/>
  <c r="AU98" i="24"/>
  <c r="AT98" i="24"/>
  <c r="AP98" i="24"/>
  <c r="AO98" i="24"/>
  <c r="AM98" i="24" s="1"/>
  <c r="AJ98" i="24"/>
  <c r="AA98" i="24"/>
  <c r="Z98" i="24"/>
  <c r="H98" i="24"/>
  <c r="F98" i="24"/>
  <c r="I98" i="24" s="1"/>
  <c r="C98" i="24"/>
  <c r="BG97" i="24"/>
  <c r="BF97" i="24"/>
  <c r="AU97" i="24"/>
  <c r="AT97" i="24"/>
  <c r="AP97" i="24"/>
  <c r="AO97" i="24"/>
  <c r="AM97" i="24" s="1"/>
  <c r="AJ97" i="24"/>
  <c r="AA97" i="24"/>
  <c r="Z97" i="24"/>
  <c r="F97" i="24"/>
  <c r="H97" i="24" s="1"/>
  <c r="C97" i="24"/>
  <c r="BG96" i="24"/>
  <c r="BF96" i="24"/>
  <c r="AU96" i="24"/>
  <c r="AT96" i="24"/>
  <c r="AP96" i="24"/>
  <c r="AM96" i="24" s="1"/>
  <c r="AO96" i="24"/>
  <c r="AJ96" i="24"/>
  <c r="AA96" i="24"/>
  <c r="Z96" i="24"/>
  <c r="F96" i="24"/>
  <c r="H96" i="24" s="1"/>
  <c r="C96" i="24"/>
  <c r="BG95" i="24"/>
  <c r="BF95" i="24"/>
  <c r="AU95" i="24"/>
  <c r="AT95" i="24"/>
  <c r="AP95" i="24"/>
  <c r="AO95" i="24"/>
  <c r="AM95" i="24" s="1"/>
  <c r="AJ95" i="24"/>
  <c r="AA95" i="24"/>
  <c r="Z95" i="24"/>
  <c r="F95" i="24"/>
  <c r="I95" i="24" s="1"/>
  <c r="C95" i="24"/>
  <c r="BG94" i="24"/>
  <c r="BF94" i="24"/>
  <c r="AU94" i="24"/>
  <c r="AT94" i="24"/>
  <c r="AP94" i="24"/>
  <c r="AO94" i="24"/>
  <c r="AM94" i="24" s="1"/>
  <c r="AJ94" i="24"/>
  <c r="AA94" i="24"/>
  <c r="Z94" i="24"/>
  <c r="I94" i="24"/>
  <c r="H94" i="24"/>
  <c r="F94" i="24"/>
  <c r="C94" i="24"/>
  <c r="BG93" i="24"/>
  <c r="BF93" i="24"/>
  <c r="AU93" i="24"/>
  <c r="AT93" i="24"/>
  <c r="AP93" i="24"/>
  <c r="AO93" i="24"/>
  <c r="AJ93" i="24"/>
  <c r="AA93" i="24"/>
  <c r="Z93" i="24"/>
  <c r="F93" i="24"/>
  <c r="H93" i="24" s="1"/>
  <c r="C93" i="24"/>
  <c r="BG92" i="24"/>
  <c r="BF92" i="24"/>
  <c r="AU92" i="24"/>
  <c r="AT92" i="24"/>
  <c r="AP92" i="24"/>
  <c r="AO92" i="24"/>
  <c r="AJ92" i="24"/>
  <c r="AA92" i="24"/>
  <c r="Z92" i="24"/>
  <c r="F92" i="24"/>
  <c r="I92" i="24" s="1"/>
  <c r="C92" i="24"/>
  <c r="BG91" i="24"/>
  <c r="BF91" i="24"/>
  <c r="AU91" i="24"/>
  <c r="AT91" i="24"/>
  <c r="AP91" i="24"/>
  <c r="AO91" i="24"/>
  <c r="AJ91" i="24"/>
  <c r="AA91" i="24"/>
  <c r="Z91" i="24"/>
  <c r="F91" i="24"/>
  <c r="I91" i="24" s="1"/>
  <c r="C91" i="24"/>
  <c r="BG90" i="24"/>
  <c r="BF90" i="24"/>
  <c r="AM90" i="24"/>
  <c r="AA90" i="24"/>
  <c r="Z90" i="24"/>
  <c r="F90" i="24"/>
  <c r="C90" i="24"/>
  <c r="D90" i="24" s="1"/>
  <c r="BG89" i="24"/>
  <c r="BF89" i="24"/>
  <c r="AM89" i="24"/>
  <c r="AA89" i="24"/>
  <c r="Z89" i="24"/>
  <c r="F89" i="24"/>
  <c r="H89" i="24" s="1"/>
  <c r="C89" i="24"/>
  <c r="E89" i="24" s="1"/>
  <c r="BG88" i="24"/>
  <c r="BF88" i="24"/>
  <c r="AM88" i="24"/>
  <c r="AA88" i="24"/>
  <c r="Z88" i="24"/>
  <c r="F88" i="24"/>
  <c r="I88" i="24" s="1"/>
  <c r="C88" i="24"/>
  <c r="E88" i="24" s="1"/>
  <c r="BG87" i="24"/>
  <c r="BF87" i="24"/>
  <c r="AM87" i="24"/>
  <c r="AA87" i="24"/>
  <c r="Z87" i="24"/>
  <c r="F87" i="24"/>
  <c r="I87" i="24" s="1"/>
  <c r="C87" i="24"/>
  <c r="BG86" i="24"/>
  <c r="BF86" i="24"/>
  <c r="AM86" i="24"/>
  <c r="AA86" i="24"/>
  <c r="Z86" i="24"/>
  <c r="F86" i="24"/>
  <c r="H86" i="24" s="1"/>
  <c r="C86" i="24"/>
  <c r="BG85" i="24"/>
  <c r="BF85" i="24"/>
  <c r="AM85" i="24"/>
  <c r="AA85" i="24"/>
  <c r="Z85" i="24"/>
  <c r="F85" i="24"/>
  <c r="H85" i="24" s="1"/>
  <c r="C85" i="24"/>
  <c r="BG84" i="24"/>
  <c r="BF84" i="24"/>
  <c r="AP84" i="24"/>
  <c r="AO84" i="24"/>
  <c r="AM84" i="24"/>
  <c r="AJ84" i="24"/>
  <c r="AA84" i="24"/>
  <c r="Z84" i="24"/>
  <c r="F84" i="24"/>
  <c r="I84" i="24" s="1"/>
  <c r="C84" i="24"/>
  <c r="BG83" i="24"/>
  <c r="BF83" i="24"/>
  <c r="AU83" i="24"/>
  <c r="AT83" i="24"/>
  <c r="AM83" i="24"/>
  <c r="AJ83" i="24"/>
  <c r="AA83" i="24"/>
  <c r="Z83" i="24"/>
  <c r="F83" i="24"/>
  <c r="H83" i="24" s="1"/>
  <c r="E83" i="24"/>
  <c r="C83" i="24" s="1"/>
  <c r="BG82" i="24"/>
  <c r="BF82" i="24"/>
  <c r="AM82" i="24"/>
  <c r="AP82" i="24" s="1"/>
  <c r="AJ82" i="24"/>
  <c r="AA82" i="24"/>
  <c r="Z82" i="24"/>
  <c r="F82" i="24"/>
  <c r="E82" i="24"/>
  <c r="C82" i="24" s="1"/>
  <c r="BG81" i="24"/>
  <c r="BF81" i="24"/>
  <c r="AM81" i="24"/>
  <c r="AJ81" i="24"/>
  <c r="AA81" i="24"/>
  <c r="Z81" i="24"/>
  <c r="F81" i="24"/>
  <c r="I81" i="24" s="1"/>
  <c r="C81" i="24"/>
  <c r="BG80" i="24"/>
  <c r="BF80" i="24"/>
  <c r="AM80" i="24"/>
  <c r="AO80" i="24" s="1"/>
  <c r="AJ80" i="24"/>
  <c r="AA80" i="24"/>
  <c r="Z80" i="24"/>
  <c r="F80" i="24"/>
  <c r="I80" i="24" s="1"/>
  <c r="C80" i="24"/>
  <c r="BG79" i="24"/>
  <c r="BF79" i="24"/>
  <c r="AM79" i="24"/>
  <c r="AP79" i="24" s="1"/>
  <c r="AL79" i="24"/>
  <c r="AK79" i="24"/>
  <c r="AA79" i="24"/>
  <c r="Z79" i="24"/>
  <c r="F79" i="24"/>
  <c r="H79" i="24" s="1"/>
  <c r="C79" i="24"/>
  <c r="BG78" i="24"/>
  <c r="BF78" i="24"/>
  <c r="AM78" i="24"/>
  <c r="AP78" i="24" s="1"/>
  <c r="AJ78" i="24"/>
  <c r="AA78" i="24"/>
  <c r="Z78" i="24"/>
  <c r="F78" i="24"/>
  <c r="H78" i="24" s="1"/>
  <c r="C78" i="24"/>
  <c r="E78" i="24" s="1"/>
  <c r="BG77" i="24"/>
  <c r="BF77" i="24"/>
  <c r="AU77" i="24"/>
  <c r="AP77" i="24" s="1"/>
  <c r="AT77" i="24"/>
  <c r="AO77" i="24" s="1"/>
  <c r="AJ77" i="24"/>
  <c r="AA77" i="24"/>
  <c r="Z77" i="24"/>
  <c r="F77" i="24"/>
  <c r="H77" i="24" s="1"/>
  <c r="C77" i="24"/>
  <c r="D77" i="24" s="1"/>
  <c r="BG76" i="24"/>
  <c r="BF76" i="24"/>
  <c r="AP76" i="24"/>
  <c r="AM76" i="24"/>
  <c r="AO76" i="24" s="1"/>
  <c r="AJ76" i="24"/>
  <c r="AA76" i="24"/>
  <c r="Z76" i="24"/>
  <c r="F76" i="24"/>
  <c r="C76" i="24"/>
  <c r="D76" i="24" s="1"/>
  <c r="BG75" i="24"/>
  <c r="BF75" i="24"/>
  <c r="AM75" i="24"/>
  <c r="AJ75" i="24"/>
  <c r="AA75" i="24"/>
  <c r="Z75" i="24"/>
  <c r="H75" i="24"/>
  <c r="F75" i="24"/>
  <c r="I75" i="24" s="1"/>
  <c r="C75" i="24"/>
  <c r="E75" i="24" s="1"/>
  <c r="BG74" i="24"/>
  <c r="BF74" i="24"/>
  <c r="AM74" i="24"/>
  <c r="AP74" i="24" s="1"/>
  <c r="AJ74" i="24"/>
  <c r="AA74" i="24"/>
  <c r="Z74" i="24"/>
  <c r="F74" i="24"/>
  <c r="I74" i="24" s="1"/>
  <c r="C74" i="24"/>
  <c r="D74" i="24" s="1"/>
  <c r="BG73" i="24"/>
  <c r="BF73" i="24"/>
  <c r="AM73" i="24"/>
  <c r="AP73" i="24" s="1"/>
  <c r="AJ73" i="24"/>
  <c r="AA73" i="24"/>
  <c r="Z73" i="24"/>
  <c r="I73" i="24"/>
  <c r="F73" i="24"/>
  <c r="H73" i="24" s="1"/>
  <c r="C73" i="24"/>
  <c r="E73" i="24" s="1"/>
  <c r="BG72" i="24"/>
  <c r="BF72" i="24"/>
  <c r="AO72" i="24"/>
  <c r="AM72" i="24"/>
  <c r="AP72" i="24" s="1"/>
  <c r="AJ72" i="24"/>
  <c r="AA72" i="24"/>
  <c r="Z72" i="24"/>
  <c r="F72" i="24"/>
  <c r="C72" i="24"/>
  <c r="D72" i="24" s="1"/>
  <c r="BG71" i="24"/>
  <c r="BF71" i="24"/>
  <c r="AM71" i="24"/>
  <c r="AJ71" i="24"/>
  <c r="AA71" i="24"/>
  <c r="Z71" i="24"/>
  <c r="F71" i="24"/>
  <c r="H71" i="24" s="1"/>
  <c r="C71" i="24"/>
  <c r="BG70" i="24"/>
  <c r="BF70" i="24"/>
  <c r="AM70" i="24"/>
  <c r="AP70" i="24" s="1"/>
  <c r="AJ70" i="24"/>
  <c r="AA70" i="24"/>
  <c r="Z70" i="24"/>
  <c r="F70" i="24"/>
  <c r="I70" i="24" s="1"/>
  <c r="C70" i="24"/>
  <c r="BG69" i="24"/>
  <c r="BF69" i="24"/>
  <c r="AM69" i="24"/>
  <c r="AJ69" i="24"/>
  <c r="AA69" i="24"/>
  <c r="Z69" i="24"/>
  <c r="F69" i="24"/>
  <c r="H69" i="24" s="1"/>
  <c r="C69" i="24"/>
  <c r="BG68" i="24"/>
  <c r="BF68" i="24"/>
  <c r="AM68" i="24"/>
  <c r="AP68" i="24" s="1"/>
  <c r="AJ68" i="24"/>
  <c r="AA68" i="24"/>
  <c r="Z68" i="24"/>
  <c r="F68" i="24"/>
  <c r="I68" i="24" s="1"/>
  <c r="C68" i="24"/>
  <c r="BG67" i="24"/>
  <c r="BF67" i="24"/>
  <c r="AM67" i="24"/>
  <c r="AJ67" i="24"/>
  <c r="AA67" i="24"/>
  <c r="Z67" i="24"/>
  <c r="F67" i="24"/>
  <c r="I67" i="24" s="1"/>
  <c r="C67" i="24"/>
  <c r="BG66" i="24"/>
  <c r="BF66" i="24"/>
  <c r="AO66" i="24"/>
  <c r="AM66" i="24"/>
  <c r="AP66" i="24" s="1"/>
  <c r="AJ66" i="24"/>
  <c r="AA66" i="24"/>
  <c r="Z66" i="24"/>
  <c r="I66" i="24"/>
  <c r="F66" i="24"/>
  <c r="H66" i="24" s="1"/>
  <c r="C66" i="24"/>
  <c r="BG65" i="24"/>
  <c r="BF65" i="24"/>
  <c r="AM65" i="24"/>
  <c r="AJ65" i="24"/>
  <c r="AA65" i="24"/>
  <c r="Z65" i="24"/>
  <c r="F65" i="24"/>
  <c r="I65" i="24" s="1"/>
  <c r="C65" i="24"/>
  <c r="BG64" i="24"/>
  <c r="BF64" i="24"/>
  <c r="AM64" i="24"/>
  <c r="AP64" i="24" s="1"/>
  <c r="AJ64" i="24"/>
  <c r="AA64" i="24"/>
  <c r="Z64" i="24"/>
  <c r="I64" i="24"/>
  <c r="F64" i="24"/>
  <c r="H64" i="24" s="1"/>
  <c r="C64" i="24"/>
  <c r="BG63" i="24"/>
  <c r="BF63" i="24"/>
  <c r="AM63" i="24"/>
  <c r="AJ63" i="24"/>
  <c r="AA63" i="24"/>
  <c r="Z63" i="24"/>
  <c r="F63" i="24"/>
  <c r="I63" i="24" s="1"/>
  <c r="C63" i="24"/>
  <c r="BG62" i="24"/>
  <c r="BF62" i="24"/>
  <c r="AM62" i="24"/>
  <c r="AP62" i="24" s="1"/>
  <c r="AJ62" i="24"/>
  <c r="AA62" i="24"/>
  <c r="Z62" i="24"/>
  <c r="F62" i="24"/>
  <c r="I62" i="24" s="1"/>
  <c r="C62" i="24"/>
  <c r="BG61" i="24"/>
  <c r="BF61" i="24"/>
  <c r="AM61" i="24"/>
  <c r="AJ61" i="24"/>
  <c r="AA61" i="24"/>
  <c r="Z61" i="24"/>
  <c r="F61" i="24"/>
  <c r="I61" i="24" s="1"/>
  <c r="C61" i="24"/>
  <c r="BG60" i="24"/>
  <c r="BF60" i="24"/>
  <c r="AM60" i="24"/>
  <c r="AP60" i="24" s="1"/>
  <c r="AJ60" i="24"/>
  <c r="AA60" i="24"/>
  <c r="Z60" i="24"/>
  <c r="F60" i="24"/>
  <c r="H60" i="24" s="1"/>
  <c r="C60" i="24"/>
  <c r="BG59" i="24"/>
  <c r="BF59" i="24"/>
  <c r="AM59" i="24"/>
  <c r="AJ59" i="24"/>
  <c r="AA59" i="24"/>
  <c r="Z59" i="24"/>
  <c r="F59" i="24"/>
  <c r="I59" i="24" s="1"/>
  <c r="C59" i="24"/>
  <c r="BG58" i="24"/>
  <c r="BF58" i="24"/>
  <c r="AM58" i="24"/>
  <c r="AP58" i="24" s="1"/>
  <c r="AJ58" i="24"/>
  <c r="AA58" i="24"/>
  <c r="Z58" i="24"/>
  <c r="F58" i="24"/>
  <c r="I58" i="24" s="1"/>
  <c r="C58" i="24"/>
  <c r="BG57" i="24"/>
  <c r="BF57" i="24"/>
  <c r="AM57" i="24"/>
  <c r="AJ57" i="24"/>
  <c r="AA57" i="24"/>
  <c r="Z57" i="24"/>
  <c r="F57" i="24"/>
  <c r="I57" i="24" s="1"/>
  <c r="C57" i="24"/>
  <c r="BG56" i="24"/>
  <c r="BF56" i="24"/>
  <c r="AM56" i="24"/>
  <c r="AP56" i="24" s="1"/>
  <c r="AJ56" i="24"/>
  <c r="AA56" i="24"/>
  <c r="Z56" i="24"/>
  <c r="F56" i="24"/>
  <c r="H56" i="24" s="1"/>
  <c r="C56" i="24"/>
  <c r="BG55" i="24"/>
  <c r="BF55" i="24"/>
  <c r="AM55" i="24"/>
  <c r="AJ55" i="24"/>
  <c r="AA55" i="24"/>
  <c r="Z55" i="24"/>
  <c r="F55" i="24"/>
  <c r="H55" i="24" s="1"/>
  <c r="C55" i="24"/>
  <c r="BG54" i="24"/>
  <c r="BF54" i="24"/>
  <c r="AM54" i="24"/>
  <c r="AP54" i="24" s="1"/>
  <c r="AJ54" i="24"/>
  <c r="AA54" i="24"/>
  <c r="Z54" i="24"/>
  <c r="F54" i="24"/>
  <c r="I54" i="24" s="1"/>
  <c r="C54" i="24"/>
  <c r="BG53" i="24"/>
  <c r="BF53" i="24"/>
  <c r="AM53" i="24"/>
  <c r="AJ53" i="24"/>
  <c r="AA53" i="24"/>
  <c r="Z53" i="24"/>
  <c r="F53" i="24"/>
  <c r="H53" i="24" s="1"/>
  <c r="C53" i="24"/>
  <c r="BG52" i="24"/>
  <c r="BF52" i="24"/>
  <c r="AP52" i="24"/>
  <c r="AO52" i="24"/>
  <c r="AJ52" i="24"/>
  <c r="AA52" i="24"/>
  <c r="Z52" i="24"/>
  <c r="F52" i="24"/>
  <c r="I52" i="24" s="1"/>
  <c r="C52" i="24"/>
  <c r="BG51" i="24"/>
  <c r="BF51" i="24"/>
  <c r="AP51" i="24"/>
  <c r="AO51" i="24"/>
  <c r="AJ51" i="24"/>
  <c r="AA51" i="24"/>
  <c r="Z51" i="24"/>
  <c r="F51" i="24"/>
  <c r="I51" i="24" s="1"/>
  <c r="C51" i="24"/>
  <c r="BG50" i="24"/>
  <c r="BF50" i="24"/>
  <c r="AP50" i="24"/>
  <c r="AO50" i="24"/>
  <c r="AJ50" i="24"/>
  <c r="AL50" i="24" s="1"/>
  <c r="AA50" i="24"/>
  <c r="Z50" i="24"/>
  <c r="F50" i="24"/>
  <c r="I50" i="24" s="1"/>
  <c r="C50" i="24"/>
  <c r="BG49" i="24"/>
  <c r="BF49" i="24"/>
  <c r="AP49" i="24"/>
  <c r="AO49" i="24"/>
  <c r="AJ49" i="24"/>
  <c r="AL49" i="24" s="1"/>
  <c r="AA49" i="24"/>
  <c r="Z49" i="24"/>
  <c r="F49" i="24"/>
  <c r="H49" i="24" s="1"/>
  <c r="C49" i="24"/>
  <c r="BG48" i="24"/>
  <c r="BF48" i="24"/>
  <c r="AP48" i="24"/>
  <c r="AO48" i="24"/>
  <c r="AL48" i="24"/>
  <c r="AJ48" i="24"/>
  <c r="AK48" i="24" s="1"/>
  <c r="AA48" i="24"/>
  <c r="Z48" i="24"/>
  <c r="F48" i="24"/>
  <c r="H48" i="24" s="1"/>
  <c r="C48" i="24"/>
  <c r="BG47" i="24"/>
  <c r="BF47" i="24"/>
  <c r="AP47" i="24"/>
  <c r="AO47" i="24"/>
  <c r="AJ47" i="24"/>
  <c r="AK47" i="24" s="1"/>
  <c r="AA47" i="24"/>
  <c r="Z47" i="24"/>
  <c r="F47" i="24"/>
  <c r="C47" i="24"/>
  <c r="BG46" i="24"/>
  <c r="BF46" i="24"/>
  <c r="AP46" i="24"/>
  <c r="AO46" i="24"/>
  <c r="AJ46" i="24"/>
  <c r="AA46" i="24"/>
  <c r="Z46" i="24"/>
  <c r="I46" i="24"/>
  <c r="F46" i="24"/>
  <c r="H46" i="24" s="1"/>
  <c r="C46" i="24"/>
  <c r="BG45" i="24"/>
  <c r="BF45" i="24"/>
  <c r="AP45" i="24"/>
  <c r="AO45" i="24"/>
  <c r="AJ45" i="24"/>
  <c r="AK45" i="24" s="1"/>
  <c r="AA45" i="24"/>
  <c r="Z45" i="24"/>
  <c r="F45" i="24"/>
  <c r="I45" i="24" s="1"/>
  <c r="C45" i="24"/>
  <c r="BG44" i="24"/>
  <c r="BF44" i="24"/>
  <c r="AP44" i="24"/>
  <c r="AO44" i="24"/>
  <c r="AJ44" i="24"/>
  <c r="AL44" i="24" s="1"/>
  <c r="AA44" i="24"/>
  <c r="Z44" i="24"/>
  <c r="F44" i="24"/>
  <c r="H44" i="24" s="1"/>
  <c r="C44" i="24"/>
  <c r="BG43" i="24"/>
  <c r="BF43" i="24"/>
  <c r="AP43" i="24"/>
  <c r="AO43" i="24"/>
  <c r="AJ43" i="24"/>
  <c r="AK43" i="24" s="1"/>
  <c r="AA43" i="24"/>
  <c r="Z43" i="24"/>
  <c r="F43" i="24"/>
  <c r="I43" i="24" s="1"/>
  <c r="C43" i="24"/>
  <c r="BG42" i="24"/>
  <c r="BF42" i="24"/>
  <c r="AP42" i="24"/>
  <c r="AO42" i="24"/>
  <c r="AJ42" i="24"/>
  <c r="AL42" i="24" s="1"/>
  <c r="AA42" i="24"/>
  <c r="Z42" i="24"/>
  <c r="F42" i="24"/>
  <c r="I42" i="24" s="1"/>
  <c r="E42" i="24"/>
  <c r="C42" i="24" s="1"/>
  <c r="BG41" i="24"/>
  <c r="BF41" i="24"/>
  <c r="AP41" i="24"/>
  <c r="AO41" i="24"/>
  <c r="AJ41" i="24"/>
  <c r="AL41" i="24" s="1"/>
  <c r="AA41" i="24"/>
  <c r="Z41" i="24"/>
  <c r="F41" i="24"/>
  <c r="H41" i="24" s="1"/>
  <c r="BG40" i="24"/>
  <c r="BF40" i="24"/>
  <c r="AP40" i="24"/>
  <c r="AO40" i="24"/>
  <c r="AJ40" i="24"/>
  <c r="AK40" i="24" s="1"/>
  <c r="AA40" i="24"/>
  <c r="Z40" i="24"/>
  <c r="F40" i="24"/>
  <c r="H40" i="24" s="1"/>
  <c r="C40" i="24"/>
  <c r="BG39" i="24"/>
  <c r="BF39" i="24"/>
  <c r="AP39" i="24"/>
  <c r="AO39" i="24"/>
  <c r="AJ39" i="24"/>
  <c r="AK39" i="24" s="1"/>
  <c r="AA39" i="24"/>
  <c r="Z39" i="24"/>
  <c r="F39" i="24"/>
  <c r="BG38" i="24"/>
  <c r="BF38" i="24"/>
  <c r="AP38" i="24"/>
  <c r="AO38" i="24"/>
  <c r="AJ38" i="24"/>
  <c r="AK38" i="24" s="1"/>
  <c r="AA38" i="24"/>
  <c r="Z38" i="24"/>
  <c r="F38" i="24"/>
  <c r="I38" i="24" s="1"/>
  <c r="BG37" i="24"/>
  <c r="BF37" i="24"/>
  <c r="AP37" i="24"/>
  <c r="AO37" i="24"/>
  <c r="AJ37" i="24"/>
  <c r="AK37" i="24" s="1"/>
  <c r="AA37" i="24"/>
  <c r="Z37" i="24"/>
  <c r="X37" i="24"/>
  <c r="F37" i="24"/>
  <c r="I37" i="24" s="1"/>
  <c r="C37" i="24"/>
  <c r="BG36" i="24"/>
  <c r="BF36" i="24"/>
  <c r="AP36" i="24"/>
  <c r="AO36" i="24"/>
  <c r="AJ36" i="24"/>
  <c r="AL36" i="24" s="1"/>
  <c r="AA36" i="24"/>
  <c r="Z36" i="24"/>
  <c r="X36" i="24"/>
  <c r="F36" i="24"/>
  <c r="H36" i="24" s="1"/>
  <c r="C36" i="24"/>
  <c r="BG35" i="24"/>
  <c r="BF35" i="24"/>
  <c r="AP35" i="24"/>
  <c r="AO35" i="24"/>
  <c r="AJ35" i="24"/>
  <c r="AK35" i="24" s="1"/>
  <c r="AA35" i="24"/>
  <c r="Z35" i="24"/>
  <c r="X35" i="24"/>
  <c r="F35" i="24"/>
  <c r="I35" i="24" s="1"/>
  <c r="C35" i="24"/>
  <c r="BG34" i="24"/>
  <c r="BF34" i="24"/>
  <c r="AP34" i="24"/>
  <c r="AO34" i="24"/>
  <c r="AJ34" i="24"/>
  <c r="AL34" i="24" s="1"/>
  <c r="AA34" i="24"/>
  <c r="Z34" i="24"/>
  <c r="X34" i="24"/>
  <c r="F34" i="24"/>
  <c r="H34" i="24" s="1"/>
  <c r="C34" i="24"/>
  <c r="BG33" i="24"/>
  <c r="BF33" i="24"/>
  <c r="AP33" i="24"/>
  <c r="AO33" i="24"/>
  <c r="AJ33" i="24"/>
  <c r="AK33" i="24" s="1"/>
  <c r="AA33" i="24"/>
  <c r="Z33" i="24"/>
  <c r="X33" i="24"/>
  <c r="F33" i="24"/>
  <c r="I33" i="24" s="1"/>
  <c r="C33" i="24"/>
  <c r="BG32" i="24"/>
  <c r="BF32" i="24"/>
  <c r="AP32" i="24"/>
  <c r="AO32" i="24"/>
  <c r="AJ32" i="24"/>
  <c r="AA32" i="24"/>
  <c r="Z32" i="24"/>
  <c r="X32" i="24"/>
  <c r="F32" i="24"/>
  <c r="I32" i="24" s="1"/>
  <c r="C32" i="24"/>
  <c r="BG31" i="24"/>
  <c r="BF31" i="24"/>
  <c r="AM31" i="24"/>
  <c r="AO31" i="24" s="1"/>
  <c r="AJ31" i="24"/>
  <c r="AA31" i="24"/>
  <c r="Z31" i="24"/>
  <c r="X31" i="24"/>
  <c r="F31" i="24"/>
  <c r="I31" i="24" s="1"/>
  <c r="C31" i="24"/>
  <c r="BG30" i="24"/>
  <c r="BF30" i="24"/>
  <c r="AO30" i="24"/>
  <c r="AJ30" i="24"/>
  <c r="AA30" i="24"/>
  <c r="Z30" i="24"/>
  <c r="X30" i="24"/>
  <c r="F30" i="24"/>
  <c r="H30" i="24" s="1"/>
  <c r="C30" i="24"/>
  <c r="BG29" i="24"/>
  <c r="BF29" i="24"/>
  <c r="AO29" i="24"/>
  <c r="AJ29" i="24"/>
  <c r="AA29" i="24"/>
  <c r="Z29" i="24"/>
  <c r="X29" i="24"/>
  <c r="F29" i="24"/>
  <c r="H29" i="24" s="1"/>
  <c r="C29" i="24"/>
  <c r="BG28" i="24"/>
  <c r="BF28" i="24"/>
  <c r="AS28" i="24"/>
  <c r="AP28" i="24"/>
  <c r="AO28" i="24"/>
  <c r="AJ28" i="24"/>
  <c r="AA28" i="24"/>
  <c r="Z28" i="24"/>
  <c r="X28" i="24"/>
  <c r="F28" i="24"/>
  <c r="I28" i="24" s="1"/>
  <c r="BG27" i="24"/>
  <c r="BF27" i="24"/>
  <c r="AS27" i="24"/>
  <c r="AP27" i="24"/>
  <c r="AM27" i="24" s="1"/>
  <c r="AO27" i="24"/>
  <c r="AJ27" i="24"/>
  <c r="AA27" i="24"/>
  <c r="Z27" i="24"/>
  <c r="X27" i="24"/>
  <c r="F27" i="24"/>
  <c r="I27" i="24" s="1"/>
  <c r="BG26" i="24"/>
  <c r="BF26" i="24"/>
  <c r="AS26" i="24"/>
  <c r="AP26" i="24"/>
  <c r="AO26" i="24"/>
  <c r="AM26" i="24" s="1"/>
  <c r="AJ26" i="24"/>
  <c r="AA26" i="24"/>
  <c r="Z26" i="24"/>
  <c r="X26" i="24"/>
  <c r="F26" i="24"/>
  <c r="H26" i="24" s="1"/>
  <c r="BG25" i="24"/>
  <c r="BF25" i="24"/>
  <c r="AS25" i="24"/>
  <c r="AP25" i="24"/>
  <c r="AM25" i="24" s="1"/>
  <c r="AO25" i="24"/>
  <c r="AJ25" i="24"/>
  <c r="AA25" i="24"/>
  <c r="Z25" i="24"/>
  <c r="X25" i="24"/>
  <c r="F25" i="24"/>
  <c r="I25" i="24" s="1"/>
  <c r="BG24" i="24"/>
  <c r="BF24" i="24"/>
  <c r="AU24" i="24"/>
  <c r="AT24" i="24"/>
  <c r="AP24" i="24"/>
  <c r="AO24" i="24"/>
  <c r="AJ24" i="24"/>
  <c r="AA24" i="24"/>
  <c r="Z24" i="24"/>
  <c r="X24" i="24"/>
  <c r="F24" i="24"/>
  <c r="I24" i="24" s="1"/>
  <c r="C24" i="24"/>
  <c r="BG23" i="24"/>
  <c r="BF23" i="24"/>
  <c r="AU23" i="24"/>
  <c r="AT23" i="24"/>
  <c r="AP23" i="24"/>
  <c r="AO23" i="24"/>
  <c r="AM23" i="24" s="1"/>
  <c r="AL23" i="24"/>
  <c r="AK23" i="24"/>
  <c r="AA23" i="24"/>
  <c r="Z23" i="24"/>
  <c r="X23" i="24"/>
  <c r="F23" i="24"/>
  <c r="H23" i="24" s="1"/>
  <c r="BG22" i="24"/>
  <c r="BF22" i="24"/>
  <c r="AU22" i="24"/>
  <c r="AT22" i="24"/>
  <c r="AP22" i="24"/>
  <c r="AO22" i="24"/>
  <c r="AJ22" i="24"/>
  <c r="AA22" i="24"/>
  <c r="Z22" i="24"/>
  <c r="X22" i="24"/>
  <c r="F22" i="24"/>
  <c r="I22" i="24" s="1"/>
  <c r="BG21" i="24"/>
  <c r="BF21" i="24"/>
  <c r="AU21" i="24"/>
  <c r="AT21" i="24"/>
  <c r="AP21" i="24"/>
  <c r="AM21" i="24" s="1"/>
  <c r="AO21" i="24"/>
  <c r="AJ21" i="24"/>
  <c r="AA21" i="24"/>
  <c r="Z21" i="24"/>
  <c r="X21" i="24"/>
  <c r="F21" i="24"/>
  <c r="I21" i="24" s="1"/>
  <c r="C21" i="24"/>
  <c r="BG20" i="24"/>
  <c r="BF20" i="24"/>
  <c r="AU20" i="24"/>
  <c r="AT20" i="24"/>
  <c r="AP20" i="24"/>
  <c r="AO20" i="24"/>
  <c r="AM20" i="24" s="1"/>
  <c r="AJ20" i="24"/>
  <c r="AA20" i="24"/>
  <c r="Z20" i="24"/>
  <c r="X20" i="24"/>
  <c r="F20" i="24"/>
  <c r="I20" i="24" s="1"/>
  <c r="C20" i="24"/>
  <c r="BG19" i="24"/>
  <c r="BF19" i="24"/>
  <c r="AU19" i="24"/>
  <c r="AT19" i="24"/>
  <c r="AP19" i="24"/>
  <c r="AO19" i="24"/>
  <c r="AM19" i="24" s="1"/>
  <c r="AJ19" i="24"/>
  <c r="AA19" i="24"/>
  <c r="Z19" i="24"/>
  <c r="X19" i="24"/>
  <c r="I19" i="24"/>
  <c r="F19" i="24"/>
  <c r="H19" i="24" s="1"/>
  <c r="E19" i="24"/>
  <c r="D19" i="24"/>
  <c r="BV18" i="24"/>
  <c r="BU18" i="24"/>
  <c r="BR18" i="24"/>
  <c r="BQ18" i="24"/>
  <c r="BG18" i="24"/>
  <c r="BF18" i="24"/>
  <c r="AU18" i="24"/>
  <c r="AT18" i="24"/>
  <c r="AP18" i="24"/>
  <c r="AO18" i="24"/>
  <c r="AJ18" i="24"/>
  <c r="AA18" i="24"/>
  <c r="Z18" i="24"/>
  <c r="X18" i="24"/>
  <c r="F18" i="24"/>
  <c r="I18" i="24" s="1"/>
  <c r="C18" i="24"/>
  <c r="BV17" i="24"/>
  <c r="BU17" i="24"/>
  <c r="BP17" i="24"/>
  <c r="BG17" i="24"/>
  <c r="BF17" i="24"/>
  <c r="AU17" i="24"/>
  <c r="AT17" i="24"/>
  <c r="AP17" i="24"/>
  <c r="AO17" i="24"/>
  <c r="AJ17" i="24"/>
  <c r="AA17" i="24"/>
  <c r="Z17" i="24"/>
  <c r="X17" i="24"/>
  <c r="I17" i="24"/>
  <c r="F17" i="24"/>
  <c r="H17" i="24" s="1"/>
  <c r="C17" i="24"/>
  <c r="BV16" i="24"/>
  <c r="BU16" i="24"/>
  <c r="BP16" i="24"/>
  <c r="BG16" i="24"/>
  <c r="BF16" i="24"/>
  <c r="AM16" i="24"/>
  <c r="AJ16" i="24"/>
  <c r="AA16" i="24"/>
  <c r="Z16" i="24"/>
  <c r="X16" i="24"/>
  <c r="F16" i="24"/>
  <c r="I16" i="24" s="1"/>
  <c r="BV15" i="24"/>
  <c r="BU15" i="24"/>
  <c r="BP15" i="24"/>
  <c r="BG15" i="24"/>
  <c r="BF15" i="24"/>
  <c r="AM15" i="24"/>
  <c r="AJ15" i="24"/>
  <c r="AA15" i="24"/>
  <c r="Z15" i="24"/>
  <c r="X15" i="24"/>
  <c r="F15" i="24"/>
  <c r="I15" i="24" s="1"/>
  <c r="BV14" i="24"/>
  <c r="BU14" i="24"/>
  <c r="BP14" i="24"/>
  <c r="BG14" i="24"/>
  <c r="BF14" i="24"/>
  <c r="AM14" i="24"/>
  <c r="AJ14" i="24"/>
  <c r="AA14" i="24"/>
  <c r="Z14" i="24"/>
  <c r="X14" i="24"/>
  <c r="F14" i="24"/>
  <c r="I14" i="24" s="1"/>
  <c r="C14" i="24"/>
  <c r="BV13" i="24"/>
  <c r="BU13" i="24"/>
  <c r="BP13" i="24"/>
  <c r="BG13" i="24"/>
  <c r="BF13" i="24"/>
  <c r="AM13" i="24"/>
  <c r="AJ13" i="24"/>
  <c r="AA13" i="24"/>
  <c r="Z13" i="24"/>
  <c r="X13" i="24"/>
  <c r="F13" i="24"/>
  <c r="H13" i="24" s="1"/>
  <c r="C13" i="24"/>
  <c r="BV12" i="24"/>
  <c r="BU12" i="24"/>
  <c r="BP12" i="24"/>
  <c r="BG12" i="24"/>
  <c r="BF12" i="24"/>
  <c r="AS12" i="24"/>
  <c r="AM12" i="24"/>
  <c r="AP12" i="24" s="1"/>
  <c r="AA12" i="24"/>
  <c r="Z12" i="24"/>
  <c r="X12" i="24"/>
  <c r="F12" i="24"/>
  <c r="H12" i="24" s="1"/>
  <c r="C12" i="24"/>
  <c r="BV11" i="24"/>
  <c r="BU11" i="24"/>
  <c r="BP11" i="24"/>
  <c r="BG11" i="24"/>
  <c r="BF11" i="24"/>
  <c r="AS11" i="24"/>
  <c r="AP11" i="24"/>
  <c r="AM11" i="24"/>
  <c r="AO11" i="24" s="1"/>
  <c r="AA11" i="24"/>
  <c r="Z11" i="24"/>
  <c r="X11" i="24"/>
  <c r="F11" i="24"/>
  <c r="H11" i="24" s="1"/>
  <c r="C11" i="24"/>
  <c r="BV10" i="24"/>
  <c r="BU10" i="24"/>
  <c r="BP10" i="24"/>
  <c r="BG10" i="24"/>
  <c r="BF10" i="24"/>
  <c r="AS10" i="24"/>
  <c r="AP10" i="24"/>
  <c r="AO10" i="24"/>
  <c r="AA10" i="24"/>
  <c r="Z10" i="24"/>
  <c r="X10" i="24"/>
  <c r="F10" i="24"/>
  <c r="H10" i="24" s="1"/>
  <c r="C10" i="24"/>
  <c r="BV9" i="24"/>
  <c r="BU9" i="24"/>
  <c r="BP9" i="24"/>
  <c r="BG9" i="24"/>
  <c r="BF9" i="24"/>
  <c r="AS9" i="24"/>
  <c r="AM9" i="24"/>
  <c r="AO9" i="24" s="1"/>
  <c r="AA9" i="24"/>
  <c r="Z9" i="24"/>
  <c r="X9" i="24"/>
  <c r="F9" i="24"/>
  <c r="H9" i="24" s="1"/>
  <c r="E9" i="24"/>
  <c r="D9" i="24"/>
  <c r="BV8" i="24"/>
  <c r="BU8" i="24"/>
  <c r="BP8" i="24"/>
  <c r="BG8" i="24"/>
  <c r="BF8" i="24"/>
  <c r="AS8" i="24"/>
  <c r="AM8" i="24"/>
  <c r="AP8" i="24" s="1"/>
  <c r="AA8" i="24"/>
  <c r="Z8" i="24"/>
  <c r="X8" i="24"/>
  <c r="F8" i="24"/>
  <c r="H8" i="24" s="1"/>
  <c r="C8" i="24"/>
  <c r="BV7" i="24"/>
  <c r="BU7" i="24"/>
  <c r="BP7" i="24"/>
  <c r="BG7" i="24"/>
  <c r="BF7" i="24"/>
  <c r="AS7" i="24"/>
  <c r="AM7" i="24"/>
  <c r="AP7" i="24" s="1"/>
  <c r="AA7" i="24"/>
  <c r="Z7" i="24"/>
  <c r="X7" i="24"/>
  <c r="F7" i="24"/>
  <c r="H7" i="24" s="1"/>
  <c r="C7" i="24"/>
  <c r="BV6" i="24"/>
  <c r="BU6" i="24"/>
  <c r="BP6" i="24"/>
  <c r="BG6" i="24"/>
  <c r="BF6" i="24"/>
  <c r="AS6" i="24"/>
  <c r="AM6" i="24"/>
  <c r="AO6" i="24" s="1"/>
  <c r="AA6" i="24"/>
  <c r="Z6" i="24"/>
  <c r="X6" i="24"/>
  <c r="F6" i="24"/>
  <c r="I6" i="24" s="1"/>
  <c r="C6" i="24"/>
  <c r="BV5" i="24"/>
  <c r="BU5" i="24"/>
  <c r="BP5" i="24"/>
  <c r="BG5" i="24"/>
  <c r="BF5" i="24"/>
  <c r="AS5" i="24"/>
  <c r="AM5" i="24"/>
  <c r="AP5" i="24" s="1"/>
  <c r="AA5" i="24"/>
  <c r="Z5" i="24"/>
  <c r="X5" i="24"/>
  <c r="F5" i="24"/>
  <c r="I5" i="24" s="1"/>
  <c r="E5" i="24"/>
  <c r="D5" i="24"/>
  <c r="BV4" i="24"/>
  <c r="BU4" i="24"/>
  <c r="BP4" i="24"/>
  <c r="BG4" i="24"/>
  <c r="BF4" i="24"/>
  <c r="AS4" i="24"/>
  <c r="AO4" i="24"/>
  <c r="AM4" i="24"/>
  <c r="AP4" i="24" s="1"/>
  <c r="AJ4" i="24"/>
  <c r="AA4" i="24"/>
  <c r="Z4" i="24"/>
  <c r="X4" i="24"/>
  <c r="F4" i="24"/>
  <c r="I4" i="24" s="1"/>
  <c r="C4" i="24"/>
  <c r="BC1" i="24"/>
  <c r="W1" i="24"/>
  <c r="AM18" i="24" l="1"/>
  <c r="H27" i="24"/>
  <c r="AL33" i="24"/>
  <c r="I53" i="24"/>
  <c r="I69" i="24"/>
  <c r="I86" i="24"/>
  <c r="I116" i="24"/>
  <c r="I183" i="24"/>
  <c r="I208" i="24"/>
  <c r="I360" i="24"/>
  <c r="I56" i="24"/>
  <c r="H70" i="24"/>
  <c r="I79" i="24"/>
  <c r="AM100" i="24"/>
  <c r="AM152" i="24"/>
  <c r="I188" i="24"/>
  <c r="C207" i="24"/>
  <c r="AM315" i="24"/>
  <c r="I346" i="24"/>
  <c r="I354" i="24"/>
  <c r="H375" i="24"/>
  <c r="I516" i="24"/>
  <c r="AP6" i="24"/>
  <c r="AL40" i="24"/>
  <c r="H58" i="24"/>
  <c r="I93" i="24"/>
  <c r="H104" i="24"/>
  <c r="H184" i="24"/>
  <c r="I190" i="24"/>
  <c r="C193" i="24"/>
  <c r="C206" i="24"/>
  <c r="C209" i="24"/>
  <c r="I249" i="24"/>
  <c r="H283" i="24"/>
  <c r="H313" i="24"/>
  <c r="AM316" i="24"/>
  <c r="AT343" i="24"/>
  <c r="AO343" i="24" s="1"/>
  <c r="H501" i="24"/>
  <c r="AK41" i="24"/>
  <c r="H59" i="24"/>
  <c r="D73" i="24"/>
  <c r="AM77" i="24"/>
  <c r="H114" i="24"/>
  <c r="AM102" i="24"/>
  <c r="D106" i="24"/>
  <c r="AM132" i="24"/>
  <c r="C197" i="24"/>
  <c r="I356" i="24"/>
  <c r="AM22" i="24"/>
  <c r="E101" i="24"/>
  <c r="AM161" i="24"/>
  <c r="I30" i="24"/>
  <c r="AO82" i="24"/>
  <c r="AM91" i="24"/>
  <c r="AP119" i="24"/>
  <c r="AM133" i="24"/>
  <c r="AM141" i="24"/>
  <c r="AM155" i="24"/>
  <c r="H203" i="24"/>
  <c r="I223" i="24"/>
  <c r="I292" i="24"/>
  <c r="I317" i="24"/>
  <c r="F330" i="24"/>
  <c r="AO367" i="24"/>
  <c r="AM253" i="24"/>
  <c r="I523" i="24"/>
  <c r="H523" i="24"/>
  <c r="H25" i="24"/>
  <c r="I34" i="24"/>
  <c r="H38" i="24"/>
  <c r="AL45" i="24"/>
  <c r="H52" i="24"/>
  <c r="AO54" i="24"/>
  <c r="H65" i="24"/>
  <c r="H81" i="24"/>
  <c r="AP120" i="24"/>
  <c r="I128" i="24"/>
  <c r="H135" i="24"/>
  <c r="I171" i="24"/>
  <c r="C195" i="24"/>
  <c r="I200" i="24"/>
  <c r="AP243" i="24"/>
  <c r="AP260" i="24"/>
  <c r="H291" i="24"/>
  <c r="H362" i="24"/>
  <c r="H376" i="24"/>
  <c r="H489" i="24"/>
  <c r="H498" i="24"/>
  <c r="AM103" i="24"/>
  <c r="I111" i="24"/>
  <c r="E119" i="24"/>
  <c r="H130" i="24"/>
  <c r="AM137" i="24"/>
  <c r="AM146" i="24"/>
  <c r="I186" i="24"/>
  <c r="C199" i="24"/>
  <c r="AO211" i="24"/>
  <c r="AP245" i="24"/>
  <c r="AT260" i="24"/>
  <c r="AO260" i="24" s="1"/>
  <c r="I321" i="24"/>
  <c r="H353" i="24"/>
  <c r="H366" i="24"/>
  <c r="H380" i="24"/>
  <c r="H482" i="24"/>
  <c r="I510" i="24"/>
  <c r="H525" i="24"/>
  <c r="F331" i="24"/>
  <c r="I521" i="24"/>
  <c r="H24" i="24"/>
  <c r="H33" i="24"/>
  <c r="AK42" i="24"/>
  <c r="I44" i="24"/>
  <c r="I60" i="24"/>
  <c r="AO64" i="24"/>
  <c r="AO74" i="24"/>
  <c r="I77" i="24"/>
  <c r="AM92" i="24"/>
  <c r="I97" i="24"/>
  <c r="AM126" i="24"/>
  <c r="H131" i="24"/>
  <c r="H174" i="24"/>
  <c r="I195" i="24"/>
  <c r="AM255" i="24"/>
  <c r="H497" i="24"/>
  <c r="AM17" i="24"/>
  <c r="I29" i="24"/>
  <c r="AL39" i="24"/>
  <c r="I49" i="24"/>
  <c r="H63" i="24"/>
  <c r="H67" i="24"/>
  <c r="AO70" i="24"/>
  <c r="D78" i="24"/>
  <c r="H102" i="24"/>
  <c r="AM104" i="24"/>
  <c r="E121" i="24"/>
  <c r="AM136" i="24"/>
  <c r="C187" i="24"/>
  <c r="C194" i="24"/>
  <c r="AO241" i="24"/>
  <c r="I250" i="24"/>
  <c r="AM28" i="24"/>
  <c r="I55" i="24"/>
  <c r="AM163" i="24"/>
  <c r="C196" i="24"/>
  <c r="C200" i="24"/>
  <c r="H240" i="24"/>
  <c r="H314" i="24"/>
  <c r="AT333" i="24"/>
  <c r="AO333" i="24" s="1"/>
  <c r="H374" i="24"/>
  <c r="H444" i="24"/>
  <c r="AM93" i="24"/>
  <c r="AM101" i="24"/>
  <c r="H136" i="24"/>
  <c r="AM154" i="24"/>
  <c r="AM157" i="24"/>
  <c r="AM238" i="24"/>
  <c r="AM239" i="24"/>
  <c r="I314" i="24"/>
  <c r="F321" i="24"/>
  <c r="AP329" i="24"/>
  <c r="I277" i="24"/>
  <c r="H277" i="24"/>
  <c r="AP169" i="24"/>
  <c r="AO169" i="24"/>
  <c r="AO181" i="24"/>
  <c r="AP181" i="24"/>
  <c r="H332" i="24"/>
  <c r="I332" i="24"/>
  <c r="AP176" i="24"/>
  <c r="AO176" i="24"/>
  <c r="AP172" i="24"/>
  <c r="AO172" i="24"/>
  <c r="AP177" i="24"/>
  <c r="AO177" i="24"/>
  <c r="H327" i="24"/>
  <c r="I327" i="24"/>
  <c r="H14" i="24"/>
  <c r="H57" i="24"/>
  <c r="H61" i="24"/>
  <c r="D105" i="24"/>
  <c r="AO123" i="24"/>
  <c r="AL1" i="24"/>
  <c r="AM24" i="24"/>
  <c r="AL43" i="24"/>
  <c r="AO78" i="24"/>
  <c r="H80" i="24"/>
  <c r="AP110" i="24"/>
  <c r="I119" i="24"/>
  <c r="I121" i="24"/>
  <c r="D122" i="24"/>
  <c r="I124" i="24"/>
  <c r="AM135" i="24"/>
  <c r="AM138" i="24"/>
  <c r="AM144" i="24"/>
  <c r="AM149" i="24"/>
  <c r="I178" i="24"/>
  <c r="C189" i="24"/>
  <c r="C198" i="24"/>
  <c r="C201" i="24"/>
  <c r="C202" i="24"/>
  <c r="I247" i="24"/>
  <c r="H290" i="24"/>
  <c r="H318" i="24"/>
  <c r="H442" i="24"/>
  <c r="I518" i="24"/>
  <c r="D89" i="24"/>
  <c r="H92" i="24"/>
  <c r="AO107" i="24"/>
  <c r="H112" i="24"/>
  <c r="H207" i="24"/>
  <c r="I251" i="24"/>
  <c r="H506" i="24"/>
  <c r="AO8" i="24"/>
  <c r="AO62" i="24"/>
  <c r="H88" i="24"/>
  <c r="AO113" i="24"/>
  <c r="AP9" i="24"/>
  <c r="H21" i="24"/>
  <c r="I23" i="24"/>
  <c r="I26" i="24"/>
  <c r="H31" i="24"/>
  <c r="AL38" i="24"/>
  <c r="AK44" i="24"/>
  <c r="H45" i="24"/>
  <c r="H50" i="24"/>
  <c r="H54" i="24"/>
  <c r="H68" i="24"/>
  <c r="I71" i="24"/>
  <c r="E72" i="24"/>
  <c r="E77" i="24"/>
  <c r="I78" i="24"/>
  <c r="I96" i="24"/>
  <c r="I100" i="24"/>
  <c r="E103" i="24"/>
  <c r="E107" i="24"/>
  <c r="D113" i="24"/>
  <c r="I115" i="24"/>
  <c r="I117" i="24"/>
  <c r="H120" i="24"/>
  <c r="E123" i="24"/>
  <c r="I127" i="24"/>
  <c r="I134" i="24"/>
  <c r="AP183" i="24"/>
  <c r="H189" i="24"/>
  <c r="C191" i="24"/>
  <c r="H197" i="24"/>
  <c r="I198" i="24"/>
  <c r="H201" i="24"/>
  <c r="H202" i="24"/>
  <c r="AP212" i="24"/>
  <c r="H238" i="24"/>
  <c r="I241" i="24"/>
  <c r="AO242" i="24"/>
  <c r="I248" i="24"/>
  <c r="AM254" i="24"/>
  <c r="AU257" i="24"/>
  <c r="I291" i="24"/>
  <c r="AU338" i="24"/>
  <c r="AP338" i="24" s="1"/>
  <c r="AT339" i="24"/>
  <c r="AO339" i="24" s="1"/>
  <c r="H348" i="24"/>
  <c r="I361" i="24"/>
  <c r="AP366" i="24"/>
  <c r="I368" i="24"/>
  <c r="H369" i="24"/>
  <c r="H370" i="24"/>
  <c r="H371" i="24"/>
  <c r="H449" i="24"/>
  <c r="H486" i="24"/>
  <c r="H493" i="24"/>
  <c r="H514" i="24"/>
  <c r="AM317" i="24"/>
  <c r="H5" i="24"/>
  <c r="AO7" i="24"/>
  <c r="I10" i="24"/>
  <c r="AO12" i="24"/>
  <c r="H43" i="24"/>
  <c r="I48" i="24"/>
  <c r="H62" i="24"/>
  <c r="H74" i="24"/>
  <c r="H91" i="24"/>
  <c r="H95" i="24"/>
  <c r="H99" i="24"/>
  <c r="D111" i="24"/>
  <c r="AO111" i="24"/>
  <c r="AP114" i="24"/>
  <c r="AP116" i="24"/>
  <c r="H118" i="24"/>
  <c r="H132" i="24"/>
  <c r="I175" i="24"/>
  <c r="H193" i="24"/>
  <c r="AM205" i="24"/>
  <c r="H221" i="24"/>
  <c r="I228" i="24"/>
  <c r="H229" i="24"/>
  <c r="I230" i="24"/>
  <c r="H231" i="24"/>
  <c r="I233" i="24"/>
  <c r="H234" i="24"/>
  <c r="I236" i="24"/>
  <c r="H237" i="24"/>
  <c r="H257" i="24"/>
  <c r="AP258" i="24"/>
  <c r="H292" i="24"/>
  <c r="H294" i="24"/>
  <c r="H443" i="24"/>
  <c r="H524" i="24"/>
  <c r="E74" i="24"/>
  <c r="H87" i="24"/>
  <c r="BR1" i="24"/>
  <c r="I9" i="24"/>
  <c r="H37" i="24"/>
  <c r="I41" i="24"/>
  <c r="H51" i="24"/>
  <c r="I83" i="24"/>
  <c r="I89" i="24"/>
  <c r="I103" i="24"/>
  <c r="I105" i="24"/>
  <c r="I107" i="24"/>
  <c r="I123" i="24"/>
  <c r="AM145" i="24"/>
  <c r="AM150" i="24"/>
  <c r="AM153" i="24"/>
  <c r="C190" i="24"/>
  <c r="H196" i="24"/>
  <c r="AM199" i="24"/>
  <c r="I225" i="24"/>
  <c r="H226" i="24"/>
  <c r="I245" i="24"/>
  <c r="H321" i="24"/>
  <c r="H351" i="24"/>
  <c r="H358" i="24"/>
  <c r="H363" i="24"/>
  <c r="I372" i="24"/>
  <c r="I377" i="24"/>
  <c r="H512" i="24"/>
  <c r="H520" i="24"/>
  <c r="AM252" i="24"/>
  <c r="AO246" i="24"/>
  <c r="H269" i="24"/>
  <c r="H345" i="24"/>
  <c r="AM131" i="24"/>
  <c r="AM139" i="24"/>
  <c r="C192" i="24"/>
  <c r="AM214" i="24"/>
  <c r="AM251" i="24"/>
  <c r="AT259" i="24"/>
  <c r="AO259" i="24" s="1"/>
  <c r="H317" i="24"/>
  <c r="I445" i="24"/>
  <c r="H490" i="24"/>
  <c r="I170" i="24"/>
  <c r="I173" i="24"/>
  <c r="H181" i="24"/>
  <c r="AO244" i="24"/>
  <c r="AM256" i="24"/>
  <c r="I267" i="24"/>
  <c r="I270" i="24"/>
  <c r="H350" i="24"/>
  <c r="I379" i="24"/>
  <c r="H502" i="24"/>
  <c r="H6" i="24"/>
  <c r="H16" i="24"/>
  <c r="H18" i="24"/>
  <c r="H22" i="24"/>
  <c r="I39" i="24"/>
  <c r="H39" i="24"/>
  <c r="AL47" i="24"/>
  <c r="AK49" i="24"/>
  <c r="AP55" i="24"/>
  <c r="AO55" i="24"/>
  <c r="AO58" i="24"/>
  <c r="AP71" i="24"/>
  <c r="AO71" i="24"/>
  <c r="AO73" i="24"/>
  <c r="D75" i="24"/>
  <c r="I7" i="24"/>
  <c r="I8" i="24"/>
  <c r="I11" i="24"/>
  <c r="I12" i="24"/>
  <c r="I13" i="24"/>
  <c r="AL35" i="24"/>
  <c r="AL37" i="24"/>
  <c r="AP65" i="24"/>
  <c r="AO65" i="24"/>
  <c r="AO68" i="24"/>
  <c r="I82" i="24"/>
  <c r="H82" i="24"/>
  <c r="I85" i="24"/>
  <c r="D88" i="24"/>
  <c r="E108" i="24"/>
  <c r="D108" i="24"/>
  <c r="E116" i="24"/>
  <c r="D116" i="24"/>
  <c r="H122" i="24"/>
  <c r="AP185" i="24"/>
  <c r="AO185" i="24"/>
  <c r="I263" i="24"/>
  <c r="H263" i="24"/>
  <c r="H4" i="24"/>
  <c r="H15" i="24"/>
  <c r="H20" i="24"/>
  <c r="H28" i="24"/>
  <c r="H32" i="24"/>
  <c r="AK34" i="24"/>
  <c r="H35" i="24"/>
  <c r="I40" i="24"/>
  <c r="H42" i="24"/>
  <c r="AK50" i="24"/>
  <c r="AP53" i="24"/>
  <c r="AO53" i="24"/>
  <c r="AO56" i="24"/>
  <c r="AP69" i="24"/>
  <c r="AO69" i="24"/>
  <c r="E76" i="24"/>
  <c r="AP80" i="24"/>
  <c r="AO109" i="24"/>
  <c r="AO121" i="24"/>
  <c r="I169" i="24"/>
  <c r="H169" i="24"/>
  <c r="I172" i="24"/>
  <c r="H172" i="24"/>
  <c r="AO180" i="24"/>
  <c r="AP180" i="24"/>
  <c r="AP189" i="24"/>
  <c r="AM189" i="24" s="1"/>
  <c r="AP206" i="24"/>
  <c r="AM206" i="24" s="1"/>
  <c r="AP59" i="24"/>
  <c r="AO59" i="24"/>
  <c r="AP202" i="24"/>
  <c r="AM202" i="24"/>
  <c r="I262" i="24"/>
  <c r="H262" i="24"/>
  <c r="AO5" i="24"/>
  <c r="I47" i="24"/>
  <c r="H47" i="24"/>
  <c r="AP63" i="24"/>
  <c r="AO63" i="24"/>
  <c r="I76" i="24"/>
  <c r="H76" i="24"/>
  <c r="AL81" i="24"/>
  <c r="AK81" i="24"/>
  <c r="E91" i="24"/>
  <c r="D91" i="24"/>
  <c r="E95" i="24"/>
  <c r="D95" i="24"/>
  <c r="E99" i="24"/>
  <c r="D99" i="24"/>
  <c r="AP170" i="24"/>
  <c r="AO170" i="24"/>
  <c r="AP193" i="24"/>
  <c r="AM193" i="24"/>
  <c r="H295" i="24"/>
  <c r="I295" i="24"/>
  <c r="H297" i="24"/>
  <c r="I297" i="24"/>
  <c r="I329" i="24"/>
  <c r="H329" i="24"/>
  <c r="AK36" i="24"/>
  <c r="AP57" i="24"/>
  <c r="AO57" i="24"/>
  <c r="AO60" i="24"/>
  <c r="I72" i="24"/>
  <c r="H72" i="24"/>
  <c r="E90" i="24"/>
  <c r="E112" i="24"/>
  <c r="D112" i="24"/>
  <c r="AO117" i="24"/>
  <c r="AO124" i="24"/>
  <c r="AO173" i="24"/>
  <c r="AP173" i="24"/>
  <c r="AP196" i="24"/>
  <c r="AM196" i="24" s="1"/>
  <c r="I264" i="24"/>
  <c r="H264" i="24"/>
  <c r="E92" i="24"/>
  <c r="D92" i="24"/>
  <c r="E96" i="24"/>
  <c r="D96" i="24"/>
  <c r="E100" i="24"/>
  <c r="D100" i="24"/>
  <c r="I126" i="24"/>
  <c r="H126" i="24"/>
  <c r="AP147" i="24"/>
  <c r="AO147" i="24"/>
  <c r="AL46" i="24"/>
  <c r="AK46" i="24"/>
  <c r="AP67" i="24"/>
  <c r="AO67" i="24"/>
  <c r="I90" i="24"/>
  <c r="H90" i="24"/>
  <c r="E94" i="24"/>
  <c r="D94" i="24"/>
  <c r="E98" i="24"/>
  <c r="D98" i="24"/>
  <c r="AP178" i="24"/>
  <c r="AO178" i="24"/>
  <c r="AM192" i="24"/>
  <c r="AP192" i="24"/>
  <c r="H284" i="24"/>
  <c r="I284" i="24"/>
  <c r="AP61" i="24"/>
  <c r="AO61" i="24"/>
  <c r="AP75" i="24"/>
  <c r="AO75" i="24"/>
  <c r="E120" i="24"/>
  <c r="D120" i="24"/>
  <c r="I176" i="24"/>
  <c r="H176" i="24"/>
  <c r="AP179" i="24"/>
  <c r="AO179" i="24"/>
  <c r="AP195" i="24"/>
  <c r="AM195" i="24" s="1"/>
  <c r="H242" i="24"/>
  <c r="I242" i="24"/>
  <c r="I36" i="24"/>
  <c r="E93" i="24"/>
  <c r="D93" i="24"/>
  <c r="E97" i="24"/>
  <c r="D97" i="24"/>
  <c r="E104" i="24"/>
  <c r="D104" i="24"/>
  <c r="H110" i="24"/>
  <c r="AP174" i="24"/>
  <c r="AO174" i="24"/>
  <c r="AP182" i="24"/>
  <c r="AO182" i="24"/>
  <c r="AO184" i="24"/>
  <c r="AP184" i="24"/>
  <c r="I261" i="24"/>
  <c r="H261" i="24"/>
  <c r="E102" i="24"/>
  <c r="E110" i="24"/>
  <c r="E114" i="24"/>
  <c r="E118" i="24"/>
  <c r="I167" i="24"/>
  <c r="H177" i="24"/>
  <c r="I191" i="24"/>
  <c r="I192" i="24"/>
  <c r="I199" i="24"/>
  <c r="AP207" i="24"/>
  <c r="AM207" i="24" s="1"/>
  <c r="I219" i="24"/>
  <c r="H219" i="24"/>
  <c r="I222" i="24"/>
  <c r="I224" i="24"/>
  <c r="H224" i="24"/>
  <c r="AM250" i="24"/>
  <c r="I252" i="24"/>
  <c r="H252" i="24"/>
  <c r="I265" i="24"/>
  <c r="H265" i="24"/>
  <c r="I287" i="24"/>
  <c r="H287" i="24"/>
  <c r="I328" i="24"/>
  <c r="H328" i="24"/>
  <c r="AU340" i="24"/>
  <c r="AP340" i="24" s="1"/>
  <c r="AT340" i="24"/>
  <c r="AO340" i="24" s="1"/>
  <c r="I246" i="24"/>
  <c r="H246" i="24"/>
  <c r="I253" i="24"/>
  <c r="H253" i="24"/>
  <c r="I255" i="24"/>
  <c r="H255" i="24"/>
  <c r="H260" i="24"/>
  <c r="I260" i="24"/>
  <c r="I273" i="24"/>
  <c r="H273" i="24"/>
  <c r="I275" i="24"/>
  <c r="H275" i="24"/>
  <c r="H330" i="24"/>
  <c r="I330" i="24"/>
  <c r="I331" i="24"/>
  <c r="H331" i="24"/>
  <c r="I352" i="24"/>
  <c r="H352" i="24"/>
  <c r="AO148" i="24"/>
  <c r="AO171" i="24"/>
  <c r="AO175" i="24"/>
  <c r="H179" i="24"/>
  <c r="H182" i="24"/>
  <c r="H194" i="24"/>
  <c r="I220" i="24"/>
  <c r="H220" i="24"/>
  <c r="H280" i="24"/>
  <c r="I280" i="24"/>
  <c r="I282" i="24"/>
  <c r="H282" i="24"/>
  <c r="I285" i="24"/>
  <c r="H285" i="24"/>
  <c r="I286" i="24"/>
  <c r="I293" i="24"/>
  <c r="H293" i="24"/>
  <c r="I344" i="24"/>
  <c r="H344" i="24"/>
  <c r="AO79" i="24"/>
  <c r="H84" i="24"/>
  <c r="H101" i="24"/>
  <c r="AO108" i="24"/>
  <c r="H109" i="24"/>
  <c r="AO112" i="24"/>
  <c r="H113" i="24"/>
  <c r="H129" i="24"/>
  <c r="H133" i="24"/>
  <c r="H168" i="24"/>
  <c r="H185" i="24"/>
  <c r="I258" i="24"/>
  <c r="I276" i="24"/>
  <c r="H276" i="24"/>
  <c r="I288" i="24"/>
  <c r="H288" i="24"/>
  <c r="I298" i="24"/>
  <c r="H298" i="24"/>
  <c r="I373" i="24"/>
  <c r="H373" i="24"/>
  <c r="I447" i="24"/>
  <c r="H447" i="24"/>
  <c r="AM200" i="24"/>
  <c r="AP203" i="24"/>
  <c r="AM203" i="24" s="1"/>
  <c r="I205" i="24"/>
  <c r="H205" i="24"/>
  <c r="AO213" i="24"/>
  <c r="I243" i="24"/>
  <c r="H243" i="24"/>
  <c r="I256" i="24"/>
  <c r="H266" i="24"/>
  <c r="AM201" i="24"/>
  <c r="AM204" i="24"/>
  <c r="I209" i="24"/>
  <c r="H209" i="24"/>
  <c r="H272" i="24"/>
  <c r="I272" i="24"/>
  <c r="I274" i="24"/>
  <c r="H274" i="24"/>
  <c r="I365" i="24"/>
  <c r="H365" i="24"/>
  <c r="I227" i="24"/>
  <c r="H227" i="24"/>
  <c r="I232" i="24"/>
  <c r="H232" i="24"/>
  <c r="I235" i="24"/>
  <c r="H235" i="24"/>
  <c r="I239" i="24"/>
  <c r="H239" i="24"/>
  <c r="I244" i="24"/>
  <c r="H244" i="24"/>
  <c r="I254" i="24"/>
  <c r="H254" i="24"/>
  <c r="I268" i="24"/>
  <c r="H268" i="24"/>
  <c r="I278" i="24"/>
  <c r="I281" i="24"/>
  <c r="H281" i="24"/>
  <c r="I289" i="24"/>
  <c r="H289" i="24"/>
  <c r="H259" i="24"/>
  <c r="H271" i="24"/>
  <c r="H279" i="24"/>
  <c r="H296" i="24"/>
  <c r="F317" i="24"/>
  <c r="AT332" i="24"/>
  <c r="AO332" i="24" s="1"/>
  <c r="AT341" i="24"/>
  <c r="AO341" i="24" s="1"/>
  <c r="H343" i="24"/>
  <c r="H347" i="24"/>
  <c r="H355" i="24"/>
  <c r="H359" i="24"/>
  <c r="H364" i="24"/>
  <c r="H367" i="24"/>
  <c r="AO368" i="24"/>
  <c r="H448" i="24"/>
  <c r="H483" i="24"/>
  <c r="H487" i="24"/>
  <c r="H491" i="24"/>
  <c r="H495" i="24"/>
  <c r="H499" i="24"/>
  <c r="H503" i="24"/>
  <c r="H507" i="24"/>
  <c r="H509" i="24"/>
  <c r="H511" i="24"/>
  <c r="H513" i="24"/>
  <c r="H515" i="24"/>
  <c r="H517" i="24"/>
  <c r="H519" i="24"/>
  <c r="H522" i="24"/>
  <c r="AP259" i="24"/>
  <c r="AP257" i="24"/>
  <c r="AT258" i="24"/>
  <c r="AO258" i="24" s="1"/>
  <c r="F290" i="24"/>
  <c r="F291" i="24"/>
  <c r="F292" i="24"/>
  <c r="F313" i="24"/>
  <c r="AT342" i="24"/>
  <c r="AO342" i="24" s="1"/>
  <c r="H299" i="24"/>
  <c r="AO330" i="24"/>
  <c r="H349" i="24"/>
  <c r="H357" i="24"/>
  <c r="H378" i="24"/>
  <c r="H446" i="24"/>
  <c r="H484" i="24"/>
  <c r="H488" i="24"/>
  <c r="H492" i="24"/>
  <c r="H496" i="24"/>
  <c r="H500" i="24"/>
  <c r="H504" i="24"/>
  <c r="E1" i="24" l="1"/>
  <c r="CE1" i="24" s="1"/>
</calcChain>
</file>

<file path=xl/comments1.xml><?xml version="1.0" encoding="utf-8"?>
<comments xmlns="http://schemas.openxmlformats.org/spreadsheetml/2006/main">
  <authors>
    <author>Dana Royer</author>
  </authors>
  <commentList>
    <comment ref="G2" authorId="0" shapeId="0">
      <text>
        <r>
          <rPr>
            <b/>
            <sz val="9"/>
            <color indexed="81"/>
            <rFont val="Tahoma"/>
            <family val="2"/>
          </rPr>
          <t>Dana Royer:</t>
        </r>
        <r>
          <rPr>
            <sz val="9"/>
            <color indexed="81"/>
            <rFont val="Tahoma"/>
            <family val="2"/>
          </rPr>
          <t xml:space="preserve">
what does the best estimate represent, a mean or a median?</t>
        </r>
      </text>
    </comment>
    <comment ref="J2" authorId="0" shapeId="0">
      <text>
        <r>
          <rPr>
            <b/>
            <sz val="9"/>
            <color indexed="81"/>
            <rFont val="Tahoma"/>
            <family val="2"/>
          </rPr>
          <t>Dana Royer:</t>
        </r>
        <r>
          <rPr>
            <sz val="9"/>
            <color indexed="81"/>
            <rFont val="Tahoma"/>
            <family val="2"/>
          </rPr>
          <t xml:space="preserve">
what do the "low" and "high" values correspond to (percentiles, standard error, etc.)?</t>
        </r>
      </text>
    </comment>
    <comment ref="Y2" authorId="0" shapeId="0">
      <text>
        <r>
          <rPr>
            <b/>
            <sz val="9"/>
            <color indexed="81"/>
            <rFont val="Tahoma"/>
            <family val="2"/>
          </rPr>
          <t>Dana Royer:</t>
        </r>
        <r>
          <rPr>
            <sz val="9"/>
            <color indexed="81"/>
            <rFont val="Tahoma"/>
            <family val="2"/>
          </rPr>
          <t xml:space="preserve">
what does the best estimate represent, a mean or a median?</t>
        </r>
      </text>
    </comment>
    <comment ref="AB2" authorId="0" shapeId="0">
      <text>
        <r>
          <rPr>
            <b/>
            <sz val="9"/>
            <color indexed="81"/>
            <rFont val="Tahoma"/>
            <family val="2"/>
          </rPr>
          <t>Dana Royer:</t>
        </r>
        <r>
          <rPr>
            <sz val="9"/>
            <color indexed="81"/>
            <rFont val="Tahoma"/>
            <family val="2"/>
          </rPr>
          <t xml:space="preserve">
what do the "low" and "high" values correspond to (percentiles, standard error, etc.)?</t>
        </r>
      </text>
    </comment>
    <comment ref="AN2" authorId="0" shapeId="0">
      <text>
        <r>
          <rPr>
            <b/>
            <sz val="9"/>
            <color indexed="81"/>
            <rFont val="Tahoma"/>
            <family val="2"/>
          </rPr>
          <t>Dana Royer:</t>
        </r>
        <r>
          <rPr>
            <sz val="9"/>
            <color indexed="81"/>
            <rFont val="Tahoma"/>
            <family val="2"/>
          </rPr>
          <t xml:space="preserve">
what does the best estimate represent, a mean or a median?</t>
        </r>
      </text>
    </comment>
    <comment ref="AQ2" authorId="0" shapeId="0">
      <text>
        <r>
          <rPr>
            <b/>
            <sz val="9"/>
            <color indexed="81"/>
            <rFont val="Tahoma"/>
            <family val="2"/>
          </rPr>
          <t>Dana Royer:</t>
        </r>
        <r>
          <rPr>
            <sz val="9"/>
            <color indexed="81"/>
            <rFont val="Tahoma"/>
            <family val="2"/>
          </rPr>
          <t xml:space="preserve">
what do the "low" and "high" values correspond to (percentiles, standard error, etc.)?</t>
        </r>
      </text>
    </comment>
    <comment ref="BE2" authorId="0" shapeId="0">
      <text>
        <r>
          <rPr>
            <b/>
            <sz val="9"/>
            <color indexed="81"/>
            <rFont val="Tahoma"/>
            <family val="2"/>
          </rPr>
          <t>Dana Royer:</t>
        </r>
        <r>
          <rPr>
            <sz val="9"/>
            <color indexed="81"/>
            <rFont val="Tahoma"/>
            <family val="2"/>
          </rPr>
          <t xml:space="preserve">
what does the best estimate represent, a mean or a median?</t>
        </r>
      </text>
    </comment>
    <comment ref="BH2" authorId="0" shapeId="0">
      <text>
        <r>
          <rPr>
            <b/>
            <sz val="9"/>
            <color indexed="81"/>
            <rFont val="Tahoma"/>
            <family val="2"/>
          </rPr>
          <t>Dana Royer:</t>
        </r>
        <r>
          <rPr>
            <sz val="9"/>
            <color indexed="81"/>
            <rFont val="Tahoma"/>
            <family val="2"/>
          </rPr>
          <t xml:space="preserve">
what do the "low" and "high" values correspond to (percentiles, standard error, etc.)?</t>
        </r>
      </text>
    </comment>
    <comment ref="BT2" authorId="0" shapeId="0">
      <text>
        <r>
          <rPr>
            <b/>
            <sz val="9"/>
            <color indexed="81"/>
            <rFont val="Tahoma"/>
            <family val="2"/>
          </rPr>
          <t>Dana Royer:</t>
        </r>
        <r>
          <rPr>
            <sz val="9"/>
            <color indexed="81"/>
            <rFont val="Tahoma"/>
            <family val="2"/>
          </rPr>
          <t xml:space="preserve">
what does the best estimate represent, a mean or a median?</t>
        </r>
      </text>
    </comment>
    <comment ref="BW2" authorId="0" shapeId="0">
      <text>
        <r>
          <rPr>
            <b/>
            <sz val="9"/>
            <color indexed="81"/>
            <rFont val="Tahoma"/>
            <family val="2"/>
          </rPr>
          <t>Dana Royer:</t>
        </r>
        <r>
          <rPr>
            <sz val="9"/>
            <color indexed="81"/>
            <rFont val="Tahoma"/>
            <family val="2"/>
          </rPr>
          <t xml:space="preserve">
what do the "low" and "high" values correspond to (percentiles, standard error, etc.)?</t>
        </r>
      </text>
    </comment>
  </commentList>
</comments>
</file>

<file path=xl/sharedStrings.xml><?xml version="1.0" encoding="utf-8"?>
<sst xmlns="http://schemas.openxmlformats.org/spreadsheetml/2006/main" count="17867" uniqueCount="1390">
  <si>
    <t>Royer et al., 2001b (updated by Beerling et al., 2009)</t>
  </si>
  <si>
    <r>
      <t>4. Boron-based CO</t>
    </r>
    <r>
      <rPr>
        <vertAlign val="subscript"/>
        <sz val="11"/>
        <rFont val="Arial"/>
        <family val="2"/>
      </rPr>
      <t>2</t>
    </r>
    <r>
      <rPr>
        <sz val="11"/>
        <rFont val="Arial"/>
        <family val="2"/>
      </rPr>
      <t xml:space="preserve"> estimates of Pearson and Palmer (2000) are excluded due to problems related to diagenesis, vital effects of extinct species, and the evolution of seawater δ</t>
    </r>
    <r>
      <rPr>
        <vertAlign val="superscript"/>
        <sz val="11"/>
        <rFont val="Arial"/>
        <family val="2"/>
      </rPr>
      <t>11</t>
    </r>
    <r>
      <rPr>
        <sz val="11"/>
        <rFont val="Arial"/>
        <family val="2"/>
      </rPr>
      <t>B and alkalinity (Lemarchand et al., 2000; Pearson et al., 2001; Royer et al., 2001a; Pagani et al., 2005a; Klochko et al., 2006, 2009).</t>
    </r>
  </si>
  <si>
    <t>Beerling et al., 1998</t>
  </si>
  <si>
    <t>Chen et al., 2001</t>
  </si>
  <si>
    <t>Cerling, 1992</t>
  </si>
  <si>
    <t>Cerling, 1991</t>
  </si>
  <si>
    <t>Lee, 1999</t>
  </si>
  <si>
    <t>Koch et al., 1992</t>
  </si>
  <si>
    <t>Muchez et al., 1993</t>
  </si>
  <si>
    <t>Ekart et al., 1999</t>
  </si>
  <si>
    <t>McElwain, 1998</t>
  </si>
  <si>
    <t>Kürschner et al., 2001</t>
  </si>
  <si>
    <t>Reference</t>
  </si>
  <si>
    <t xml:space="preserve"> </t>
  </si>
  <si>
    <t>Robinson et al., 2002</t>
  </si>
  <si>
    <t>Nordt et al., 2002</t>
  </si>
  <si>
    <t>Beerling, 2002</t>
  </si>
  <si>
    <t>Tanner et al., 2001</t>
  </si>
  <si>
    <t>Greenwood et al., 2003</t>
  </si>
  <si>
    <t>Age</t>
  </si>
  <si>
    <t>(Ma)</t>
  </si>
  <si>
    <t>(ppm)</t>
  </si>
  <si>
    <t>Mora et al., 1996</t>
  </si>
  <si>
    <t>Andrews et al., 1995</t>
  </si>
  <si>
    <t>McElwain et al., 1999</t>
  </si>
  <si>
    <t>Sinha &amp; Stott, 1994</t>
  </si>
  <si>
    <t>Beerling &amp; Royer, 2002</t>
  </si>
  <si>
    <t>Driese et al., 2000</t>
  </si>
  <si>
    <r>
      <t>CO</t>
    </r>
    <r>
      <rPr>
        <b/>
        <vertAlign val="subscript"/>
        <sz val="10"/>
        <rFont val="Arial"/>
        <family val="2"/>
      </rPr>
      <t>2</t>
    </r>
  </si>
  <si>
    <r>
      <t>CO</t>
    </r>
    <r>
      <rPr>
        <b/>
        <vertAlign val="subscript"/>
        <sz val="10"/>
        <rFont val="Arial"/>
        <family val="2"/>
      </rPr>
      <t>2</t>
    </r>
    <r>
      <rPr>
        <b/>
        <sz val="10"/>
        <rFont val="Arial"/>
        <family val="2"/>
      </rPr>
      <t xml:space="preserve"> low</t>
    </r>
  </si>
  <si>
    <r>
      <t>CO</t>
    </r>
    <r>
      <rPr>
        <b/>
        <vertAlign val="subscript"/>
        <sz val="10"/>
        <rFont val="Arial"/>
        <family val="2"/>
      </rPr>
      <t>2</t>
    </r>
    <r>
      <rPr>
        <b/>
        <sz val="10"/>
        <rFont val="Arial"/>
        <family val="2"/>
      </rPr>
      <t xml:space="preserve"> high</t>
    </r>
  </si>
  <si>
    <t>Nordt et al., 2003</t>
  </si>
  <si>
    <t>Tabor et al., 2004</t>
  </si>
  <si>
    <t>old</t>
  </si>
  <si>
    <t>McElwain et al., 2005</t>
  </si>
  <si>
    <t>young</t>
  </si>
  <si>
    <t>Haworth et al., 2005</t>
  </si>
  <si>
    <t>Cox et al., 2001</t>
  </si>
  <si>
    <t>Ghosh et al., 2005 (and 1995, 2001)</t>
  </si>
  <si>
    <t>Montañez et al., 2007</t>
  </si>
  <si>
    <t>Prochnow et al., 2006</t>
  </si>
  <si>
    <t>Kürschner et al., 2008</t>
  </si>
  <si>
    <t>Fletcher et al., 2008</t>
  </si>
  <si>
    <r>
      <t>n</t>
    </r>
    <r>
      <rPr>
        <b/>
        <sz val="10"/>
        <rFont val="Arial"/>
        <family val="2"/>
      </rPr>
      <t xml:space="preserve"> = </t>
    </r>
  </si>
  <si>
    <t>total data points =</t>
  </si>
  <si>
    <t>Sun et al., 2007</t>
  </si>
  <si>
    <t>Cleveland et al., 2008</t>
  </si>
  <si>
    <t>Passalia, 2009</t>
  </si>
  <si>
    <t>early Carnian</t>
  </si>
  <si>
    <t>late Rhaetian</t>
  </si>
  <si>
    <t>late Kimmeridgian</t>
  </si>
  <si>
    <t>early Berriasian</t>
  </si>
  <si>
    <t>late Barremian</t>
  </si>
  <si>
    <t>early Aptian</t>
  </si>
  <si>
    <t>late Aptian</t>
  </si>
  <si>
    <t>early Lutetian</t>
  </si>
  <si>
    <t>middle Priabonian</t>
  </si>
  <si>
    <t>late Priabonian</t>
  </si>
  <si>
    <t>late Serravallian</t>
  </si>
  <si>
    <t>late Zanclean</t>
  </si>
  <si>
    <t>stomatal ratio</t>
  </si>
  <si>
    <t>Retallack, 2009a</t>
  </si>
  <si>
    <t>Yan et al., 2009</t>
  </si>
  <si>
    <t>Barclay et al., 2010</t>
  </si>
  <si>
    <t>Beerling et al., 2002 (updated by Beerling et al., 2009)</t>
  </si>
  <si>
    <t>Royer, 2003 (updated by Beerling et al., 2009)</t>
  </si>
  <si>
    <t>Kürschner et al., 2008 (updated by Beerling et al., 2009)</t>
  </si>
  <si>
    <t>Quan et al., 2009</t>
  </si>
  <si>
    <t>Smith et al., 2010</t>
  </si>
  <si>
    <t>[unbounded]</t>
  </si>
  <si>
    <t>Bonis et al., 2010</t>
  </si>
  <si>
    <t>Leier et al., 2009</t>
  </si>
  <si>
    <t>Sandler, 2006</t>
  </si>
  <si>
    <t>Seki et al., 2010</t>
  </si>
  <si>
    <t>Notes</t>
  </si>
  <si>
    <t>Doria et al., 2011</t>
  </si>
  <si>
    <t>Schaller et al., 2011</t>
  </si>
  <si>
    <t>Steinthorsdottir et al., 2011</t>
  </si>
  <si>
    <t>Stults et al., 2011</t>
  </si>
  <si>
    <t>Wan et al., 2011</t>
  </si>
  <si>
    <t>Huang et al., 2012</t>
  </si>
  <si>
    <t>Lee &amp; Hisada, 1999  (updated by Hong and Lee, 2012)</t>
  </si>
  <si>
    <t>S(z) used</t>
  </si>
  <si>
    <t>reported</t>
  </si>
  <si>
    <t>S(z)</t>
  </si>
  <si>
    <t>Wolfville Formation (Carnian-Norian)</t>
  </si>
  <si>
    <t>Suchecki et al., 1988 (reported in Ekart et al., 1999)</t>
  </si>
  <si>
    <t>Platt, 1989 (reported in Cerling, 1991)</t>
  </si>
  <si>
    <t>Berriasian</t>
  </si>
  <si>
    <t>late Miocene</t>
  </si>
  <si>
    <t>middle Miocene</t>
  </si>
  <si>
    <t>Pliocene</t>
  </si>
  <si>
    <t>just after the PETM in the Bighorn Basin</t>
  </si>
  <si>
    <t>just before the PETM in the Bighorn Basin</t>
  </si>
  <si>
    <t>Lower Visean</t>
  </si>
  <si>
    <t>Sparnacian; just before the PETM</t>
  </si>
  <si>
    <t>Sparnacian; just after the PETM</t>
  </si>
  <si>
    <t>Maastrichtian (Lameta Beds)</t>
  </si>
  <si>
    <t>Maastrichtian</t>
  </si>
  <si>
    <t>Campanian</t>
  </si>
  <si>
    <t>Aptian</t>
  </si>
  <si>
    <t>Albian (from Ekart et al., 1999); Proctor Locality in Twin Mountains Formation (Lower Cretaceous)</t>
  </si>
  <si>
    <t>Kimmeridgian</t>
  </si>
  <si>
    <t>Early Jurassic</t>
  </si>
  <si>
    <t>Aalenian</t>
  </si>
  <si>
    <t>Carnian-Nornian</t>
  </si>
  <si>
    <t>Anisian-Ladinian</t>
  </si>
  <si>
    <t>Purvis &amp; Wright, 1991 (reported in Ekart et al., 1999)</t>
  </si>
  <si>
    <t>Ochoan</t>
  </si>
  <si>
    <t>Wolfcampian</t>
  </si>
  <si>
    <t>Late Pennsylvanian</t>
  </si>
  <si>
    <t>Kenny &amp; Neet, 1993</t>
  </si>
  <si>
    <t>Middle Devonian</t>
  </si>
  <si>
    <t>Miocene</t>
  </si>
  <si>
    <t>Miocene (Huete ?Formation, Spain)</t>
  </si>
  <si>
    <t>Late Oligocene (Salla Formation, Bolivia)</t>
  </si>
  <si>
    <t>Eocene (Claron Formation, Utah)</t>
  </si>
  <si>
    <t>Turolian [Chomateri?] (Miocene)</t>
  </si>
  <si>
    <t>Vallesian (Miocene); Nea Messimbria Formation</t>
  </si>
  <si>
    <t>Quade et al., 1994 (reported in Ekart et al., 1999)</t>
  </si>
  <si>
    <t>Ludlovian-Pridolian</t>
  </si>
  <si>
    <t>Late Devonian</t>
  </si>
  <si>
    <t>Famennian</t>
  </si>
  <si>
    <t>Visean-Namurian</t>
  </si>
  <si>
    <t>Late Mississippian</t>
  </si>
  <si>
    <t>Early Permian</t>
  </si>
  <si>
    <t>late Valanginian - early Albian</t>
  </si>
  <si>
    <t>mid-Turonian</t>
  </si>
  <si>
    <t>late Emsian</t>
  </si>
  <si>
    <t>Givetian</t>
  </si>
  <si>
    <t>Frasnian</t>
  </si>
  <si>
    <t>Silurian-Devonian boundary</t>
  </si>
  <si>
    <t>Hettangian</t>
  </si>
  <si>
    <t>Lower Barremian</t>
  </si>
  <si>
    <t>Chron 33N</t>
  </si>
  <si>
    <t>Chron 30N</t>
  </si>
  <si>
    <t>Chron 29R</t>
  </si>
  <si>
    <t>Chron 29N</t>
  </si>
  <si>
    <t>Chron 28R</t>
  </si>
  <si>
    <t>Lower Leonardian</t>
  </si>
  <si>
    <t>Upper Leonardian</t>
  </si>
  <si>
    <t>early middle Permian</t>
  </si>
  <si>
    <t>middle Triassic</t>
  </si>
  <si>
    <t>late Cretaceous</t>
  </si>
  <si>
    <t>Carnian (middle to upper Triassic)</t>
  </si>
  <si>
    <t>Norian</t>
  </si>
  <si>
    <t>Carnian</t>
  </si>
  <si>
    <t>Lower Anisian</t>
  </si>
  <si>
    <t>Rhaetian</t>
  </si>
  <si>
    <t>Late Norian</t>
  </si>
  <si>
    <t>magnetostratigraphy (and some biostratigraphy)</t>
  </si>
  <si>
    <t>earliest Late Cretaceous</t>
  </si>
  <si>
    <t>latest early Cretaceous (Aptian to Albian?)</t>
  </si>
  <si>
    <t>magnetostratigraphy (Newark Basin)</t>
  </si>
  <si>
    <t>Late Barremian</t>
  </si>
  <si>
    <t>Early Valanginian</t>
  </si>
  <si>
    <t>Early-middle Berriasian</t>
  </si>
  <si>
    <t>radiometric constraints and assumptions about linear sedimentation rates</t>
  </si>
  <si>
    <t>Hauterivian to Barremian</t>
  </si>
  <si>
    <t>Oxfordian to Kimmeridgian</t>
  </si>
  <si>
    <t>late Hemphillian</t>
  </si>
  <si>
    <t>Gutierrez &amp; Sheldon, 2012</t>
  </si>
  <si>
    <t>Middle Jurassic</t>
  </si>
  <si>
    <t>Lutetian</t>
  </si>
  <si>
    <t>Siegenian-Emsian (Early Devonian)</t>
  </si>
  <si>
    <t>Westphalian B (Late Carboniferous)</t>
  </si>
  <si>
    <t>just after the T-J extinction</t>
  </si>
  <si>
    <t>during the T-J extinction</t>
  </si>
  <si>
    <t>just before the T-J extinction</t>
  </si>
  <si>
    <t>1.8 Myrs after the PETM (Age Model 2 in Wing et al., 2000); LJH 9915</t>
  </si>
  <si>
    <t>1.3 Myrs after the PETM (Age Model 2 in Wing et al., 2000); SLW LB</t>
  </si>
  <si>
    <t>0.4 Myrs after the PETM (Age Model 2 in Wing et al., 2000); SLW 9915</t>
  </si>
  <si>
    <t>0.1 Myrs after the PETM (Age Model 2 in Wing et al., 2000); SLW 9812</t>
  </si>
  <si>
    <t>0.1 Myrs before the PETM (Age Model 2 in Wing et al., 2000); SLW 8612</t>
  </si>
  <si>
    <t>0.1 Myrs before the PETM (Age Model 2 in Wing et al., 2000); SLW 9936</t>
  </si>
  <si>
    <t>0.1 Myrs before the PETM (Age Model 2 in Wing et al., 2000); SLW 9050</t>
  </si>
  <si>
    <t>0.1 Myrs before the PETM (Age Model 2 in Wing et al., 2000); SLW 9715</t>
  </si>
  <si>
    <t>0.2 Myrs before the PETM (Age Model 2 in Wing et al., 2000); SLW 9434</t>
  </si>
  <si>
    <t>0.4 Myrs before the PETM (Age Model 2 in Wing et al., 2000); SLW 9411</t>
  </si>
  <si>
    <t>0.5 Myrs before the PETM (Age Model 2 in Wing et al., 2000); SLW 9155</t>
  </si>
  <si>
    <t>0.6 Myrs before the PETM (Age Model 2 in Wing et al., 2000); LJH 72141-1</t>
  </si>
  <si>
    <t>0.7 Myrs before the PETM (Age Model 2 in Wing et al., 2000); SLW 993</t>
  </si>
  <si>
    <t>0.7 Myrs before the PETM (Age Model 2 in Wing et al., 2000); SLW 992</t>
  </si>
  <si>
    <t>0.7 Myrs before the PETM (Age Model 2 in Wing et al., 2000); SLW 991</t>
  </si>
  <si>
    <t>1.2 Myrs before the PETM (Age Model 2 in Wing et al., 2000); LJH 7132</t>
  </si>
  <si>
    <t>2.1 Myrs before the PETM (Age Model 2 in Wing et al., 2000); SLW 0025</t>
  </si>
  <si>
    <t>1.7 Myrs after the PETM (Age Model 2 in Wing et al., 2000); SLW H</t>
  </si>
  <si>
    <t>Puercan (Wing et al., 1995); LJH 7423</t>
  </si>
  <si>
    <t>35.2 m below the KTB; HCIIa floral zone; ~0.5 Myrs before KTB (Hicks et al., 2002); DMNH 566</t>
  </si>
  <si>
    <t>radiometric dating (Raynolds et al., 2001, p. 21); DMNH 2360</t>
  </si>
  <si>
    <t>Torrejonian-Tiffanian (Dunn, 2003); DMNH 2644</t>
  </si>
  <si>
    <t>Kazanian</t>
  </si>
  <si>
    <t>Westphalian</t>
  </si>
  <si>
    <t>Namurian</t>
  </si>
  <si>
    <t>Lower Jurassic (Hettangian)</t>
  </si>
  <si>
    <t>Upper Triassic (Rhaetian)</t>
  </si>
  <si>
    <t>Early Cretaceous (Valanginian-Hauterivian)</t>
  </si>
  <si>
    <t>Pragian (Lower Devonian)</t>
  </si>
  <si>
    <t>Toarcian OAE</t>
  </si>
  <si>
    <t>early Hauterivian</t>
  </si>
  <si>
    <t>late Hauterivian</t>
  </si>
  <si>
    <t>early Barremian</t>
  </si>
  <si>
    <t>mid Aptian</t>
  </si>
  <si>
    <t>mid-late Aptian</t>
  </si>
  <si>
    <t>early-mid Albian</t>
  </si>
  <si>
    <t>late Albian</t>
  </si>
  <si>
    <t>Pleinsbachian</t>
  </si>
  <si>
    <t>Bajocian</t>
  </si>
  <si>
    <t>Late Oligocene</t>
  </si>
  <si>
    <t>Aquitanian</t>
  </si>
  <si>
    <t>Eggenburgian</t>
  </si>
  <si>
    <t>Ottnangian</t>
  </si>
  <si>
    <t>Karpartian</t>
  </si>
  <si>
    <t>Early Badenian</t>
  </si>
  <si>
    <t>Late Badenian</t>
  </si>
  <si>
    <t>Bessarabian</t>
  </si>
  <si>
    <t>OAE2; well constrained section (all during Cenomanian)</t>
  </si>
  <si>
    <t>radiometric dating</t>
  </si>
  <si>
    <t>middle to late Rhaetian</t>
  </si>
  <si>
    <t>Late Miocene</t>
  </si>
  <si>
    <t>NP23 zone</t>
  </si>
  <si>
    <t>Santonian</t>
  </si>
  <si>
    <t>Ypresian</t>
  </si>
  <si>
    <t>Selandian-Thanetian</t>
  </si>
  <si>
    <t>middle Maastrichtian</t>
  </si>
  <si>
    <t>late Albian-Cenomanian</t>
  </si>
  <si>
    <t>early Albian</t>
  </si>
  <si>
    <t>Barremian-Aptian</t>
  </si>
  <si>
    <t>late Berriasian-early Valanginian</t>
  </si>
  <si>
    <t>Callovian-Oxfordian</t>
  </si>
  <si>
    <t>middle Bajocian</t>
  </si>
  <si>
    <t>Hettangian-Toarcian</t>
  </si>
  <si>
    <t>Carnian-Toarcian</t>
  </si>
  <si>
    <t>gas exchange</t>
  </si>
  <si>
    <r>
      <t>Erdei et al., 2012</t>
    </r>
    <r>
      <rPr>
        <sz val="10"/>
        <color theme="1"/>
        <rFont val="Arial"/>
        <family val="2"/>
      </rPr>
      <t/>
    </r>
  </si>
  <si>
    <t>Grein et al., 2011</t>
  </si>
  <si>
    <t>stomatal index</t>
  </si>
  <si>
    <t>Kürschner et al., 1996</t>
  </si>
  <si>
    <t>van der Burgh et al., 1993 (updated by Kürschner et al., 1996)</t>
  </si>
  <si>
    <t>median</t>
  </si>
  <si>
    <t>McCoy Brook Formation (Lower Jurassic: Hettangian-Sinemurian)</t>
  </si>
  <si>
    <t>"Miocene" age does not fit with reported age (5 Ma)</t>
  </si>
  <si>
    <t>early to middle Jurassic</t>
  </si>
  <si>
    <t>Middle Mississippian</t>
  </si>
  <si>
    <t>Chadian-Arundian (equivalent to Radaevkian-Bobrikovian)</t>
  </si>
  <si>
    <t>lower Middle Eocene</t>
  </si>
  <si>
    <t>late Upper Albian</t>
  </si>
  <si>
    <t>early Upper Aptian</t>
  </si>
  <si>
    <t>early Lower Cretaceous</t>
  </si>
  <si>
    <t>Hyland &amp; Sheldon, 2013</t>
  </si>
  <si>
    <t>[multiple arguments]</t>
  </si>
  <si>
    <t>Roth-Nebelsick et al., 2012</t>
  </si>
  <si>
    <t>Grein et al., 2013 (updates Roth-Nebelsick et al., 2004, 2012)</t>
  </si>
  <si>
    <t>Grein et al., 2013 (updates Roth-Nebelsick et al., 2004)</t>
  </si>
  <si>
    <t>late Eocene</t>
  </si>
  <si>
    <t>Huang et al., 2013</t>
  </si>
  <si>
    <t>Hyland et al., 2013</t>
  </si>
  <si>
    <t>biostratigraphy (near the Wa6-Wa7 boundary)</t>
  </si>
  <si>
    <t>Uintan-Duchesnean NALMA</t>
  </si>
  <si>
    <t>Schaller et al., 2012</t>
  </si>
  <si>
    <t>magnetostratigraphy (Hartford Basin)</t>
  </si>
  <si>
    <t>Mortazavi et al., 2013</t>
  </si>
  <si>
    <t>Berriasian-Barremian</t>
  </si>
  <si>
    <t>Badger et al., 2013a</t>
  </si>
  <si>
    <t>Badger et al., 2013b</t>
  </si>
  <si>
    <t>Zhang et al., 2013</t>
  </si>
  <si>
    <r>
      <t>3. Goethite-based CO</t>
    </r>
    <r>
      <rPr>
        <vertAlign val="subscript"/>
        <sz val="11"/>
        <rFont val="Arial"/>
        <family val="2"/>
      </rPr>
      <t>2</t>
    </r>
    <r>
      <rPr>
        <sz val="11"/>
        <rFont val="Arial"/>
        <family val="2"/>
      </rPr>
      <t xml:space="preserve"> estimates are excluded due to uncertainties in modeling isotopic fractionation factors (Rustad and Zarzycki, 2008).</t>
    </r>
  </si>
  <si>
    <t>New Haven Arkose (early to middle Nornian; also, nearby U-Pb date of 211.9 +/- 2.1 Ma; see Olsen et al., 2005)</t>
  </si>
  <si>
    <t>early Eocene (Willwood Formation); magnetostratigraphy by Tauxe et al. (1994) suggests 55-52 Ma</t>
  </si>
  <si>
    <t>Turolian (Miocene); Mytilini Formation on Samos; radiometric date of 7.66 +/- 0.13 Ma</t>
  </si>
  <si>
    <t>early Paleocene (Rapp et al., 1983 place the Javelina-Black Peaks contact in chron 26R)</t>
  </si>
  <si>
    <t>magnetostratigraphy (from Clyde et al., 2001)</t>
  </si>
  <si>
    <t>Ghost Ranch section</t>
  </si>
  <si>
    <t>based on age model developed by authors (corrected to Gradstein et al., 2012; p. 639); no errors or context are provided</t>
  </si>
  <si>
    <t>site 925A</t>
  </si>
  <si>
    <t>early Middle Jurassic</t>
  </si>
  <si>
    <t>radiometric constraints (Reidel &amp; Fecht, 1987)</t>
  </si>
  <si>
    <t>middle Tiffanian (Ti-3) (Fox, 1990); Burbank site</t>
  </si>
  <si>
    <t>middle Tiffanian (Ti-3) (Fox, 1990); Joffre Bridge site</t>
  </si>
  <si>
    <t>mid-Berriasian</t>
  </si>
  <si>
    <t>mid-Tithonian</t>
  </si>
  <si>
    <t>mid-Carnian</t>
  </si>
  <si>
    <t>radiometric dating (Moss et al., 2005)</t>
  </si>
  <si>
    <t>radiometric dating (Mertz &amp; Renne, 2005)</t>
  </si>
  <si>
    <t>early Paleocene (Kvacek et al., 1994); Basilika site</t>
  </si>
  <si>
    <t>Miocene (difficult to determine more precise age from paper; probably precise to ~+/- 2 Myrs)</t>
  </si>
  <si>
    <t>description</t>
  </si>
  <si>
    <t>Gastaldo et al., 2014</t>
  </si>
  <si>
    <t>Changhsingian (-41 m below PTB)</t>
  </si>
  <si>
    <t>Changhsingian (-51 m below PTB)</t>
  </si>
  <si>
    <t>Changhsingian (-60 m below PTB)</t>
  </si>
  <si>
    <r>
      <t>Roth-Nebelsick et al., 2014</t>
    </r>
    <r>
      <rPr>
        <sz val="10"/>
        <color theme="1"/>
        <rFont val="Arial"/>
        <family val="2"/>
      </rPr>
      <t/>
    </r>
  </si>
  <si>
    <t>Spore Pollen Paleogene (SPP) zone 20 A to 20 C4</t>
  </si>
  <si>
    <t>biostratigraphy (NALMA's; names and age ranges are not provided here or in associated Fox &amp; Koch 2003 Geology paper)</t>
  </si>
  <si>
    <t>chronostratigraphy</t>
  </si>
  <si>
    <t>approximate age</t>
  </si>
  <si>
    <t>Quade &amp; Cerling, 1995 (reported in Ekart et al., 1999)</t>
  </si>
  <si>
    <t>Hong &amp; Lee, 2012</t>
  </si>
  <si>
    <t>Franks et al., 2014</t>
  </si>
  <si>
    <t>Carnian to early Norian</t>
  </si>
  <si>
    <t>Albian</t>
  </si>
  <si>
    <t>Miocene to Pliocene</t>
  </si>
  <si>
    <t>Pragian [Edwards et al 1998 material]</t>
  </si>
  <si>
    <t>Lower Coal Measures (Langsettian) [Graham 1935 material]</t>
  </si>
  <si>
    <t>Upper Carboniferous [Thomas 1965 material] and Bolsovian [Shute and Cleal 2002 material]</t>
  </si>
  <si>
    <t>Westphalian A &amp; B [Thomas 1967 material] and Lower Coal Measures (Langsettian) [Hamshaw Thomas 1912 material]</t>
  </si>
  <si>
    <t>overlap between Artinskian and Leonardian [Krings et al 2005 material]  / late early Permian [Yao et al 2000 material]</t>
  </si>
  <si>
    <t>latest Albian to earliest Cenomanian [Pole 2000 material] and lower to middle Albian [Gomez 2002 material]</t>
  </si>
  <si>
    <t>Late Triassic [Bomfleur and Kerp 2010 material]</t>
  </si>
  <si>
    <t>early Hauterivian to early Barremian [Villar de Seoane 2001 material]</t>
  </si>
  <si>
    <t>late Early Eocene to basal Middle Eocene (upper P7 to basal P10) [Carpenter et al 2004 material]</t>
  </si>
  <si>
    <t>middle to late Eocene [Greenwood 1987 material]</t>
  </si>
  <si>
    <t>Oligocene to early Miocene [Hill 1990 material]</t>
  </si>
  <si>
    <t>Maxbauer et al., 2014</t>
  </si>
  <si>
    <t>Li et al., 2014</t>
  </si>
  <si>
    <t>chronostratigraphy and some biostratigraphy</t>
  </si>
  <si>
    <t>cyclostratigraphy and magnetostratigraphy</t>
  </si>
  <si>
    <r>
      <t>STOMATA</t>
    </r>
    <r>
      <rPr>
        <b/>
        <sz val="10"/>
        <color indexed="8"/>
        <rFont val="Arial"/>
        <family val="2"/>
      </rPr>
      <t/>
    </r>
  </si>
  <si>
    <r>
      <t>8. Stomatal ratio method calculated as follows. Lower CO</t>
    </r>
    <r>
      <rPr>
        <vertAlign val="subscript"/>
        <sz val="11"/>
        <rFont val="Arial"/>
        <family val="2"/>
      </rPr>
      <t>2</t>
    </r>
    <r>
      <rPr>
        <sz val="11"/>
        <rFont val="Arial"/>
        <family val="2"/>
      </rPr>
      <t xml:space="preserve"> bound: 1 SR = 1 RCO</t>
    </r>
    <r>
      <rPr>
        <vertAlign val="subscript"/>
        <sz val="11"/>
        <rFont val="Arial"/>
        <family val="2"/>
      </rPr>
      <t>2</t>
    </r>
    <r>
      <rPr>
        <sz val="11"/>
        <rFont val="Arial"/>
        <family val="2"/>
      </rPr>
      <t>; upper CO</t>
    </r>
    <r>
      <rPr>
        <vertAlign val="subscript"/>
        <sz val="11"/>
        <rFont val="Arial"/>
        <family val="2"/>
      </rPr>
      <t>2</t>
    </r>
    <r>
      <rPr>
        <sz val="11"/>
        <rFont val="Arial"/>
        <family val="2"/>
      </rPr>
      <t xml:space="preserve"> bound: 1 SR = 2RCO</t>
    </r>
    <r>
      <rPr>
        <vertAlign val="subscript"/>
        <sz val="11"/>
        <rFont val="Arial"/>
        <family val="2"/>
      </rPr>
      <t>2</t>
    </r>
    <r>
      <rPr>
        <sz val="11"/>
        <rFont val="Arial"/>
        <family val="2"/>
      </rPr>
      <t>, where SR = stomatal ratio and RCO</t>
    </r>
    <r>
      <rPr>
        <vertAlign val="subscript"/>
        <sz val="11"/>
        <rFont val="Arial"/>
        <family val="2"/>
      </rPr>
      <t>2</t>
    </r>
    <r>
      <rPr>
        <sz val="11"/>
        <rFont val="Arial"/>
        <family val="2"/>
      </rPr>
      <t xml:space="preserve"> is the ratio of CO</t>
    </r>
    <r>
      <rPr>
        <vertAlign val="subscript"/>
        <sz val="11"/>
        <rFont val="Arial"/>
        <family val="2"/>
      </rPr>
      <t>2</t>
    </r>
    <r>
      <rPr>
        <sz val="11"/>
        <rFont val="Arial"/>
        <family val="2"/>
      </rPr>
      <t xml:space="preserve"> in the past relative to today (see Beerling &amp; Royer, 2002; for </t>
    </r>
    <r>
      <rPr>
        <i/>
        <sz val="11"/>
        <rFont val="Arial"/>
        <family val="2"/>
      </rPr>
      <t>Ginkgo</t>
    </r>
    <r>
      <rPr>
        <sz val="11"/>
        <rFont val="Arial"/>
        <family val="2"/>
      </rPr>
      <t>, CO</t>
    </r>
    <r>
      <rPr>
        <vertAlign val="subscript"/>
        <sz val="11"/>
        <rFont val="Arial"/>
        <family val="2"/>
      </rPr>
      <t>2</t>
    </r>
    <r>
      <rPr>
        <sz val="11"/>
        <rFont val="Arial"/>
        <family val="2"/>
      </rPr>
      <t xml:space="preserve"> baseline = 300 ppm and SI baseline = 12.1%).</t>
    </r>
  </si>
  <si>
    <t>1. Ekart et al. (1999) compilation: original sources are used when possible; some data from the Permo-Carboniferous are supplanted by data from Tabor et al. (2004) and Montañez et al. (2007).</t>
  </si>
  <si>
    <r>
      <t>5. B/Ca-based CO</t>
    </r>
    <r>
      <rPr>
        <vertAlign val="subscript"/>
        <sz val="11"/>
        <rFont val="Arial"/>
        <family val="2"/>
      </rPr>
      <t>2</t>
    </r>
    <r>
      <rPr>
        <sz val="11"/>
        <rFont val="Arial"/>
        <family val="2"/>
      </rPr>
      <t xml:space="preserve"> estimates (e.g., Tripati et al. 2009) are excluded due to problems with the proxy (see Allen and Hönisch, 2012).</t>
    </r>
  </si>
  <si>
    <r>
      <t>6. All pre-2013 alkenone-based CO</t>
    </r>
    <r>
      <rPr>
        <vertAlign val="subscript"/>
        <sz val="11"/>
        <rFont val="Arial"/>
        <family val="2"/>
      </rPr>
      <t>2</t>
    </r>
    <r>
      <rPr>
        <sz val="11"/>
        <rFont val="Arial"/>
        <family val="2"/>
      </rPr>
      <t xml:space="preserve"> records of Pagani and colleagues are abandoned in favor of the record from Zhang et al. (2013); see Zhang et al. (2013) for discussion.</t>
    </r>
  </si>
  <si>
    <t>References</t>
  </si>
  <si>
    <t>Pliensbachian</t>
  </si>
  <si>
    <t>Sz not given in text; I assume that they used the same value as Mora et al. (1996)</t>
  </si>
  <si>
    <t>Distribution</t>
  </si>
  <si>
    <r>
      <t>CO</t>
    </r>
    <r>
      <rPr>
        <b/>
        <vertAlign val="subscript"/>
        <sz val="10"/>
        <rFont val="Arial"/>
        <family val="2"/>
      </rPr>
      <t>2</t>
    </r>
    <r>
      <rPr>
        <b/>
        <sz val="10"/>
        <rFont val="Arial"/>
        <family val="2"/>
      </rPr>
      <t xml:space="preserve"> range</t>
    </r>
  </si>
  <si>
    <t>Vertisols</t>
  </si>
  <si>
    <t>description sounds like Vertisols</t>
  </si>
  <si>
    <t>Vertisol (Xerert?)</t>
  </si>
  <si>
    <t>Aridisol</t>
  </si>
  <si>
    <t>Vertisol</t>
  </si>
  <si>
    <t>immature Aridisol</t>
  </si>
  <si>
    <t>Inceptisol</t>
  </si>
  <si>
    <t>Ghost Ranch section (Aridisol); Irmis et al (2011) provide a maximum age of 211.9 Ma for the base of the Ghost ranch; the Norian / Rhaetian boundary (209.5 Ma) is the upper age constraint</t>
  </si>
  <si>
    <t>Montoya section (Aridisol)</t>
  </si>
  <si>
    <t>Ghost Ranch section (Aridisol)</t>
  </si>
  <si>
    <t>Retallack, 2009b (updated by Breecker &amp; Retallack, 2014)</t>
  </si>
  <si>
    <t>Mollisol; Ogallala Formation</t>
  </si>
  <si>
    <t>Mollisol; Bridwell Formation</t>
  </si>
  <si>
    <t>Aridisol; Ash Hollow Formation</t>
  </si>
  <si>
    <t>Aridisol; Dawes Clay Member of Box Butte Formation</t>
  </si>
  <si>
    <t>vertic Inceptisol; Hiwegi Formation</t>
  </si>
  <si>
    <t>Alfisol; Wayondo Formation</t>
  </si>
  <si>
    <t>Aridisol; Monroe Creek - Harrison Formation</t>
  </si>
  <si>
    <t>Vertisols; S(z) assumed here to be similar to what is calculated for the Schaller et al. 2012 study</t>
  </si>
  <si>
    <t>right skewed (mode &lt; mean); uncertainty not reported; uncertainty determined here by adopted the generalized, right-skewed errors of +100/-50% from Breeker et al. (2013, p. 3218)</t>
  </si>
  <si>
    <t>sample GX-06A; CO2 value comes from column 15 in Table 2</t>
  </si>
  <si>
    <t>sampleGX-04A; CO2 value comes from column 15 in Table 2</t>
  </si>
  <si>
    <t>sample1109–02A; CO2 value comes from column 15 in Table 2</t>
  </si>
  <si>
    <t>sample1109–01A; CO2 value comes from column 15 in Table 2</t>
  </si>
  <si>
    <t>sample1108–06A; CO2 value comes from column 15 in Table 2</t>
  </si>
  <si>
    <t>sample1108–07A; CO2 value comes from column 15 in Table 2</t>
  </si>
  <si>
    <t>sample1108–05A; CO2 value comes from column 15 in Table 2</t>
  </si>
  <si>
    <t>sample1103–07A; CO2 value comes from column 15 in Table 2</t>
  </si>
  <si>
    <t>sample1103–06A; CO2 value comes from column 15 in Table 2</t>
  </si>
  <si>
    <t>sampleZD-04A; CO2 value comes from column 15 in Table 2</t>
  </si>
  <si>
    <t>sample1103–05A; CO2 value comes from column 15 in Table 2</t>
  </si>
  <si>
    <t>sample1103–04A; CO2 value comes from column 15 in Table 2</t>
  </si>
  <si>
    <t>sample0127–11A; CO2 value comes from column 15 in Table 2</t>
  </si>
  <si>
    <t>sample0127–12A; CO2 value comes from column 15 in Table 2</t>
  </si>
  <si>
    <t>sample1102–03bA; CO2 value comes from column 15 in Table 2</t>
  </si>
  <si>
    <t>sample0127–08A; CO2 value comes from column 15 in Table 2</t>
  </si>
  <si>
    <t>sample0127–07A; CO2 value comes from column 15 in Table 2</t>
  </si>
  <si>
    <t>sampleNX-03; CO2 value comes from column 15 in Table 2</t>
  </si>
  <si>
    <t>sampleYK-K1c-07; CO2 value comes from column 15 in Table 2</t>
  </si>
  <si>
    <t>sample0127–09A; CO2 value comes from column 15 in Table 2</t>
  </si>
  <si>
    <t>sample1109–04A; CO2 value comes from column 15 in Table 2</t>
  </si>
  <si>
    <t>sample0127–06A; CO2 value comes from column 15 in Table 2</t>
  </si>
  <si>
    <t>sample0127–05A; CO2 value comes from column 15 in Table 2</t>
  </si>
  <si>
    <t>sampleLZ2–18A; CO2 value comes from column 15 in Table 2</t>
  </si>
  <si>
    <t>sampleLZ2–12A; CO2 value comes from column 15 in Table 2</t>
  </si>
  <si>
    <t>sampleLZ2–06A; CO2 value comes from column 15 in Table 2</t>
  </si>
  <si>
    <t>sample1108–03A; CO2 value comes from column 15 in Table 2</t>
  </si>
  <si>
    <t>sample1108–01A; CO2 value comes from column 15 in Table 2</t>
  </si>
  <si>
    <t>sample1108–02A; CO2 value comes from column 15 in Table 2</t>
  </si>
  <si>
    <t>sampleTJ-05A; CO2 value comes from column 15 in Table 2</t>
  </si>
  <si>
    <t>sampleZC-27aA; CO2 value comes from column 15 in Table 2</t>
  </si>
  <si>
    <t>sampleZC-27bA; CO2 value comes from column 15 in Table 2</t>
  </si>
  <si>
    <t>sample1104–01A; CO2 value comes from column 15 in Table 2</t>
  </si>
  <si>
    <t>sampleZC-29bA; CO2 value comes from column 15 in Table 2</t>
  </si>
  <si>
    <t>sampleZC-29A; CO2 value comes from column 15 in Table 2</t>
  </si>
  <si>
    <t>sampleZC-32A; CO2 value comes from column 15 in Table 2</t>
  </si>
  <si>
    <t>sampleZC-37A; CO2 value comes from column 15 in Table 2</t>
  </si>
  <si>
    <t>sample0128–03A; CO2 value comes from column 15 in Table 2</t>
  </si>
  <si>
    <t>Cotton &amp; Sheldon, 2012  (updated by Breecker &amp; Retallack, 2014)</t>
  </si>
  <si>
    <t>Inceptisols, Entisols, and Alfisols; S(z) calculated with transfer function from mean annual precipitation (Cotton &amp; Sheldon, 2012); actual values are not reported in text</t>
  </si>
  <si>
    <t>Alfisols and Inceptisols; S(z) is based on transfer function from mean annual precipitation (Cotton &amp; Sheldon, 2012); actual values are not reported in text</t>
  </si>
  <si>
    <t>type</t>
  </si>
  <si>
    <t>mean</t>
  </si>
  <si>
    <t>Aridisol; S(z) calculated with depth-to-Bk-horizon transfer equation of Retallack (2009b), updated here with the transfer function of Breecker and Retallack (2014)</t>
  </si>
  <si>
    <t>Argillic and vertic calcisols; S(z) originally calculated with depth-to-Bk-horizon transfer equation of Retallack (2009b), updated here with the transfer function of Breecker and Retallack (2014)</t>
  </si>
  <si>
    <t>S(z) calculated with depth-to-Bk-horizon transfer equation of Retallack (2009b), updated here with the transfer function of Breecker and Retallack (2014)</t>
  </si>
  <si>
    <t>Vertisols; S(z) originally calculated with depth-to-Bk-horizon transfer equation of Retallack (2009b), updated here with the transfer function of Breecker and Retallack (2014)</t>
  </si>
  <si>
    <t>site 999A</t>
  </si>
  <si>
    <t>site 925C</t>
  </si>
  <si>
    <t>site 925D</t>
  </si>
  <si>
    <t>cyclostratigraphy and isotope stratigraphy</t>
  </si>
  <si>
    <t>best estimate taken here as the mean of the "low" and "high" values, so a gaussian distribution is implied (mean = mode)</t>
  </si>
  <si>
    <t>Tanzania Drilling Project sites 12 &amp; 17</t>
  </si>
  <si>
    <t>right skewed (mode &lt; mean)</t>
  </si>
  <si>
    <t>distribution not reported</t>
  </si>
  <si>
    <t>16 and 84 percentiles; uncertainty based on Monte Carlo simulations</t>
  </si>
  <si>
    <t>+/- 1 standard error; uncertainty determined by Gaussian error propagation by quadrature</t>
  </si>
  <si>
    <t>right-skewed (mode &lt; mean</t>
  </si>
  <si>
    <t>16 and 84 percentiles; uncertainty based on Monte Carlo simulations of Breecker (2013); best estimate (column F) is the median; mean = 310 ppm</t>
  </si>
  <si>
    <t>16 and 84 percentiles; uncertainty based on Monte Carlo simulations of Breecker (2013); best estimate (column F) is the median; mean = 297 ppm</t>
  </si>
  <si>
    <t>16 and 84 percentiles; uncertainty based on Monte Carlo simulations of Breecker (2013); best estimate (column F) is the median; mean = 391 ppm</t>
  </si>
  <si>
    <t>16 and 84 percentiles; uncertainty based on Monte Carlo simulations of Breecker (2013); best estimate (column F) is the median; mean = 523 ppm</t>
  </si>
  <si>
    <t>16 and 84 percentiles; uncertainty based on Monte Carlo simulations of Breecker (2013); best estimate (column F) is the median; mean = 387 ppm</t>
  </si>
  <si>
    <t>16 and 84 percentiles; uncertainty based on Monte Carlo simulations of Breecker (2013); best estimate (column F) is the median; mean = 283 ppm</t>
  </si>
  <si>
    <t>16 and 84 percentiles; uncertainty based on Monte Carlo simulations of Breecker (2013); best estimate (column F) is the median; mean = 370 ppm</t>
  </si>
  <si>
    <t>16 and 84 percentiles; uncertainty based on Monte Carlo simulations of Breecker (2013); best estimate (column F) is the median; mean = 362 ppm</t>
  </si>
  <si>
    <t>16 and 84 percentiles; uncertainty based on Monte Carlo simulations of Breecker (2013); best estimate (column F) is the median; mean = 560 ppm</t>
  </si>
  <si>
    <t>16 and 84 percentiles; uncertainty based on Monte Carlo simulations of Breecker (2013); best estimate (column F) is the median; mean = 286 ppm</t>
  </si>
  <si>
    <t>16 and 84 percentiles; uncertainty based on Monte Carlo simulations of Breecker (2013); best estimate (column F) is the median; mean = 289 ppm</t>
  </si>
  <si>
    <t>appears to be Gaussian---was the uncertainty analysis done correctly?</t>
  </si>
  <si>
    <t>16 and 84 percentiles; uncertainty based on Monte Carlo simulations of Breecker (2013); best estimate appears to be mean (not median)</t>
  </si>
  <si>
    <t>very close to gaussian (mean = mode)</t>
  </si>
  <si>
    <t>slight right skew (mode &lt; mean)</t>
  </si>
  <si>
    <t>16 and 84 percentiles; median and uncertainties recalculated here using the Monte Carlo approach of Beerling et al. (2009)</t>
  </si>
  <si>
    <t>16 and 84 percentiles; uncertainty determined by Monte Carlo approach of Beerling et al. (2009)</t>
  </si>
  <si>
    <t>not clear, but likely to be right skewed (mode &lt; mean)</t>
  </si>
  <si>
    <t>16 and 84 percentiles; reported uncertainties are 2.5 and 97.5 percentiles, determined by the Monte Carlo approach of Beerling et al. (2009); uncertainties adjusted to 16 and 84 percentiles here using the average scaling factors found in the Beerling et al. (2009) output (84 percentile approximates 60% of the offset between 97.5 percentile and median; 16 percentile approximates 70% of the offset between median and 2.5 percentile)</t>
  </si>
  <si>
    <t>right skewed (mode &lt; mean); reported distribution is gaussian</t>
  </si>
  <si>
    <t>16 and 84 percentiles; reported range corresponds to 2.5 and 97.5 percentiles; uncertainties recalculated here explicitly using the Franks et al. (2014) code</t>
  </si>
  <si>
    <t>not clear because the method is semi-quantitative and because the uncertainty range is calculated by ranging the conversion of stomatal ratio to RCO2 from 1:1 to 1:2 (see note #8 in companion worksheet); in the absence of further knowledge, the reported CO2 range is taken as equivalent to +/- one standard error</t>
  </si>
  <si>
    <t>ranging the physiological parameter "b" from 90 to 108; in the absence of further knowledge, uncertainties are intepreted here to represent +/- one standard error</t>
  </si>
  <si>
    <t>"low" value determined from minimum ep and minimum present-day [PO4]- values, "high" value from maximum values, and best estimate from mean values; in the absence of further knowledge, uncertainties are intepreted here to represent +/- one standard error</t>
  </si>
  <si>
    <t>16 and 84 percentiles; reported uncertainties are 2.5 and 97.5 percentiles, as determined through a Monte-Carlo style error propagation of all input factors; because distributions are close to gaussian, the 16 and 84 percentiles are calculated here by halving the differentials to the mean</t>
  </si>
  <si>
    <t>moderate right skew (mode &lt; mean)</t>
  </si>
  <si>
    <t>16 and 84 percentiles; reported uncertainties are 5 and 95 percentiles as determined through a Monte-Carlo style error propagation of all input factors; to calculate 16 and 84 percentiles here, the differentials to the mean are reduced by 39.2%--this conversion is only correct for gaussian distributions, and so the calculated percentiles here are only approximations</t>
  </si>
  <si>
    <t>post-PETM; Wing et al. (2000) places base of PETM at 55.234 Ma (Age Model 2); all ages adjusted by +0.766 m.y.</t>
  </si>
  <si>
    <t>pre-PETM; Wing et al. (2000) places base of PETM at 55.234 Ma (Age Model 2); all ages adjusted by +0.766 m.y.</t>
  </si>
  <si>
    <t>base at Campanian-Maastrichtian boundary; top at Chron 28R; authors place K/T boundary at 65 Ma; all ages adjusted by +1 m.y.</t>
  </si>
  <si>
    <t>not clear: the reported range is based on a plausible range in the input factors; in the absence of further knowledge, the reported CO2 range is taken as equivalent to +/- one standard error</t>
  </si>
  <si>
    <t>not clear: the reported range is based on the overlap in the estimated CO2 ranges from multiple species; in the absence of further knowledge, the reported CO2 range is taken as equivalent to +/- one standard error</t>
  </si>
  <si>
    <t>not clear</t>
  </si>
  <si>
    <t>not clear: the reported range is based on inputting minimum and maximum values of the input parameters; in the absence of further knowledge, the reported CO2 range is taken as equivalent to +/- one standard error</t>
  </si>
  <si>
    <t>estimates are updated using the atmospheric δ13C record of Tipple et al. (2010) and assuming an offset in atmospheric δ13C of -1.5‰ (due to forest floor respiration), as well as an offset in plant δ13C of -3.5‰ (due to diagenesis; Fletcher et al. [2008] assumed a -2.67‰ offset)</t>
  </si>
  <si>
    <t>estimates are updated assuming an offset in atmospheric δ13C of -1.5‰ (due to forest floor respiration) and an offset in plant δ13C of -3.5‰ (due to diagenesis; Fletcher et al. [2008] assumed a -2.67‰ offset)</t>
  </si>
  <si>
    <t>S(z) calculated with depth-to-Bk-horizon transfer equation of Retallack (2009b), updated here with the transfer function of Breecker and Retallack (2014); all dates adjusted by +0.5 Myrs because the authors assume a KPB age of 65.5 Myrs ago</t>
  </si>
  <si>
    <t>magneto-, litho-, and chronostratigraphy; all ages adjusted by +0.5 Myrs because the authors assume a KPB age of 65.5 Myrs ago</t>
  </si>
  <si>
    <t>Steinthorsdottir and Vajda, 2015</t>
  </si>
  <si>
    <t>Schaller et al., 2015</t>
  </si>
  <si>
    <t>Ludvigson et al., 2015</t>
  </si>
  <si>
    <t>chronostratigraphy and carbon isotope stratigraphy</t>
  </si>
  <si>
    <t>Royer et al., 2001b</t>
  </si>
  <si>
    <t>Da et al., 2015</t>
  </si>
  <si>
    <t>loess unit S9 (Lingtai)</t>
  </si>
  <si>
    <t>loess unit S11 (Lingtai)</t>
  </si>
  <si>
    <t>loess unit S12 (Lingtai)</t>
  </si>
  <si>
    <t>loess unit S13 (Lingtai)</t>
  </si>
  <si>
    <t>loess unit S13 (Baoji)</t>
  </si>
  <si>
    <t>loess unit S15 (Lingtai)</t>
  </si>
  <si>
    <t>loess unit S16 (Lingtai)</t>
  </si>
  <si>
    <t>loess unit S16 (Baoji)</t>
  </si>
  <si>
    <t>loess unit S17 (Lingtai)</t>
  </si>
  <si>
    <t>loess unit S18 (Lingtai)</t>
  </si>
  <si>
    <t>loess unit S18 (Baoji)</t>
  </si>
  <si>
    <t>loess unit S19 (Lingtai)</t>
  </si>
  <si>
    <t>loess unit S20 (Lingtai)</t>
  </si>
  <si>
    <t>loess unit S20 (Baoji)</t>
  </si>
  <si>
    <t>loess unit S21 (Baoji)</t>
  </si>
  <si>
    <t>loess unit S22 (Lingtai)</t>
  </si>
  <si>
    <t>loess unit S22 (Baoji)</t>
  </si>
  <si>
    <t>loess unit S23 (Lingtai)</t>
  </si>
  <si>
    <t>loess unit S23 (Baoji)</t>
  </si>
  <si>
    <t>loess unit S24 (Baoji)</t>
  </si>
  <si>
    <t>loess unit S25 (Baoji)</t>
  </si>
  <si>
    <t>loess unit S26 (Lingtai)</t>
  </si>
  <si>
    <t>loess unit S26 (Baoji)</t>
  </si>
  <si>
    <t>loess unit S27 (Lingtai)</t>
  </si>
  <si>
    <t>loess unit S27 (Baoji)</t>
  </si>
  <si>
    <t>loess unit S28 (Baoji)</t>
  </si>
  <si>
    <t>loess unit S29 (Baoji)</t>
  </si>
  <si>
    <t>loess unit S30 (Lingtai)</t>
  </si>
  <si>
    <t>loess unit S31 (Lingtai)</t>
  </si>
  <si>
    <t>loess unit S32 (Lingtai)</t>
  </si>
  <si>
    <t>loess unit S32 (Baoji)</t>
  </si>
  <si>
    <t>16 and 84 percentiles; uncertainty determined originally by varying only S(z); uncertainty calculated here by adopted the generalized, right-skewed errors of +100/-50% taken from the conservative, fully-propagated estimates of Breecker et al. (2013, p. 3218)</t>
  </si>
  <si>
    <t>16 and 84 percentiles; uncertainty not reported; uncertainty determined here by adopted the generalized, right-skewed errors of +100/-50% from Breecker et al. (2013, p. 3218)</t>
  </si>
  <si>
    <t>16 and 84 percentiles; uncertainty determined originally by varying only S(z); uncertainty determined here by adopted the generalized, right-skewed errors of +100/-50% from Breecker et al. (2013, p. 3218)</t>
  </si>
  <si>
    <t>16 and 84 percentiles; uncertainty determined originally by varying S(z) from 1500 to 3000 ppm; uncertainty calculated here by adopted the generalized, right-skewed errors of +100/-50% taken from the conservative, fully-propagated estimates of Breecker et al. (2013, p. 3218)</t>
  </si>
  <si>
    <t>16 and 84 percentiles; uncertainty determined by varying S(z) from 798 to 2103 ppm</t>
  </si>
  <si>
    <t>magnetostratigraphy and magnetic susceptibility</t>
  </si>
  <si>
    <t>Middle Miocene</t>
  </si>
  <si>
    <t>magnetostratigraphy and calcareous nanoplankton stratigraphy</t>
  </si>
  <si>
    <t>biostratigraphy (late Aptian - early Albian); also, radiometric constraint from same formation of 115 +/- 4.5 Ma</t>
  </si>
  <si>
    <t>Mays et al, 2015</t>
  </si>
  <si>
    <t>Cenomanian</t>
  </si>
  <si>
    <t>Aridisols</t>
  </si>
  <si>
    <t>Vertisols and Inceptisols</t>
  </si>
  <si>
    <r>
      <t>Average D</t>
    </r>
    <r>
      <rPr>
        <vertAlign val="superscript"/>
        <sz val="10"/>
        <rFont val="Arial"/>
        <family val="2"/>
      </rPr>
      <t>13</t>
    </r>
    <r>
      <rPr>
        <sz val="10"/>
        <rFont val="Arial"/>
        <family val="2"/>
      </rPr>
      <t>C value (22.5‰) is higher than the threshold proposed by Montañez (2013) for soils suitable for CO</t>
    </r>
    <r>
      <rPr>
        <vertAlign val="subscript"/>
        <sz val="10"/>
        <rFont val="Arial"/>
        <family val="2"/>
      </rPr>
      <t>2</t>
    </r>
    <r>
      <rPr>
        <sz val="10"/>
        <rFont val="Arial"/>
        <family val="2"/>
      </rPr>
      <t xml:space="preserve"> analysis (16‰); thus these soils may have been water saturated (other sedimentological evidence suggests the same)</t>
    </r>
  </si>
  <si>
    <t>Nordt et al., 2015 (expands and refines Atchley et al., 2013)</t>
  </si>
  <si>
    <t>Whiteside et al., 2015</t>
  </si>
  <si>
    <t>16 and 84 percentiles; uncertainty determined originally by varying S(z) from 2000 to 4000 ppm; uncertainty calculated here by adopted the generalized, right-skewed errors of +100/-50% taken from the conservative, fully-propagated estimates of Breecker et al. (2013, p. 3218)</t>
  </si>
  <si>
    <t>magnetostratigraphy constrains age to late Norian to Rhaetian (209-201.3 Ma); chronostratigraphy constrains age to younger than 211.9 Ma</t>
  </si>
  <si>
    <t>S(z) originally calculated with depth-to-Bk-horizon transfer equation of Retallack (2009b), updated here with the transfer function of Breecker and Retallack (2014)</t>
  </si>
  <si>
    <t>Naafs et al., 2016</t>
  </si>
  <si>
    <t>OAE 1a isotope stage C3; chronology of OAE1a from the astronomically-tuned record of Bottini et al., 2015</t>
  </si>
  <si>
    <t>OAE 1a isotope stage C2; chronology of OAE1a from the astronomically-tuned record of Malinverno et al., 2010</t>
  </si>
  <si>
    <t>OAE 1a isotope stage C4; chronology of OAE1a from the astronomically-tuned record of Malinverno et al., 2010</t>
  </si>
  <si>
    <t>OAE 1a isotope stage C5; chronology of OAE1a from the astronomically-tuned record of Malinverno et al., 2010</t>
  </si>
  <si>
    <t>OAE 1a isotope stage C6; chronology of OAE1a from the astronomically-tuned record of Malinverno et al., 2010</t>
  </si>
  <si>
    <t>OAE 1a isotope stage C7; chronology of OAE1a from the astronomically-tuned record of Malinverno et al., 2010</t>
  </si>
  <si>
    <t>alkenones were not measured; instead, a combination of four phytoplankton biomarkers were measured; from Cau site</t>
  </si>
  <si>
    <t>alkenones were not measured; instead, a combination of four phytoplankton biomarkers were measured; from Djebel site</t>
  </si>
  <si>
    <r>
      <t xml:space="preserve">uncertainties correspond to the likely ranges in </t>
    </r>
    <r>
      <rPr>
        <i/>
        <sz val="10"/>
        <rFont val="Arial"/>
        <family val="2"/>
      </rPr>
      <t>b</t>
    </r>
    <r>
      <rPr>
        <sz val="10"/>
        <rFont val="Arial"/>
        <family val="2"/>
      </rPr>
      <t xml:space="preserve"> (150-200) and </t>
    </r>
    <r>
      <rPr>
        <sz val="10"/>
        <rFont val="Symbol"/>
        <family val="1"/>
        <charset val="2"/>
      </rPr>
      <t>d</t>
    </r>
    <r>
      <rPr>
        <vertAlign val="superscript"/>
        <sz val="10"/>
        <rFont val="Arial"/>
        <family val="2"/>
      </rPr>
      <t>13</t>
    </r>
    <r>
      <rPr>
        <sz val="10"/>
        <rFont val="Arial"/>
        <family val="2"/>
      </rPr>
      <t>C</t>
    </r>
    <r>
      <rPr>
        <vertAlign val="subscript"/>
        <sz val="10"/>
        <rFont val="Arial"/>
        <family val="2"/>
      </rPr>
      <t>DIC</t>
    </r>
    <r>
      <rPr>
        <sz val="10"/>
        <rFont val="Arial"/>
        <family val="2"/>
      </rPr>
      <t xml:space="preserve"> along with the 1</t>
    </r>
    <r>
      <rPr>
        <sz val="10"/>
        <rFont val="Symbol"/>
        <family val="1"/>
        <charset val="2"/>
      </rPr>
      <t>s</t>
    </r>
    <r>
      <rPr>
        <sz val="10"/>
        <rFont val="Arial"/>
        <family val="2"/>
      </rPr>
      <t xml:space="preserve"> spread in the various </t>
    </r>
    <r>
      <rPr>
        <sz val="10"/>
        <rFont val="Symbol"/>
        <family val="1"/>
        <charset val="2"/>
      </rPr>
      <t>d</t>
    </r>
    <r>
      <rPr>
        <vertAlign val="superscript"/>
        <sz val="10"/>
        <rFont val="Arial"/>
        <family val="2"/>
      </rPr>
      <t>13</t>
    </r>
    <r>
      <rPr>
        <sz val="10"/>
        <rFont val="Arial"/>
        <family val="2"/>
      </rPr>
      <t>C biomarkers; in the absence of further knowledge, uncertainties are intepreted here to represent +/- one standard error</t>
    </r>
  </si>
  <si>
    <r>
      <t>PALEOSOLS (</t>
    </r>
    <r>
      <rPr>
        <b/>
        <sz val="10"/>
        <color theme="0"/>
        <rFont val="Symbol"/>
        <family val="1"/>
        <charset val="2"/>
      </rPr>
      <t>d</t>
    </r>
    <r>
      <rPr>
        <b/>
        <vertAlign val="superscript"/>
        <sz val="10"/>
        <color theme="0"/>
        <rFont val="Arial"/>
        <family val="2"/>
      </rPr>
      <t>13</t>
    </r>
    <r>
      <rPr>
        <b/>
        <sz val="10"/>
        <color theme="0"/>
        <rFont val="Arial"/>
        <family val="2"/>
      </rPr>
      <t>C)</t>
    </r>
    <r>
      <rPr>
        <sz val="10"/>
        <rFont val="Arial"/>
        <family val="2"/>
      </rPr>
      <t/>
    </r>
  </si>
  <si>
    <r>
      <t>MARINE BORON (</t>
    </r>
    <r>
      <rPr>
        <b/>
        <sz val="10"/>
        <color theme="0"/>
        <rFont val="Symbol"/>
        <family val="1"/>
        <charset val="2"/>
      </rPr>
      <t>d</t>
    </r>
    <r>
      <rPr>
        <b/>
        <vertAlign val="superscript"/>
        <sz val="10"/>
        <color theme="0"/>
        <rFont val="Arial"/>
        <family val="2"/>
      </rPr>
      <t>11</t>
    </r>
    <r>
      <rPr>
        <b/>
        <sz val="10"/>
        <color theme="0"/>
        <rFont val="Arial"/>
        <family val="2"/>
      </rPr>
      <t>B)</t>
    </r>
  </si>
  <si>
    <r>
      <t>LIVERWORTS (</t>
    </r>
    <r>
      <rPr>
        <b/>
        <sz val="10"/>
        <color theme="0"/>
        <rFont val="Symbol"/>
        <family val="1"/>
        <charset val="2"/>
      </rPr>
      <t>d</t>
    </r>
    <r>
      <rPr>
        <b/>
        <vertAlign val="superscript"/>
        <sz val="10"/>
        <color theme="0"/>
        <rFont val="Arial"/>
        <family val="2"/>
      </rPr>
      <t>13</t>
    </r>
    <r>
      <rPr>
        <b/>
        <sz val="10"/>
        <color theme="0"/>
        <rFont val="Arial"/>
        <family val="2"/>
      </rPr>
      <t>C)</t>
    </r>
  </si>
  <si>
    <t>16 and 84 percentiles; reported range corresponds to +/- one standard error of the regression function, and so likely underestimates true uncertainty (uncertainty in the fossil measurements are not taken into account, for example); uncertainties calculated here as +65%/-30% of the best-estimate, a conservative envelope taken from the fully propagated error analysis of Beerling et al. (2009)</t>
  </si>
  <si>
    <t>only a minimum value is reported; upper bound is unbounded</t>
  </si>
  <si>
    <t>16 and 84 percentiles, with upper bound being unbounded; uncertainty determined by Monte Carlo approach of Beerling et al. (2009)</t>
  </si>
  <si>
    <t>Stap et al., 2016</t>
  </si>
  <si>
    <t>ODP 1264</t>
  </si>
  <si>
    <t>16 and 84 percentiles; reported uncertainties represent +/- 1 standard deviation of d11B measurements; the authors state that propagating the additional uncertainties associated with salinity, SST, and carbonate ion concentration add +/- 70 ppm of uncertainty to the CO2 estimates; this additional uncertainty has been added here following quadrature</t>
  </si>
  <si>
    <t>Kohn et al., 2015</t>
  </si>
  <si>
    <t>chronostratigraphy and magnetostrigraphy</t>
  </si>
  <si>
    <t>S(z) calculated with transfer function from mean annual precipitation (Cotton &amp; Sheldon, 2012), as reported in paper</t>
  </si>
  <si>
    <t>16 and 84 percentiles; uncertainty determined by propagating uncertainty via quadrature in S(z) (from 1500-3500 ppm), temperature, d13C of soil organic matter, and analytical error.</t>
  </si>
  <si>
    <t>Gaussian</t>
  </si>
  <si>
    <t>Srivastava et al., 2013</t>
  </si>
  <si>
    <t>biostratigraphy and lithostratigraphy; Spore Pollen zone II (age conversion is approximate)</t>
  </si>
  <si>
    <t>biostratigraphy and lithostratigraphy; Spore Pollen zone 20G (age conversion is approximate)</t>
  </si>
  <si>
    <t>biostratigraphy and lithostratigraphy; Spore Pollen zone 20 A/B (age conversion is approximate)</t>
  </si>
  <si>
    <t>biostratigraphy and lithostratigraphy; Spore Pollen zone 19 (age conversion is approximate)</t>
  </si>
  <si>
    <t>biostratigraphy and lithostratigraphy; Spore Pollen zone 18o (age conversion is approximate)</t>
  </si>
  <si>
    <t>Wu et al., 2016</t>
  </si>
  <si>
    <t>biostratigraphy; Rhaetian</t>
  </si>
  <si>
    <t>biostratigraphy; Aalenian to Bajocian</t>
  </si>
  <si>
    <t>gaussian</t>
  </si>
  <si>
    <t>Tanzania Drilling Project</t>
  </si>
  <si>
    <t>Steinthorsdottir et al., 2016b</t>
  </si>
  <si>
    <t>Steinthorsdottir et al., 2016a</t>
  </si>
  <si>
    <t>biostratigraphy</t>
  </si>
  <si>
    <t>not clear because the method is semi-quantitative; here I range CO2 from the reported lower bound to an upper bound equivalent to a conversion between stomatal ratio and RCO2 of 1:2 (see note #8 in companion worksheet); in the absence of further knowledge, the reported CO2 range is taken as equivalent to +/- one standard error</t>
  </si>
  <si>
    <t>biostratigraphy: Oligocene</t>
  </si>
  <si>
    <t>not clear: there are two factors going on. First, for each species the reported range is based on inputting minimum and maximum values of the input parameters. Second, the estimate here is the mean of three species (their Table 8). In the absence of further knowledge, the reported CO2 range is taken as equivalent to +/- one standard error</t>
  </si>
  <si>
    <t>Montañez et al., 2016</t>
  </si>
  <si>
    <r>
      <t xml:space="preserve">Montañez et al., 2007 (updated by </t>
    </r>
    <r>
      <rPr>
        <b/>
        <sz val="10"/>
        <color indexed="12"/>
        <rFont val="Arial"/>
        <family val="2"/>
      </rPr>
      <t>Montañez et al., 2016)</t>
    </r>
  </si>
  <si>
    <t>16 and 84 percentiles</t>
  </si>
  <si>
    <t>16 and 84 percentiles; 2 and 95 percentiles are reported--they have been cut in half here</t>
  </si>
  <si>
    <t>sandy calcisol; S(z) based on Montanez (2013)</t>
  </si>
  <si>
    <t>calcisol; S(z) based on Montanez (2013)</t>
  </si>
  <si>
    <t>silty calcisol; S(z) based on Montanez (2013)</t>
  </si>
  <si>
    <t>muddy calcisol; S(z) based on Montanez (2013)</t>
  </si>
  <si>
    <t>calcic Vertisols; S(z) based on Montanez (2013)</t>
  </si>
  <si>
    <t>Alfisols; S(z) based on Montanez (2013)</t>
  </si>
  <si>
    <t>Vertisols, Histosols; S(z) based on Montanez (2013)</t>
  </si>
  <si>
    <t>sandy calcisols; S(z) based on Montanez (2013)</t>
  </si>
  <si>
    <t>calcic Vertisols, Aridisols, Alfisols; S(z) based on Montanez (2013)</t>
  </si>
  <si>
    <t>Aridisols; S(z) based on Montanez (2013)</t>
  </si>
  <si>
    <t>calcic Vertisols, Aridisols; S(z) based on Montanez (2013)</t>
  </si>
  <si>
    <t>calcic Alfisols, Aridisols; S(z) based on Montanez (2013)</t>
  </si>
  <si>
    <t>muddy calcisols; S(z) based on Montanez (2013)</t>
  </si>
  <si>
    <t>Argillisol; S(z) based on Montanez (2013)</t>
  </si>
  <si>
    <t>Calcisol; S(z) based on Montanez (2013)</t>
  </si>
  <si>
    <t>Vertisol; S(z) based on Montanez (2013)</t>
  </si>
  <si>
    <t>gleyed calcic Vertisol; S(z) based on Montanez (2013)</t>
  </si>
  <si>
    <t>gleyed Calcisol; S(z) based on Montanez (2013)</t>
  </si>
  <si>
    <t>gleyed vertic Calcisol; S(z) based on Montanez (2013)</t>
  </si>
  <si>
    <t>gleyed Vertisol; S(z) based on Montanez (2013)</t>
  </si>
  <si>
    <t>radiometric age</t>
  </si>
  <si>
    <t>Sun et al., 2017</t>
  </si>
  <si>
    <t>based on age model developed by authors; uncertainty is equal to the offset between the "O7" and "O6" transgressions (+/- 0.3 Myrs): see p. 3 of their Supplement</t>
  </si>
  <si>
    <t>based on age model developed by authors; uncertainty is equal to the offset between the "O7" and "O6" transgressions (+/- 0.3 Myrs): see p. 3 of Montanez 2016 Supplement</t>
  </si>
  <si>
    <t>Puercan (Wing et al., 1995); 4 m above KPB (~0.5 Myrs; Wing et al., 1995); LJH 7659</t>
  </si>
  <si>
    <t>not clear because the method is semi-quantitative; here I range CO2 from the reported lower bound to an upper bound equivalent to a conversion between stomatal ratio and RCO2 of 1:2 (see note #8 in companion worksheet); in the absence of further knowledge, the reported CO2 range is taken as equivalent to +/- one standard error; 2 and 95 percentiles are reported in the original paper; to estimate the 16th percentile (=lower bound), the magnitude of this uncertainty has been cut in half</t>
  </si>
  <si>
    <t>biostratigraphy: late Hauterivian</t>
  </si>
  <si>
    <t>Tesfamichael et al., 2017</t>
  </si>
  <si>
    <t>+/- 1 standard deviation</t>
  </si>
  <si>
    <t>Royer, 2003</t>
  </si>
  <si>
    <t>Zhang et al., 2018</t>
  </si>
  <si>
    <t>gaussian; authors used a Guassian error propagation, which is not ideal (Breecker et al., 2013)</t>
  </si>
  <si>
    <t>sample SK-01; S(z) based on Breecker and Retallack (2014)</t>
  </si>
  <si>
    <t>sample SK-03; S(z) based on Breecker and Retallack (2014)</t>
  </si>
  <si>
    <t>sample SK-06; S(z) based on Breecker and Retallack (2014)</t>
  </si>
  <si>
    <t>sample SK-07; S(z) based on Breecker and Retallack (2014)</t>
  </si>
  <si>
    <t>sample SK-08; S(z) based on Breecker and Retallack (2014)</t>
  </si>
  <si>
    <t>sample SK-09; S(z) based on Breecker and Retallack (2014)</t>
  </si>
  <si>
    <t>sample SK-10; S(z) based on Breecker and Retallack (2014)</t>
  </si>
  <si>
    <t>sample SK-11; S(z) based on Breecker and Retallack (2014)</t>
  </si>
  <si>
    <t>sample SK-12; S(z) based on Breecker and Retallack (2014)</t>
  </si>
  <si>
    <t>sample SK-13; S(z) based on Breecker and Retallack (2014)</t>
  </si>
  <si>
    <t>sample SK-16; S(z) based on Breecker and Retallack (2014)</t>
  </si>
  <si>
    <t>sample SK-32; S(z) based on Breecker and Retallack (2014)</t>
  </si>
  <si>
    <t>sample SK-34; S(z) based on Breecker and Retallack (2014)</t>
  </si>
  <si>
    <t>sample SK-35; S(z) based on Breecker and Retallack (2014)</t>
  </si>
  <si>
    <t>sample SK-17; S(z) based on Breecker and Retallack (2014)</t>
  </si>
  <si>
    <t>sample SK-56; S(z) based on Breecker and Retallack (2014)</t>
  </si>
  <si>
    <t>sample SK-24; S(z) based on Breecker and Retallack (2014)</t>
  </si>
  <si>
    <t>sample SK-25; S(z) based on Breecker and Retallack (2014)</t>
  </si>
  <si>
    <t>sample SK-42; S(z) based on Breecker and Retallack (2014)</t>
  </si>
  <si>
    <t>sample SK-43; S(z) based on Breecker and Retallack (2014)</t>
  </si>
  <si>
    <t>sample SK-45; S(z) based on Breecker and Retallack (2014)</t>
  </si>
  <si>
    <t>sample SK-46; S(z) based on Breecker and Retallack (2014)</t>
  </si>
  <si>
    <t>sample SK-20; S(z) based on Breecker and Retallack (2014)</t>
  </si>
  <si>
    <t>sample SK-21; S(z) based on Breecker and Retallack (2014)</t>
  </si>
  <si>
    <t>sample SK-22; S(z) based on Breecker and Retallack (2014)</t>
  </si>
  <si>
    <t>sample SK-26; S(z) based on Breecker and Retallack (2014)</t>
  </si>
  <si>
    <t>sample SK-27; S(z) based on Breecker and Retallack (2014)</t>
  </si>
  <si>
    <t>sample SK-51; S(z) based on Breecker and Retallack (2014)</t>
  </si>
  <si>
    <t>sample SK-52; S(z) based on Breecker and Retallack (2014)</t>
  </si>
  <si>
    <t>sample SK-53; S(z) based on Breecker and Retallack (2014)</t>
  </si>
  <si>
    <t>sample SK-54; S(z) based on Breecker and Retallack (2014)</t>
  </si>
  <si>
    <t>sample SK-55; S(z) based on Breecker and Retallack (2014)</t>
  </si>
  <si>
    <t>sample SK-28; S(z) based on Breecker and Retallack (2014)</t>
  </si>
  <si>
    <t>sample SK-29; S(z) based on Breecker and Retallack (2014)</t>
  </si>
  <si>
    <t>sample Sknew-1; S(z) based on Breecker and Retallack (2014)</t>
  </si>
  <si>
    <t>sample Sknew-5; S(z) based on Breecker and Retallack (2014)</t>
  </si>
  <si>
    <t>sample Sknew-6-1; S(z) based on Breecker and Retallack (2014)</t>
  </si>
  <si>
    <t>sample Sknew-6-2; S(z) based on Breecker and Retallack (2014)</t>
  </si>
  <si>
    <t>sample Sknew-7; S(z) based on Breecker and Retallack (2014)</t>
  </si>
  <si>
    <t>sample Sknew-8; S(z) based on Breecker and Retallack (2014)</t>
  </si>
  <si>
    <t>sample Sknew-9; S(z) based on Breecker and Retallack (2014)</t>
  </si>
  <si>
    <t>sample Sknew-12; S(z) based on Breecker and Retallack (2014)</t>
  </si>
  <si>
    <t>sample Sknew-13; S(z) based on Breecker and Retallack (2014)</t>
  </si>
  <si>
    <t>sample Sknew-14; S(z) based on Breecker and Retallack (2014)</t>
  </si>
  <si>
    <t>sample Sknew-15; S(z) based on Breecker and Retallack (2014)</t>
  </si>
  <si>
    <t>sample Sknew-16; S(z) based on Breecker and Retallack (2014)</t>
  </si>
  <si>
    <t>sample Sknew-18; S(z) based on Breecker and Retallack (2014)</t>
  </si>
  <si>
    <t>sample Sknew-20; S(z) based on Breecker and Retallack (2014)</t>
  </si>
  <si>
    <t>sample Sknew-21; S(z) based on Breecker and Retallack (2014)</t>
  </si>
  <si>
    <t>sample Sknew-22; S(z) based on Breecker and Retallack (2014)</t>
  </si>
  <si>
    <t>based on biostratigraphy, magnetostratigraphy, cyclostratigraphy, and radiometric ages</t>
  </si>
  <si>
    <t>combination of stomatal ratio and three stomatal index calibrations</t>
  </si>
  <si>
    <t>not clear--uncertianty is based on some combination of the four individual estimates of CO2</t>
  </si>
  <si>
    <t>biostratigraphy; Nothofagidites 'brassii type' Zone and 'Myrtaceae-Arecaceae' Zone</t>
  </si>
  <si>
    <t>biostratigraphy; R. waimumuensis Zone (in the Waitakian New Zealand Stage)</t>
  </si>
  <si>
    <t>Richey et al., 2018</t>
  </si>
  <si>
    <t>range of median values for four runs using different inputs for A0 and d13Catm; the "mean" is taken here as the mean of the four runs</t>
  </si>
  <si>
    <t>biostratigraphy ties section to the Upper Albian; carbon isotope stratigraphy ties section to OAE1d, which has been independently dated to 100.7; ages of individual sites have been guestimated from their Figures 3 and 4</t>
  </si>
  <si>
    <t>Martinez et al., 2018</t>
  </si>
  <si>
    <t>biostratigraphy (Maastrichtian)</t>
  </si>
  <si>
    <t>mean of two medians that use different d13Catm inputs</t>
  </si>
  <si>
    <t>16th percentile of the lower estimate; and 84 percentile of the higher estimate</t>
  </si>
  <si>
    <t>fossils come from the post-K-Pg fern spike (10^2-10^3 years after the bolide impact)</t>
  </si>
  <si>
    <t>Super et al., 2018</t>
  </si>
  <si>
    <t>biostratigraphy and magnetostratigraphy</t>
  </si>
  <si>
    <t>site 608</t>
  </si>
  <si>
    <t>Breecker &amp; Retallack, 2014 (updated by Ji et al [2018])</t>
  </si>
  <si>
    <t>Ji et al., 2018</t>
  </si>
  <si>
    <t>16 and 84 percentiles; uncertainty based on Monte Carlo simulations of Breecker (2013)</t>
  </si>
  <si>
    <t>based on biostratigraphy (Vallesian-Turolian), magnetostratigraphy, and--within the sedimentary sequence--linear interpolation assuming constant sedimentation rates</t>
  </si>
  <si>
    <t>Aridisol/Mollisol; S(z) based on Montanez (2013)</t>
  </si>
  <si>
    <t>biostratigraphy (late Changhsingian; tied to conodont zone Clarkia changxingensis and C. yini)</t>
  </si>
  <si>
    <t>Sun et al., 2018</t>
  </si>
  <si>
    <t>biostratigraphy (Middle Jurassic)</t>
  </si>
  <si>
    <t>Kowalczyk et al., 2018</t>
  </si>
  <si>
    <t>Franks gas exchange</t>
  </si>
  <si>
    <t>Konrad gas exchange</t>
  </si>
  <si>
    <t>U/Pb geochronology of detrital zircon grains</t>
  </si>
  <si>
    <t>16 and 84 percentiles of the resampled estimates from the five tested species</t>
  </si>
  <si>
    <t>median of the resampled estimates from the five tested species; please note that the distribution is bimodal</t>
  </si>
  <si>
    <t>Londoño et al., 2018</t>
  </si>
  <si>
    <t>stomatal density</t>
  </si>
  <si>
    <t>Li et al., 2019</t>
  </si>
  <si>
    <t>late Early Eocene; age determined in another publication: "Here we treat Hotham Heights and Brandy Creek as being no younger than that portion of the P. asperopolus Zone that falls within the early Eocene (Fig. 2), giving greater weight to the early Eocene indicators (i.e. low counts of Nothofagidites; Partridge, 1998b). On available evidence these floras most likely fall within the CGCO (spanning Chrons C23r to C22r)."Greenwood, D.R., Moss, P.T., Rowett, A.I., Vadala, A.J., Keefe, R.L., 2003. Plant communities and climate change in south eastern Australia during the Early Paleogene. In:Wing, S.L., Gingerich, P., Schmitz, B., Thomas, E. (Eds.), Causes and Consequences of Globally Warm Climates in the Early Paleogene. Geol. Soc. Am. Spec. Pap. 369."</t>
  </si>
  <si>
    <t>Praetiglian to Tiglian</t>
  </si>
  <si>
    <t>Linne B (Tortonian Stage)</t>
  </si>
  <si>
    <t>Linne C (Tortonian Stage)</t>
  </si>
  <si>
    <t>Susterian (Messinian)</t>
  </si>
  <si>
    <t>Early Brunssummian (Zanclean Stage)</t>
  </si>
  <si>
    <t>Middle Brunssummian (Zanclean Stage)</t>
  </si>
  <si>
    <t>Late Brunssummian (Zanclean Stage)</t>
  </si>
  <si>
    <t>Early Reuverian (lower Piacenzian Stage)</t>
  </si>
  <si>
    <t>Late Reuverian (lower Piacenzian Stage)</t>
  </si>
  <si>
    <t>Moraweck et al., 2019</t>
  </si>
  <si>
    <t>Greenop et al., 2019</t>
  </si>
  <si>
    <t>right skewed</t>
  </si>
  <si>
    <t>Site 872C; core depth (mcd) = 110</t>
  </si>
  <si>
    <t>Site 872C; core depth (mcd) = 112.64</t>
  </si>
  <si>
    <t>Site 872C; core depth (mcd) = 115.7</t>
  </si>
  <si>
    <t>Site 926B; core depth (mcd) = 469.585</t>
  </si>
  <si>
    <t>Site 926B; core depth (mcd) = 473.88</t>
  </si>
  <si>
    <t>Site 926B; core depth (mcd) = 481.945</t>
  </si>
  <si>
    <t>Site 926B; core depth (mcd) = 483.98</t>
  </si>
  <si>
    <t>Site 926B; core depth (mcd) = 484.25</t>
  </si>
  <si>
    <t>Site 926B; core depth (mcd) = 485.78</t>
  </si>
  <si>
    <t>Site 926B; core depth (mcd) = 486.21</t>
  </si>
  <si>
    <t>Site 926B; core depth (mcd) = 488.14</t>
  </si>
  <si>
    <t>Site 926B; core depth (mcd) = 488.42</t>
  </si>
  <si>
    <t>Site 926B; core depth (mcd) = 488.98</t>
  </si>
  <si>
    <t>Site 926B; core depth (mcd) = 489.775</t>
  </si>
  <si>
    <t>Site 926B; core depth (mcd) = 489.99</t>
  </si>
  <si>
    <t>Site 926B; core depth (mcd) = 491.86</t>
  </si>
  <si>
    <t>Site 926B; core depth (mcd) = 491.91</t>
  </si>
  <si>
    <t>Site 926B; core depth (mcd) = 492.15</t>
  </si>
  <si>
    <t>Site 926B; core depth (mcd) = 493</t>
  </si>
  <si>
    <t>Site 926B; core depth (mcd) = 494.01</t>
  </si>
  <si>
    <t>Site 926B; core depth (mcd) = 494.38</t>
  </si>
  <si>
    <t>Site 926B; core depth (mcd) = 495.85</t>
  </si>
  <si>
    <t>Site 926B; core depth (mcd) = 496.96</t>
  </si>
  <si>
    <t>Site 926B; core depth (mcd) = 496.59</t>
  </si>
  <si>
    <t>Site 926B; core depth (mcd) = 498.81</t>
  </si>
  <si>
    <t>Site 926B; core depth (mcd) = 498.42</t>
  </si>
  <si>
    <t>Site 926B; core depth (mcd) = 499.27</t>
  </si>
  <si>
    <t>Site 926B; core depth (mcd) = 500.93</t>
  </si>
  <si>
    <t>Site 926B; core depth (mcd) = 503.4</t>
  </si>
  <si>
    <t>Site 926B; core depth (mcd) = 503.81</t>
  </si>
  <si>
    <t>Site 926B; core depth (mcd) = 505.025</t>
  </si>
  <si>
    <t>Site 926B; core depth (mcd) = 505.95</t>
  </si>
  <si>
    <t>Site 926B; core depth (mcd) = 509.51</t>
  </si>
  <si>
    <t>Site 926B; core depth (mcd) = 509.61</t>
  </si>
  <si>
    <t>Site 926B; core depth (mcd) = 512.385</t>
  </si>
  <si>
    <t>Site 926B; core depth (mcd) = 514.21</t>
  </si>
  <si>
    <t>Site 926B; core depth (mcd) = 515.76</t>
  </si>
  <si>
    <t>Site 926B; core depth (mcd) = 516.21</t>
  </si>
  <si>
    <t>Site 926B; core depth (mcd) = 517.03</t>
  </si>
  <si>
    <t>Site 926B; core depth (mcd) = 518.82</t>
  </si>
  <si>
    <t>Site 926B; core depth (mcd) = 520.11</t>
  </si>
  <si>
    <t>Site 926B; core depth (mcd) = 521.905</t>
  </si>
  <si>
    <t>Hu et al., 2019</t>
  </si>
  <si>
    <t>chronostratigraphy (volcanic ash zircon dating)</t>
  </si>
  <si>
    <t>2500 to 4000</t>
  </si>
  <si>
    <t>range based on assuming an S(z) of 2500 ppm and soil temperature of 25 oC (for low end) and 4000 ppm and 30 oC (for high end)</t>
  </si>
  <si>
    <t>N/A</t>
  </si>
  <si>
    <t>Ss-09</t>
  </si>
  <si>
    <t>Ss-10</t>
  </si>
  <si>
    <t>Ss-11</t>
  </si>
  <si>
    <t>Ss-13</t>
  </si>
  <si>
    <t>late Bartonian (spore-pollen Paleogene [SPP] zone 17/18); site: Profen-Schwerzau ZC; species: Rhodomyrtophyllum reticulosum</t>
  </si>
  <si>
    <t>late Baronian; spore-pollen Paleogene (SPP) zone 17/18; site: Kayna-Süd; species: Rhodomyrtophyllum reticulosum</t>
  </si>
  <si>
    <t>latest Baronian to early Priaboian (SPP zone 17/18 to base of 18); site: Profen-Süd LC: species: Rhodomyrtophyllum reticulosum</t>
  </si>
  <si>
    <t>SPP zone 18 m; site: Haselbach 2 – 3 mi; species: Rhodomyrtophyllum reticulosum</t>
  </si>
  <si>
    <t>SPP zone 18ou; site: Peres 3u; species: Rhodomyrtophyllum reticulosum</t>
  </si>
  <si>
    <t>SPP zone 18ou; site: Schleenhain 3u; species: Rhodomyrtophyllum reticulosum</t>
  </si>
  <si>
    <t>SPP zone 18; site: Knau; species: Rhodomyrtophyllum reticulosum</t>
  </si>
  <si>
    <t>basalmost Oligocene based on paynology; site: Schleenhain HC; species: Platanus neptuni</t>
  </si>
  <si>
    <t>regional zones MP 22-23 based on fish fauna; site: Rauenberg; species: Platanus neptuni</t>
  </si>
  <si>
    <t>nannoplankton zone NP 23; site: Flörsheim; species: Platanus neptuni</t>
  </si>
  <si>
    <t>radiometric age (K-Ar); site: Seifhennersdorf; species: Platanus neptuni</t>
  </si>
  <si>
    <t>SPP zone 20I (early Neochattian); site: Borna-Ost-Bockwitz TC; species: Platanus neptuni</t>
  </si>
  <si>
    <t>SPP zone 20I (early Neochattian); site: Witznitz TC; species: Platanus neptuni</t>
  </si>
  <si>
    <t>Spore-Pollen-Neogene (SPN) zone I/II (upper Neochattian); site: Witznitz WC; species: Platanus neptuni</t>
  </si>
  <si>
    <t>Milligan et al., 2019 (replaces estimate from Beerling et al., 2002)</t>
  </si>
  <si>
    <t>16 and 84 percentiles; reported uncertainty is 2.5 and 97.5 percentile range; because distributions are close to gaussian, the 16 and 84 percentiles are calculated here by halving the differentials to the mean</t>
  </si>
  <si>
    <t>Method</t>
  </si>
  <si>
    <t>fossil species not the same as the calibrated species</t>
  </si>
  <si>
    <t>mean of two species; fossil species not the same as the calibrated species</t>
  </si>
  <si>
    <t>original ten estimates are combined here into one estimate (mean stomatal index and standard deviation is used)</t>
  </si>
  <si>
    <t>Bed 8</t>
  </si>
  <si>
    <t>Bed 7</t>
  </si>
  <si>
    <t>Bed 6</t>
  </si>
  <si>
    <t>Bed 5</t>
  </si>
  <si>
    <t>Bed 4</t>
  </si>
  <si>
    <t>Bed 3</t>
  </si>
  <si>
    <t>Bed 2</t>
  </si>
  <si>
    <t>Bed 1.5</t>
  </si>
  <si>
    <t>Bed 1</t>
  </si>
  <si>
    <t>A10</t>
  </si>
  <si>
    <t>G5</t>
  </si>
  <si>
    <t>G3</t>
  </si>
  <si>
    <t>WL5</t>
  </si>
  <si>
    <t>WL2</t>
  </si>
  <si>
    <t>WC1</t>
  </si>
  <si>
    <t>WW2</t>
  </si>
  <si>
    <t>CW1</t>
  </si>
  <si>
    <t>mean SR across the three NLE's is 1.42 at a CO2 level of 380 ppm</t>
  </si>
  <si>
    <t>only mean value is reported, based on a 1:2 SR:RCO2 ratio</t>
  </si>
  <si>
    <t>Ginkgo</t>
  </si>
  <si>
    <t>f1 fossil-bearing horizon</t>
  </si>
  <si>
    <t>f2 fossil-bearing horizon</t>
  </si>
  <si>
    <t>f3 fossil-bearing horizon</t>
  </si>
  <si>
    <t>f4 fossil-bearing horizon</t>
  </si>
  <si>
    <t>f5 fossil-bearing horizon</t>
  </si>
  <si>
    <t>f6 fossil-bearing horizon</t>
  </si>
  <si>
    <t>mean of five species</t>
  </si>
  <si>
    <t>2.5 and 97.5 percentiles; uncertainties halved in order to approximate 16 and 84 percentiles</t>
  </si>
  <si>
    <t>original uncertainties arenot clear: the reported range is based on inputting minimum and maximum values of the input parameters; in the absence of further knowledge, the reported CO2 range is taken as equivalent to +/- one standard error; the revised uncertainties are 2.5 and 97.5 percentiles, halved here to approximate 16 and 84 percentiles</t>
  </si>
  <si>
    <t>mean of three species</t>
  </si>
  <si>
    <t>&lt;unbounded&gt;</t>
  </si>
  <si>
    <t>reported uncertainties are 2.5 and 97.5 percentiles, determined by the Monte Carlo approach of Beerling et al. (2009); uncertainties adjusted to 16 and 84 percentiles here using the average scaling factors found in the Beerling et al. (2009) output (84 percentile approximates 60% of the offset between 97.5 percentile and median; 16 percentile approximates 70% of the offset between median and 2.5 percentile)</t>
  </si>
  <si>
    <t>mean of three species (calculated for Cenozoic CO2 database; https://www.paleo-co2.org/)</t>
  </si>
  <si>
    <t>mean of two species (calculated for Cenozoic CO2 database; https://www.paleo-co2.org/)</t>
  </si>
  <si>
    <t>recalculated for Cenozoic CO2 database (https://www.paleo-co2.org/) using the code of Kowalczyk et al., 2018, which explicitly propagates uncertainty</t>
  </si>
  <si>
    <t>unbounded</t>
  </si>
  <si>
    <t>fossil species not the same as the calibrated species; CO2 re-calculated for Cenozoic CO2 database; https://www.paleo-co2.org/</t>
  </si>
  <si>
    <t>reported uncertainties are 2.5 and 97.5 percentiles, determined by the Monte Carlo approach of Beerling et al. (2009), divided in half here to approximate the 16 and 84 percentiles</t>
  </si>
  <si>
    <t>original range corresponds to +/- one standard error of the regression function; revised calculations report the 2.5 and 97.5 percentiles, which are halved here to approximate the 16 and 84 percentiles</t>
  </si>
  <si>
    <t>CO2 recalculated for Cenozoic CO2 database (https://www.paleo-co2.org/) using the Monte Carlo approach of Beerling et al. (2009)</t>
  </si>
  <si>
    <t>CO2 recalculated for Cenozoic CO2 database (https://www.paleo-co2.org/) using updated calibration of Doria et al. (2011)</t>
  </si>
  <si>
    <t>Steinthorsdottir et al., 2019a</t>
  </si>
  <si>
    <t>Steinthorsdottir et al., 2019b</t>
  </si>
  <si>
    <t>stomatal index and stomatal ratio</t>
  </si>
  <si>
    <t>mean of stomatal ratio (4 species) and stomatal index (1 species); Rotowaro locality</t>
  </si>
  <si>
    <r>
      <t>+/- 1</t>
    </r>
    <r>
      <rPr>
        <sz val="10"/>
        <rFont val="Symbol"/>
        <family val="1"/>
        <charset val="2"/>
      </rPr>
      <t>s</t>
    </r>
    <r>
      <rPr>
        <sz val="10"/>
        <rFont val="Arial"/>
        <family val="2"/>
      </rPr>
      <t xml:space="preserve"> of the individual estimates (uncertainty of individual estimates is not accounted for)</t>
    </r>
  </si>
  <si>
    <t>mean of stomatal ratio (4 species) and stomatal index (1 species); Anglesea locality</t>
  </si>
  <si>
    <t>mean of stomatal ratio (4 species) and stomatal index (1 species); Gannon's Bridge locality</t>
  </si>
  <si>
    <t>mean of stomatal ratio (4 species) and stomatal index (1 species); Hastie's locality</t>
  </si>
  <si>
    <t>mean of stomatal ratio (4 species) and stomatal index (1 species); Regatta Point locality</t>
  </si>
  <si>
    <t>mean of stomatal ratio (4 species) and stomatal index (1 species); Otaio River locality</t>
  </si>
  <si>
    <t>mean of stomatal ratio (4 species) and stomatal index (1 species); Golden Grove and Nelly Creek locality</t>
  </si>
  <si>
    <t>biostratigraphy (Lower Nothofagidites asperus Zone A, mostly Lutetian)</t>
  </si>
  <si>
    <t>biostratigraphy (middle Nothofagidites asperus zone; Bartonian/Priabonian boundary)</t>
  </si>
  <si>
    <t>biostratigraphy (Lower Nothofagidites asperus Zone A, slightly younger than Golden Grove and Nelly Creek localities; Bartonian-Lutetian)</t>
  </si>
  <si>
    <t>biostratigraphy (Malvacipollis diversus Zone; Ypresian)</t>
  </si>
  <si>
    <t>biostratigraphy (Ypresian)</t>
  </si>
  <si>
    <t>biostratigraphy (Bartonian / Priabonian)</t>
  </si>
  <si>
    <t>biostratigraphy (Priabonian / latest Bartonian)</t>
  </si>
  <si>
    <t>Zhou et al., 2020</t>
  </si>
  <si>
    <t>information not provided in text, but Figure 5 shows an age of ~180 +/- 2 Ma</t>
  </si>
  <si>
    <t>CO2 based on columns V-X in Table S3; mean of all levels; stomatal ratio and stomatal index estimates are excluded</t>
  </si>
  <si>
    <t>Du et al., 2018</t>
  </si>
  <si>
    <t>biostratigraphy and magnetostratigraphy: middle-to-late Albian</t>
  </si>
  <si>
    <r>
      <t>10. Many individual CO</t>
    </r>
    <r>
      <rPr>
        <vertAlign val="subscript"/>
        <sz val="11"/>
        <rFont val="Arial"/>
        <family val="2"/>
      </rPr>
      <t>2</t>
    </r>
    <r>
      <rPr>
        <sz val="11"/>
        <rFont val="Arial"/>
        <family val="2"/>
      </rPr>
      <t xml:space="preserve"> estimates are based on multiple measurements of the same material; consult original literature for details.</t>
    </r>
  </si>
  <si>
    <t>11. All dates are calibrated to the timescale of Gradstein et al. (2012).</t>
  </si>
  <si>
    <t>Roth-Nebelsick &amp; Konrad, 2003</t>
  </si>
  <si>
    <t>Dai and Sun, 2018</t>
  </si>
  <si>
    <t xml:space="preserve">9. Leaf gas-exchange estimates that assume a constant ci/ca ratio are excluded because this eliminates an important degree-of-freedom in the model (Du et al., 2018; Lei et al., 2018) </t>
  </si>
  <si>
    <t>Wang et al., 2020</t>
  </si>
  <si>
    <t>fission track dating</t>
  </si>
  <si>
    <t>Minato Formation</t>
  </si>
  <si>
    <t>biostratigraphy; details not given, just a middle Paleocene ~60 Ma age</t>
  </si>
  <si>
    <t>Iceberg Bay Formation</t>
  </si>
  <si>
    <t>Bibai Formation</t>
  </si>
  <si>
    <t>CO2 not reported</t>
  </si>
  <si>
    <t>Based on beds 1, 2, 4, and 6 in Sweden and beds 87.5, 85, and 69 in Greenland</t>
  </si>
  <si>
    <t>Based on beds 12 and 14 in Sweden and beds 25, 32, and 50 in Greenland</t>
  </si>
  <si>
    <t>Based on bed 15 in Sweden and beds 20 and 22.5 in Greenland</t>
  </si>
  <si>
    <t>Original estimate based on stomatal index transfer function, but fossil species is different than extant species</t>
  </si>
  <si>
    <t>Ginkgoites taeniatus</t>
  </si>
  <si>
    <t>16 and 84 percentiles; uncertainties in CO2 not reported; uncertainties calculated here as +65%/-30% of the best-estimate, a conservative envelope taken from the fully propagated error analysis of Beerling et al. (2009)</t>
  </si>
  <si>
    <t>These estimates should be re-calculated using the Monte Carlo routine of Beerling et al (2009)</t>
  </si>
  <si>
    <t>Wang et al., 2015</t>
  </si>
  <si>
    <t>Du et al., 2016</t>
  </si>
  <si>
    <t>stomatal ratios are based on stomatal density (not stomatal index)</t>
  </si>
  <si>
    <t>Leaf gas-exchange estimate not used because it assumes an invariant ci/ca ratio</t>
  </si>
  <si>
    <r>
      <t>7. Stomatal-based CO</t>
    </r>
    <r>
      <rPr>
        <vertAlign val="subscript"/>
        <sz val="11"/>
        <rFont val="Arial"/>
        <family val="2"/>
      </rPr>
      <t>2</t>
    </r>
    <r>
      <rPr>
        <sz val="11"/>
        <rFont val="Arial"/>
        <family val="2"/>
      </rPr>
      <t xml:space="preserve"> estimates associated with &lt;5 cuticle fragments are excluded (see Royer [2003] for justification); this affects the records of Retallack (2009a), Passalia (2009), Liu et al. (2016), Steinthorsdottir et al. (2016a, 2019b), Sun et al. (2016), and Dai and Sun (2018); additionally, for Retallack (2009a) only cuticles from the genus </t>
    </r>
    <r>
      <rPr>
        <i/>
        <sz val="11"/>
        <rFont val="Arial"/>
        <family val="2"/>
      </rPr>
      <t>Ginkgo</t>
    </r>
    <r>
      <rPr>
        <sz val="11"/>
        <rFont val="Arial"/>
        <family val="2"/>
      </rPr>
      <t xml:space="preserve"> are included (see Vörding and Kerp [2008] for justification; this restriction also means that all data from Retallack [2013] have been excluded), and for species other than </t>
    </r>
    <r>
      <rPr>
        <i/>
        <sz val="11"/>
        <rFont val="Arial"/>
        <family val="2"/>
      </rPr>
      <t>G. adiantoides</t>
    </r>
    <r>
      <rPr>
        <sz val="11"/>
        <rFont val="Arial"/>
        <family val="2"/>
      </rPr>
      <t xml:space="preserve"> the stomatal ratio method is used to convert stomatal index to CO</t>
    </r>
    <r>
      <rPr>
        <vertAlign val="subscript"/>
        <sz val="11"/>
        <rFont val="Arial"/>
        <family val="2"/>
      </rPr>
      <t>2</t>
    </r>
    <r>
      <rPr>
        <sz val="11"/>
        <rFont val="Arial"/>
        <family val="2"/>
      </rPr>
      <t xml:space="preserve"> (see note 8).</t>
    </r>
  </si>
  <si>
    <t>Sosdian, S. M., Greenop, R., Hain, M. P., Foster, G. L., Pearson, P. N., and Lear, C. H., 2018, Constraining the evolution of Neogene ocean carbonate chemistry using the boron isotope pH proxy: Earth and Planetary Science Letters, v. 498, p. 362-376, doi: 10.1016/j.epsl.2018.06.017.</t>
  </si>
  <si>
    <t>Henehan, M. J., et al., 2019, Rapid ocean acidification and protracted Earth system recovery followed the end-Cretaceous Chicxulub impact: Proceedings of the National Academy of Sciences, USA, p. 201905989, doi: 10.1073/pnas.1905989116.</t>
  </si>
  <si>
    <t>Seki et al., 2010 (updated by Sosdian et al., 2018)</t>
  </si>
  <si>
    <t>site 999A; CO2 solved using 'Fluid inclusions', 'Palike', and 'G17' input parameters in Sosdian et al., 2018 (HO-PA-GR scenario)</t>
  </si>
  <si>
    <t>Bartoli et al., 2011 (updated by Sosdian et al., 2018)</t>
  </si>
  <si>
    <t>Foster et al., 2012 (updated by Sosdian et al., 2018)</t>
  </si>
  <si>
    <t>site 761B; CO2 solved using 'Fluid inclusions', 'Palike', and 'G17' input parameters in Sosdian et al., 2018 (HO-PA-GR scenario)</t>
  </si>
  <si>
    <t>site 926A; CO2 solved using 'Fluid inclusions', 'Palike', and 'G17' input parameters in Sosdian et al., 2018 (HO-PA-GR scenario)</t>
  </si>
  <si>
    <t>Badger et al., 2013a (updated by Sosdian et al., 2018)</t>
  </si>
  <si>
    <t>CO2 solved using 'Fluid inclusions', 'Palike', and 'G17' input parameters in Sosdian et al., 2018 (HO-PA-GR scenario)</t>
  </si>
  <si>
    <t>Greenop et al., 2014 (updated by Sosdian et al., 2018)</t>
  </si>
  <si>
    <t>Martinez-Boti et al., 2015 (updated by Sosdian et al., 2018)</t>
  </si>
  <si>
    <t>ODP 999; CO2 solved using 'Fluid inclusions', 'Palike', and 'G17' input parameters in Sosdian et al., 2018 (HO-PA-GR scenario)</t>
  </si>
  <si>
    <t>Sosdian et al., 2016</t>
  </si>
  <si>
    <t>Henehan et al., 2019</t>
  </si>
  <si>
    <t>MHY52</t>
  </si>
  <si>
    <t>MHY54</t>
  </si>
  <si>
    <t>MHY55</t>
  </si>
  <si>
    <t>MHY56</t>
  </si>
  <si>
    <t>MHY58</t>
  </si>
  <si>
    <t>MHY59</t>
  </si>
  <si>
    <t>MHY60</t>
  </si>
  <si>
    <t>MHY61</t>
  </si>
  <si>
    <t>MHY62</t>
  </si>
  <si>
    <t>MHY63</t>
  </si>
  <si>
    <t>MHY64</t>
  </si>
  <si>
    <t>MHY65</t>
  </si>
  <si>
    <t>MHY45</t>
  </si>
  <si>
    <t>MHY27</t>
  </si>
  <si>
    <t>MHY31</t>
  </si>
  <si>
    <t>MHY43</t>
  </si>
  <si>
    <t>MHY47</t>
  </si>
  <si>
    <t>MHY26</t>
  </si>
  <si>
    <t>MHY28</t>
  </si>
  <si>
    <t>MHY48</t>
  </si>
  <si>
    <t>MHY49</t>
  </si>
  <si>
    <t>modern leaves likely collected in the early 2000's, growing under ~370 ppm CO2</t>
  </si>
  <si>
    <t>Montañez et al., 2016 (updated by Richey et al., 2020; see their Table S3)</t>
  </si>
  <si>
    <t>based on age model developed by authors; uncertainty is equal to the offset between the "O7" and "O6" transgressions (+/- 0.3 Myrs): see p. 3 of their Supplement; age updated by Richey et al. (2020): see their Table S3</t>
  </si>
  <si>
    <t>S(z) based on Montanez (2013)</t>
  </si>
  <si>
    <t>Richey et al., 2020</t>
  </si>
  <si>
    <t>biostratigraphy and abosolute age control</t>
  </si>
  <si>
    <t>Aridisol/Vertisol; S(z) based on Montanez (2013)</t>
  </si>
  <si>
    <t>Aridisol; S(z) based on Montanez (2013)</t>
  </si>
  <si>
    <t>Aridisol/Vertisol/Alfisol; S(z) based on Montanez (2013)</t>
  </si>
  <si>
    <t>Alfisol; S(z) based on Montanez (2013)</t>
  </si>
  <si>
    <t>Pearson et al., 2009 (updated by Anagnostou et al., 2020)</t>
  </si>
  <si>
    <t>Anagnostou et al., 2016 (revised by Anagnostou et al., 2020)</t>
  </si>
  <si>
    <t>Reichgelt et al., 2016 (revised by Reichgelt et al., 2020)</t>
  </si>
  <si>
    <t>magnetostratigraphy and annually varved sediments (entire core = 100 kyrs)</t>
  </si>
  <si>
    <t>Phase I</t>
  </si>
  <si>
    <t>Phase II</t>
  </si>
  <si>
    <t>Reichgelt et al., 2020</t>
  </si>
  <si>
    <t>Phase IIIa</t>
  </si>
  <si>
    <t>Phase IIIb</t>
  </si>
  <si>
    <t>Gutjahr et al., 2017</t>
  </si>
  <si>
    <t>16 and 84 percentiles; reported uncertainty is 2.5 and 97.5 percentile range; the 16 and 84 percentiles are calculated here by halving the differentials to the mean</t>
  </si>
  <si>
    <t>Anagnostou et al., 2020</t>
  </si>
  <si>
    <t>Steinthorsdottir et al., 2020</t>
  </si>
  <si>
    <t>chronostratigraphy (sanidine K/Ar and Ar/Ar; zircon U-Pb)</t>
  </si>
  <si>
    <t>P-37 locality; see Tables S2 and S6 for data and results; results from stomatal ratio and stomatal index methods also reported</t>
  </si>
  <si>
    <t>P-33 locality; see Tables S2 and S6 for data and results; results from stomatal ratio and stomatal index methods also reported</t>
  </si>
  <si>
    <t>CO2 is the mean of three species</t>
  </si>
  <si>
    <t>CO2 is the mean of four species</t>
  </si>
  <si>
    <t>Henehan et al., 2020 (revised by Anagnostou et al., 2020)</t>
  </si>
  <si>
    <t>Harper et al., 2020 (revised by Anagnostou et al., 2020)</t>
  </si>
  <si>
    <r>
      <t>2. Most paleosol-based CO</t>
    </r>
    <r>
      <rPr>
        <vertAlign val="subscript"/>
        <sz val="11"/>
        <rFont val="Arial"/>
        <family val="2"/>
      </rPr>
      <t>2</t>
    </r>
    <r>
      <rPr>
        <sz val="11"/>
        <rFont val="Arial"/>
        <family val="2"/>
      </rPr>
      <t xml:space="preserve"> estimates published before Breecker et al. (2009) are recalculated using a soil respiration concentration (S[z]) of 2000 ppm (after Breecker et al., 2009); protosols from Montanez et al. (22016) are excluded.</t>
    </r>
  </si>
  <si>
    <t>Anagnostou, E., John, E. H., Babila, T. L., Sexton, P. F., Ridgwell, A., Lunt, D. J., Pearson, P. N., Chalk, T. B., Pancost, R. D., and Foster, G. L., 2020, Proxy evidence for state-dependence of climate sensitivity in the Eocene greenhouse: Nature Communications, v. 11, 4436, doi: 10.1038/s41467-020-17887-x.</t>
  </si>
  <si>
    <t>Gutjahr, M., Ridgwell, A., Sexton, P. F., Anagnostou, E., Pearson, P. N., Pälike, H., Norris, R. D., Thomas, E., and Foster, G. L., 2017, Very large release of mostly volcanic carbon during the Palaeocene–Eocene Thermal Maximum: Nature, v. 548, p. 573-577, doi: 10.1038/nature23646.</t>
  </si>
  <si>
    <t>Harper, D. T., Hönisch, B., Zeebe, R. E., Shaffer, G., Haynes, L. L., Thomas, E., and Zachos, J. C., 2020, The magnitude of surface ocean acidification and carbon release during Eocene thermal maximum 2 (ETM-2) and the Paleocene-Eocene thermal maximum (PETM): Paleoceanography and Paleoclimatology, v. 35, e2019PA003699, doi: 10.1029/2019pa003699.</t>
  </si>
  <si>
    <r>
      <t>Henehan, M. J., Edgar, K. M., Foster, G. L., Penman, D. E., Hull, P. M., Greenop, R., Anagnostou, E., and Pearson, P. N., 2020, Revisiting the Middle Eocene climatic optimum “carbon cycle conundrum” with new estimates of atmospheric pCO</t>
    </r>
    <r>
      <rPr>
        <vertAlign val="subscript"/>
        <sz val="11"/>
        <rFont val="Arial"/>
        <family val="2"/>
      </rPr>
      <t>2</t>
    </r>
    <r>
      <rPr>
        <sz val="11"/>
        <rFont val="Arial"/>
        <family val="2"/>
      </rPr>
      <t xml:space="preserve"> from boron isotopes: Paleoceanography and Paleoclimatology, v. 35, e2019PA003713, doi: 10.1029/2019pa003713.</t>
    </r>
  </si>
  <si>
    <r>
      <t>Reichgelt, T., D'Andrea, W. J., Valdivia-McCarthy, A. C., Fox, B. R. S., Bannister, J. M., Conran, J. G., Lee, W. G., and Lee, D. E., 2020, Elevated CO</t>
    </r>
    <r>
      <rPr>
        <vertAlign val="subscript"/>
        <sz val="11"/>
        <rFont val="Arial"/>
        <family val="2"/>
      </rPr>
      <t>2</t>
    </r>
    <r>
      <rPr>
        <sz val="11"/>
        <rFont val="Arial"/>
        <family val="2"/>
      </rPr>
      <t>, increased leaf-level productivity, and water-use efficiency during the early Miocene: Climate of the Past, v. 16, p. 1509-1521, doi: 10.5194/cp-16-1509-2020.</t>
    </r>
  </si>
  <si>
    <t>Allen, K. A., and Hönisch, B., 2012, The planktic foraminiferal B/Ca proxy for seawater carbonate chemistry: a critical evaluation: Earth and Planetary Science Letters, v. 345–348, p. 203-211, doi: 10.1016/j.epsl.2012.06.012.</t>
  </si>
  <si>
    <t>Andrews, J. E., Tandon, S. K., and Dennis, P. F., 1995, Concentration of carbon dioxide in the Late Cretaceous atmosphere: Journal of the Geological Society, London, v. 152, p. 1-3, doi: 10.1144/gsjgs.152.1.0001.</t>
  </si>
  <si>
    <t>Atchley, S. C., Nordt, L. C., Dworkin, S. I., Ramezani, J., Parker, W. G., Ash, S. R., and Bowring, S. A., 2013, A linkage among Pangean tectonism, cyclic alluviation, climate change, and biologic turnover in the Late Triassic: the record from the Chinle Formation, Southwestern United States: Journal of Sedimentary Research, v. 83, p. 1147-1161, doi: 10.2110/jsr.2013.89.</t>
  </si>
  <si>
    <t>Beerling, D. J., and Royer, D. L., 2002, Fossil plants as indicators of the Phanerozoic global carbon cycle: Annual Review of Earth and Planetary Sciences, v. 30, p. 527-556, doi: 10.1146/annurev.earth.30.091201.141413.</t>
  </si>
  <si>
    <t>Bottini, C., Erba, E., Tiraboschi, D., Jenkyns, H. C., Schouten, S., and Sinninghe Damsté, J. S., 2015, Climate variability and ocean fertility during the Aptian Stage: Climate of the Past, v. 11, p. 383-402, doi: 10.5194/cp-11-383-2015.</t>
  </si>
  <si>
    <t>Breecker, D. O., Sharp, Z. D., and McFadden, L. D., 2009, Seasonal bias in the formation and stable isotopic composition of pedogenic carbonate in modern soils from central New Mexico, USA: Geological Society of America Bulletin, v. 121, p. 630-640, doi: 10.1130/B26413.1.</t>
  </si>
  <si>
    <t>Cerling, T. E., 1991, Carbon dioxide in the atmosphere: evidence from Cenozoic and Mesozoic paleosols: American Journal of Science, v. 291, p. 377-400, doi: 10.2475/ajs.291.4.377.</t>
  </si>
  <si>
    <t>Cleveland, D. M., Nordt, L. C., Dworkin, S. I., and Atchley, S. C., 2008, Pedogenic carbonate isotopes as evidence for extreme climatic events preceding the Triassic-Jurassic boundary: Implications for the biotic crisis?: Geological Society of America Bulletin, v. 120, p. 1408-1415, doi: 10.1130/b26332.1.</t>
  </si>
  <si>
    <t>Clyde, W., Sheldon, N., Koch, P., Gunnell, G., and Bartels, W., 2001, Linking the Wasatchian/Bridgerian boundary to the Cenozoic Global Climate Optimum: new magnetostratigraphic and isotopic results from South Pass, Wyoming: Palaeogeography Palaeoclimatology Palaeoecology, v. 167, p. 175-199, doi: 10.1016/S0031-0182(00)00238-8.</t>
  </si>
  <si>
    <t>Cox, J. E., Railsback, L. B., and Gordon, E. A., 2001, Evidence from Catskill pedogenic carbonates for a rapid Late Devonian decrease in atmospheric carbon dioxide concentrations: Northeastern Geology and Environmental Sciences, v. 23, p. 91-102</t>
  </si>
  <si>
    <t>Du, B., Sun, B., Zhang, M., Yang, G., Xing, L., Tang, F., and Bai, Y., 2016, Atmospheric palaeo-CO2 estimates based on the carbon isotope and stomatal data of Cheirolepidiaceae from the Lower Cretaceous of the Jiuquan Basin, Gansu Province: Cretaceous Research, v. 62, p. 142-153, doi: 10.1016/j.cretres.2015.07.020.</t>
  </si>
  <si>
    <t>Dunn, R. E., 2003, Correlation of Leaf Megafossil and Palynological Data with North American Land Mammal Ages from Paleocene-aged Strata of the Ferris and Hanna Formations, Hanna Basin, South-central Wyoming [M.S. Thesis: University of Wyoming, 218 p.</t>
  </si>
  <si>
    <t>Ekart, D. D., Cerling, T. E., Montañez, I. P., and Tabor, N. J., 1999, A 400 million year carbon isotope record of pedogenic carbonate: implications for paleoatmospheric carbon dioxide: American Journal of Science, v. 299, p. 805-827, doi: 10.2475/ajs.299.10.805.</t>
  </si>
  <si>
    <t>Erdei, B., Utescher, T., Hably, L., Tamás, J., Roth-Nebelsick, A., and Grein, M., 2012, Early Oligocene continental climate of the Palaeogene Basin (Hungary and Slovenia) and the surrounding area: Turkish Journal of Earth Sciences, v. 21, p. 153-186, doi: 10.3906/yer-1005-29.</t>
  </si>
  <si>
    <t>Fletcher, B. J., Brentnall, S. J., Anderson, C. W., Berner, R. A., and Beerling, D. J., 2008, Atmospheric carbon dioxide linked with Mesozoic and early Cenozoic climate change: Nature Geoscience, v. 1, p. 43-48, doi: 10.1038/ngeo.2007.29.</t>
  </si>
  <si>
    <t>Gastaldo, R. A., Knight, C. L., Neveling, J., and Tabor, N. J., 2014, Latest Permian paleosols from Wapadsberg Pass, South Africa: implications for Changhsingian climate: Geological Society of America Bulletin, v. 126, p. 665-679, doi: 10.1130/b30887.1.</t>
  </si>
  <si>
    <t>Ghosh, P., Bhattacharya, S. K., and Jani, R. A., 1995, Palaeoclimate and palaeovegetation in central India during the Upper Cretaceous based on stable isotope composition of the palaeosol carbonates: Palaeogeography Palaeoclimatology Palaeoecology, v. 114, p. 285-296, doi: 10.1016/0031-0182(94)00082-J.</t>
  </si>
  <si>
    <t>Gradstein, F. M., Ogg, J. G., Schmitz, M. D., and Ogg, G. M., 2012, The Geologic Time Scale 2012: Amsterdam, Elsevier, p. 1144.</t>
  </si>
  <si>
    <t>Gutierrez, K., and Sheldon, N. D., 2012, Paleoenvironmental reconstruction of Jurassic dinosaur habitats of the Vega Formation, Asturias, Spain: Geological Society of America Bulletin, v. 124, p. 596-610, doi: 10.1130/b30285.1.</t>
  </si>
  <si>
    <t>Hong, S. K., and Lee, Y. I., 2012, Evaluation of atmospheric carbon dioxide concentrations during the Cretaceous: Earth and Planetary Science Letters, v. 327-328, p. 23-28, doi: 10.1016/j.epsl.2012.01.014.</t>
  </si>
  <si>
    <t>Hu, G., Liao, Z., Wang, L., Cao, J., and Tan, X., 2019, Transient fluctuation in paleoclimate at the end of Permian: new constraints from paleosol carbonates in the Erlongkou section, Chongqing, southwestern China: Journal of Asian Earth Sciences, v. 173, p. 225-236, doi: 10.1016/j.jseaes.2019.01.027.</t>
  </si>
  <si>
    <t>Hyland, E., Sheldon, N. D., and Fan, M., 2013, Terrestrial paleoenvironmental reconstructions indicate transient peak warming during the early Eocene climatic optimum: Geological Society of America Bulletin, v. 125, p. 1338-1348, doi: 10.1130/b30761.1.</t>
  </si>
  <si>
    <t>Irmis, R. B., Mundil, R., Martz, J. W., and Parker, W. G., 2011, High-resolution U–Pb ages from the Upper Triassic Chinle Formation (New Mexico, USA) support a diachronous rise of dinosaurs: Earth and Planetary Science Letters, v. 309, p. 258-267, doi: 10.1016/j.epsl.2011.07.015.</t>
  </si>
  <si>
    <t>Kenny, R., and Neet, K. E., 1993, Upper Pennsylvanian-Permian (Naco Group) paleosols (north-central Arizona): field and isotopic evidence: Geoderma, v. 58, p. 131-148, doi: 10.1016/0016-7061(93)90038-m.</t>
  </si>
  <si>
    <t>Klochko, K., Kaufman, A. J., Yao, W. S., Byrne, R. H., and Tossell, J. A., 2006, Experimental measurement of boron isotope fractionation in seawater: Earth and Planetary Science Letters, v. 248, p. 276-285, doi: 10.1016/j.epsl.2006.05.034.</t>
  </si>
  <si>
    <t>Koch, P. L., Zachos, J. C., and Gingerich, P. D., 1992, Correlation between isotope records in marine and continental carbon reservoirs near the Palaeocene/Eocene boundary: Nature, v. 358, p. 319-322, doi: 10.1038/358319a0.</t>
  </si>
  <si>
    <t>Kohn, M. J., Strömberg, C. A. E., Madden, R. H., Dunn, R. E., Evans, S., Palacios, A., and Carlini, A. A., 2015, Quasi-static Eocene–Oligocene climate in Patagonia promotes slow faunal evolution and mid-Cenozoic global cooling: Palaeogeography, Palaeoclimatology, Palaeoecology, v. 435, p. 24-37, doi: 10.1016/j.palaeo.2015.05.028.</t>
  </si>
  <si>
    <t>Kürschner, W. M., Kvacek, Z., and Dilcher, D. L., 2008, The impact of Miocene atmospheric carbon dioxide fluctuations on climate and the evolution of terrestrial ecosystems: Proceedings of the National Academy of Sciences USA, v. 105, p. 449-453, doi: 10.1073/pnas.0708588105.</t>
  </si>
  <si>
    <t>Kvaček, Z., Manum, S. B., and Boulter, M. C., 1994, Angiosperms from the Palaeogene of Spitsbergen, including an unfinished work by AG Nathorst: Palaeontographica Abteilung B, v. 232, p. 103-128</t>
  </si>
  <si>
    <t>Lee, Y. I., 1999, Stable isotopic composition of calcic paleosols of the Early Cretaceous Hasandong Formation, southeastern Korea: Palaeogeography Palaeoclimatology Palaeoecology, v. 150, p. 123-133, doi: 10.1016/S0031-0182(99)00010-3.</t>
  </si>
  <si>
    <t>Lee, Y. I., and Hisada, K., 1999, Stable isotopic composition of pedogenic carbonates of the Early Cretaceous Shimonoseki Subgroup, western Honshu, Japan: Palaeogeography Palaeoclimatology Palaeoecology, v. 153, p. 127-138, doi: 10.1016/S0031-0182(99)00069-3.</t>
  </si>
  <si>
    <t>Leier, A., Quade, J., DeCelles, P., and Kapp, P., 2009, Stable isotopic results from paleosol carbonate in South Asia: paleoenvironmental reconstructions and selective alteration: Earth and Planetary Science Letters, v. 279, p. 242-254, doi: 10.1016/j.epsl.2008.12.044.</t>
  </si>
  <si>
    <t>Lemarchand, D., Gaillardet, J., Lewin, É., and Allègre, C. J., 2000, The influence of rivers on marine boron isotopes and implications for reconstructing past ocean pH: Nature, v. 408, p. 951-954, doi: 10.1038/35050058.</t>
  </si>
  <si>
    <t>Ludvigson, G. A., Joeckel, R. M., Murphy, L. R., Stockli, D. F., González, L. A., Suarez, C. A., Kirkland, J. I., and Al-Suwaidi, A., 2015, The emerging terrestrial record of Aptian-Albian global change: Cretaceous Research, v. 56, p. 1-24, doi: 10.1016/j.cretres.2014.11.008.</t>
  </si>
  <si>
    <t>Malinverno, A., Erba, E., and Herbert, T. D., 2010, Orbital tuning as an inverse problem: chronology of the early Aptian oceanic anoxic event 1a (Selli Level) in the Cismon APTICORE: Paleoceanography, v. 25, PA2203, doi: 10.1029/2009pa001769.</t>
  </si>
  <si>
    <t>McElwain, J. C., Beerling, D. J., and Woodward, F. I., 1999, Fossil plants and global warming at the Triassic-Jurassic boundary: Science, v. 285, p. 1386-1390, doi: 10.1126/science.285.5432.1386.</t>
  </si>
  <si>
    <t>McElwain, J. C., Wade-Murphy, J., and Hesselbo, S. P., 2005, Changes in carbon dioxide during an oceanic anoxic event linked to intrusion into Gondwana coals: Nature, v. 435, p. 479-482, doi: 10.1038/nature03618.</t>
  </si>
  <si>
    <t>Moss, P. T., Greenwood, D. R., and Archibald, S. B., 2005, Regional and local vegetation community dynamics of the Eocene Okanagan Highlands (British Columbia – Washington State) from palynology: Canadian Journal of Earth Sciences, v. 42, p. 187-204, doi: 10.1139/e04-095.</t>
  </si>
  <si>
    <t>Naafs, B. D. A., Castro, J. M., De Gea, G. A., Quijano, M. L., Schmidt, D. N., and Pancost, R. D., 2016, Gradual and sustained carbon dioxide release during Aptian Oceanic Anoxic Event 1a: Nature Geoscience, v. 9, p. 135-139, doi: 10.1038/ngeo2627.</t>
  </si>
  <si>
    <t>Nordt, L., Atchley, S., and Dworkin, S., 2003, Terrestrial evidence for two greenhouse events in the latest Cretaceous: GSA Today, v. 13(12), p. 4-9</t>
  </si>
  <si>
    <t>Nordt, L., Atchley, S., and Dworkin, S., 2015, Collapse of the Late Triassic megamonsoon in western equatorial Pangea, present-day American Southwest: Geological Society of America Bulletin, v. 127, p. 1798-1815, doi: 10.1130/b31186.1.</t>
  </si>
  <si>
    <t>Pearson, P. N., Ditchfield, P. W., Singano, J., Harcourt-Brown, K. G., Nicholas, C. J., Olsson, R. K., Shackleton, N. J., and Hall, M. A., 2001, Warm tropical sea surface temperatures in the Late Cretaceous and Eocene epochs: Nature, v. 413, p. 481-487, doi: 10.1038/35097000.</t>
  </si>
  <si>
    <t>Pearson, P. N., Foster, G. L., and Wade, B. S., 2009, Atmospheric carbon dioxide through the Eocene-Oligocene climate transition: Nature, v. 461, p. 1110-1113, doi: 10.1038/nature08447.</t>
  </si>
  <si>
    <t>Pearson, P. N., and Palmer, M. R., 2000, Atmospheric carbon dioxide concentrations over the past 60 million years: Nature, v. 406, p. 695-699, doi: 10.1038/35021000.</t>
  </si>
  <si>
    <t>Platt, N. H., 1989, Lacustrine carbonates and pedogenesis: sedimentology and origin of palustrine deposits from the Early Cretaceous Rupelo Formation, W. Cameros Basin, N. Spain: Sedimentology, v. 36, p. 665-684, doi: 10.1111/j.1365-3091.1989.tb02092.x.</t>
  </si>
  <si>
    <t>Prochnow, S. J., Nordt, L. C., Atchley, S. C., and Hudec, M. R., 2006, Multi-proxy paleosol evidence for middle and late Triassic climate trends in eastern Utah: Palaeogeography Palaeoclimatology Palaeoecology, v. 232, p. 53-72, doi: 10.1016/j.palaeo.2005.08.011.</t>
  </si>
  <si>
    <t>Purvis, K., and Wright, V. P., 1991, Calcretes related to phreatophytic vegetation from the Middle Triassic Otter Sandstone of South West England: Sedimentology, v. 38, p. 539-551, doi: 10.1111/j.1365-3091.1991.tb00366.x.</t>
  </si>
  <si>
    <t>Quade, J., Solounias, N., and Cerling, T. E., 1994, Stable isotopic evidence from paleosol carbonates and fossil teeth in Greece for forest or woodlands over the past 11 Ma: Palaeogeography Palaeoclimatology Palaeoecology, v. 108, p. 41-53, doi: 10.1016/0031-0182(94)90021-3.</t>
  </si>
  <si>
    <t>Rapp, S. D., MacFadden, B. J., and Schiebout, J. A., 1983, Magnetic polarity stratigraphy of the early Tertiary Black Peaks Formation, Big Bend National Park, Texas: Journal of Geology, v. 91, p. 555-572, doi: 10.1086/628804.</t>
  </si>
  <si>
    <t>Raynolds, R. G., et al., 2001, The Kiowa core, a continuous drill core through the Denver Basin bedrock aquifers at Kiowa, Elbert County, Colorado: U.S. Geological Survey Open-File Report 01-185</t>
  </si>
  <si>
    <t>Reidel, S. P., and Fecht, K. R., 1987, The Huntzinger flow: evidence of surface mixing of the Columbia River Basalt and its petrogenetic implications: Geological Society of America Bulletin, v. 98, p. 664-677, doi: 10.1130/0016-7606(1987)98&lt;664:thfeos&gt;2.0.co;2.</t>
  </si>
  <si>
    <t>Retallack, G. J., 2009a, Greenhouse crises of the past 300 million years: Geological Society of America Bulletin, v. 121, p. 1441-1455, doi: 10.1130/b26341.1.</t>
  </si>
  <si>
    <t>Retallack, G. J., 2013, Permian and Triassic greenhouse crises: Gondwana Research, v. 24, p. 90-103, doi: 10.1016/j.gr.2012.03.003.</t>
  </si>
  <si>
    <t>Rustad, J. R., and Zarzycki, P., 2008, Calculation of site-specific carbon-isotope fractionation in pedogenic oxide minerals: Proceedings of the National Academy of Sciences USA, v. 105, p. 10297-10301, doi: 10.1073/pnas.0801571105.</t>
  </si>
  <si>
    <t>Srivastava, P., Patel, S., Singh, N., Jamir, T., Kumar, N., Aruche, M., and Patel, R. C., 2013, Early Oligocene paleosols of the Dagshai Formation, India: a record of the oldest tropical weathering in the Himalayan foreland: Sedimentary Geology, v. 294, p. 142-156, doi: 10.1016/j.sedgeo.2013.05.011.</t>
  </si>
  <si>
    <t>Suchecki, R. K., Hubert, J. F., and Birney de Wet, C. C., 1988, Isotopic imprint of climate and hydrogeochemistry on terrestrial strata of the Triassic-Jurassic Hartford and Fundy rift basins: Journal of Sedimentary Petrology, v. 58, p. 801-811, doi: 10.1306/212F8E6D-2B24-11D7-8648000102C1865D.</t>
  </si>
  <si>
    <t>Sun, C.-L., Tan, X., Dilcher, D. L., Wang, H., Na, Y.-L., Li, T., and Li, Y.-F., 2018, Middle Jurassic Ginkgo leaves from the Daohugou area, Inner Mongolia, China and their implication for palaeo-CO2 reconstruction: Palaeoworld, v. 27, p. 467-481, doi: 10.1016/j.palwor.2018.09.005.</t>
  </si>
  <si>
    <t>Tauxe, L., Gee, J., Gallet, Y., Pick, T., and Bown, T., 1994, Magnetostratigraphy of the Willwood Formation, Bighorn Basin, Wyoming: new constraints on the location of Paleocene/Eocene boundary: Earth and Planetary Science Letters, v. 125, p. 159-172, doi: 10.1016/0012-821X(94)90213-5.</t>
  </si>
  <si>
    <t>van der Burgh, J., Visscher, H., Dilcher, D. L., and Kürschner, W. M., 1993, Paleoatmospheric signatures in Neogene fossil leaves: Science, v. 260, p. 1788-1790, doi: 10.1126/science.260.5115.1788.</t>
  </si>
  <si>
    <t>Whiteside, J. H., Lindström, S., Irmis, R. B., Glasspool, I. J., Schaller, M. F., Dunlavey, M., Nesbitt, S. J., Smith, N. D., and Turner, A. H., 2015, Extreme ecosystem instability suppressed tropical dinosaur dominance for 30 million years: Proceedings of the National Academy of Sciences USA, v. 112, p. 7909-7913, doi: 10.1073/pnas.1505252112.</t>
  </si>
  <si>
    <t>Wing, S. L., Alroy, J., and Hickey, L. J., 1995, Plant and mammal diversity in the Paleocene to Early Eocene of the Bighorn Basin: Palaeogeography Palaeoclimatology Palaeoecology, v. 115, p. 117-155, doi: 10.1016/0031-0182(94)00109-L.</t>
  </si>
  <si>
    <r>
      <t>Anagnostou, E., John, E. H., Edgar, K. M., Foster, G. L., Ridgwell, A., Inglis, G. N., Pancost, R. D., Lunt, D. J., and Pearson, P. N., 2016, Changing atmospheric CO</t>
    </r>
    <r>
      <rPr>
        <vertAlign val="subscript"/>
        <sz val="11"/>
        <rFont val="Arial"/>
        <family val="2"/>
      </rPr>
      <t>2</t>
    </r>
    <r>
      <rPr>
        <sz val="11"/>
        <rFont val="Arial"/>
        <family val="2"/>
      </rPr>
      <t xml:space="preserve"> concentration was the primary driver of early Cenozoic climate: Nature, v. 533, p. 380-384, doi: 10.1038/nature17423.</t>
    </r>
  </si>
  <si>
    <r>
      <t>Badger, M. P. S., Lear, C. H., Pancost, R. D., Foster, G. L., Bailey, T. R., Leng, M. J., and Abels, H. A., 2013a, CO</t>
    </r>
    <r>
      <rPr>
        <vertAlign val="subscript"/>
        <sz val="11"/>
        <rFont val="Arial"/>
        <family val="2"/>
      </rPr>
      <t>2</t>
    </r>
    <r>
      <rPr>
        <sz val="11"/>
        <rFont val="Arial"/>
        <family val="2"/>
      </rPr>
      <t xml:space="preserve"> drawdown following the middle Miocene expansion of the Antarctic Ice Sheet: Paleoceanography, v. 28, p. 42-53, doi: 10.1002/palo.20015.</t>
    </r>
  </si>
  <si>
    <r>
      <t xml:space="preserve">Badger, M. P. S., Schmidt, D. N., Mackensen, A., and Pancost, R. D., 2013b, High-resolution alkenone palaeobarometry indicates relatively stable </t>
    </r>
    <r>
      <rPr>
        <i/>
        <sz val="11"/>
        <rFont val="Arial"/>
        <family val="2"/>
      </rPr>
      <t>p</t>
    </r>
    <r>
      <rPr>
        <sz val="11"/>
        <rFont val="Arial"/>
        <family val="2"/>
      </rPr>
      <t>CO</t>
    </r>
    <r>
      <rPr>
        <vertAlign val="subscript"/>
        <sz val="11"/>
        <rFont val="Arial"/>
        <family val="2"/>
      </rPr>
      <t>2</t>
    </r>
    <r>
      <rPr>
        <sz val="11"/>
        <rFont val="Arial"/>
        <family val="2"/>
      </rPr>
      <t xml:space="preserve"> during the Pliocene (3.3–2.8 Ma): Philosophical Transactions of the Royal Society A, v. 371, 20130094, doi: 10.1098/rsta.2013.0094.</t>
    </r>
  </si>
  <si>
    <r>
      <t>Barclay, R. S., McElwain, J. C., and Sageman, B. B., 2010, Carbon sequestration activated by a volcanic CO</t>
    </r>
    <r>
      <rPr>
        <vertAlign val="subscript"/>
        <sz val="11"/>
        <rFont val="Arial"/>
        <family val="2"/>
      </rPr>
      <t>2</t>
    </r>
    <r>
      <rPr>
        <sz val="11"/>
        <rFont val="Arial"/>
        <family val="2"/>
      </rPr>
      <t xml:space="preserve"> pulse during Ocean Anoxic Event 2: Nature Geoscience, v. 3, p. 205-208, doi: 10.1038/ngeo757.</t>
    </r>
  </si>
  <si>
    <r>
      <t>Bartoli, G., Hönisch, B., and Zeebe, R. E., 2011, Atmospheric CO</t>
    </r>
    <r>
      <rPr>
        <vertAlign val="subscript"/>
        <sz val="11"/>
        <rFont val="Arial"/>
        <family val="2"/>
      </rPr>
      <t>2</t>
    </r>
    <r>
      <rPr>
        <sz val="11"/>
        <rFont val="Arial"/>
        <family val="2"/>
      </rPr>
      <t xml:space="preserve"> decline during the Pliocene intensification of Northern Hemisphere glaciations: Paleoceanography, v. 26, PA4213, doi: 10.1029/2010pa002055.</t>
    </r>
  </si>
  <si>
    <r>
      <t>Beerling, D. J., 2002, Low atmospheric CO</t>
    </r>
    <r>
      <rPr>
        <vertAlign val="subscript"/>
        <sz val="11"/>
        <rFont val="Arial"/>
        <family val="2"/>
      </rPr>
      <t>2</t>
    </r>
    <r>
      <rPr>
        <sz val="11"/>
        <rFont val="Arial"/>
        <family val="2"/>
      </rPr>
      <t xml:space="preserve"> levels during the Permo-Carboniferous glaciation inferred from fossil lycopsids: Proceedings of the National Academy of Sciences USA, v. 99, p. 12567-12571, doi: 10.1073/pnas.202304999.</t>
    </r>
  </si>
  <si>
    <r>
      <t>Beerling, D. J., Fox, A., and Anderson, C. W., 2009, Quantitative uncertainty analyses of ancient atmospheric CO</t>
    </r>
    <r>
      <rPr>
        <vertAlign val="subscript"/>
        <sz val="11"/>
        <rFont val="Arial"/>
        <family val="2"/>
      </rPr>
      <t>2</t>
    </r>
    <r>
      <rPr>
        <sz val="11"/>
        <rFont val="Arial"/>
        <family val="2"/>
      </rPr>
      <t xml:space="preserve"> estimates from fossil leaves: American Journal of Science, v. 309, p. 775-787, doi: 10.2475/09.2009.01.</t>
    </r>
  </si>
  <si>
    <r>
      <t xml:space="preserve">Beerling, D. J., Lomax, B. H., Royer, D. L., Upchurch, G. R., and Kump, L. R., 2002, An atmospheric </t>
    </r>
    <r>
      <rPr>
        <i/>
        <sz val="11"/>
        <rFont val="Arial"/>
        <family val="2"/>
      </rPr>
      <t>p</t>
    </r>
    <r>
      <rPr>
        <sz val="11"/>
        <rFont val="Arial"/>
        <family val="2"/>
      </rPr>
      <t>CO</t>
    </r>
    <r>
      <rPr>
        <vertAlign val="subscript"/>
        <sz val="11"/>
        <rFont val="Arial"/>
        <family val="2"/>
      </rPr>
      <t>2</t>
    </r>
    <r>
      <rPr>
        <sz val="11"/>
        <rFont val="Arial"/>
        <family val="2"/>
      </rPr>
      <t xml:space="preserve"> reconstruction across the Cretaceous-Tertiary boundary from leaf megafossils: Proceedings of the National Academy of Sciences USA, v. 99, p. 7836-7840, doi: 10.1073/pnas.122573099.</t>
    </r>
  </si>
  <si>
    <r>
      <t xml:space="preserve">Beerling, D. J., McElwain, J. C., and Osborne, C. P., 1998, Stomatal responses of the 'living fossil' </t>
    </r>
    <r>
      <rPr>
        <i/>
        <sz val="11"/>
        <rFont val="Arial"/>
        <family val="2"/>
      </rPr>
      <t>Ginkgo biloba</t>
    </r>
    <r>
      <rPr>
        <sz val="11"/>
        <rFont val="Arial"/>
        <family val="2"/>
      </rPr>
      <t xml:space="preserve"> L. to changes in atmospheric CO</t>
    </r>
    <r>
      <rPr>
        <vertAlign val="subscript"/>
        <sz val="11"/>
        <rFont val="Arial"/>
        <family val="2"/>
      </rPr>
      <t>2</t>
    </r>
    <r>
      <rPr>
        <sz val="11"/>
        <rFont val="Arial"/>
        <family val="2"/>
      </rPr>
      <t xml:space="preserve"> concentrations: Journal of Experimental Botany, v. 49, p. 1603-1607, doi: 10.1093/jxb/49.326.1603.</t>
    </r>
  </si>
  <si>
    <r>
      <t>Bonis, N. R., Van Konijnenburg-Van Cittert, J. H. A., and Kürschner, W. M., 2010, Changing CO</t>
    </r>
    <r>
      <rPr>
        <vertAlign val="subscript"/>
        <sz val="11"/>
        <rFont val="Arial"/>
        <family val="2"/>
      </rPr>
      <t>2</t>
    </r>
    <r>
      <rPr>
        <sz val="11"/>
        <rFont val="Arial"/>
        <family val="2"/>
      </rPr>
      <t xml:space="preserve"> conditions during the end-Triassic inferred from stomatal frequency analysis on </t>
    </r>
    <r>
      <rPr>
        <i/>
        <sz val="11"/>
        <rFont val="Arial"/>
        <family val="2"/>
      </rPr>
      <t>Lepidopteris ottonis</t>
    </r>
    <r>
      <rPr>
        <sz val="11"/>
        <rFont val="Arial"/>
        <family val="2"/>
      </rPr>
      <t xml:space="preserve"> (Goeppert) Schimper and </t>
    </r>
    <r>
      <rPr>
        <i/>
        <sz val="11"/>
        <rFont val="Arial"/>
        <family val="2"/>
      </rPr>
      <t>Ginkgoites taeniatus</t>
    </r>
    <r>
      <rPr>
        <sz val="11"/>
        <rFont val="Arial"/>
        <family val="2"/>
      </rPr>
      <t xml:space="preserve"> (Braun) Harris: Palaeogeography Palaeoclimatology Palaeoecology, v. 295, p. 146-161, doi: 10.1016/j.palaeo.2010.05.034.</t>
    </r>
  </si>
  <si>
    <r>
      <t>Breecker, D. O., 2013, Quantifying and understanding the uncertainty of atmospheric CO</t>
    </r>
    <r>
      <rPr>
        <vertAlign val="subscript"/>
        <sz val="11"/>
        <rFont val="Arial"/>
        <family val="2"/>
      </rPr>
      <t>2</t>
    </r>
    <r>
      <rPr>
        <sz val="11"/>
        <rFont val="Arial"/>
        <family val="2"/>
      </rPr>
      <t xml:space="preserve"> concentrations determined from calcic paleosols: Geochemistry, Geophysics, Geosystems, v. 14, p. 3210-3220, doi: 10.1002/ggge.20189.</t>
    </r>
  </si>
  <si>
    <r>
      <t>Breecker, D. O., and Retallack, G. J., 2014, Refining the pedogenic carbonate atmospheric CO</t>
    </r>
    <r>
      <rPr>
        <vertAlign val="subscript"/>
        <sz val="11"/>
        <rFont val="Arial"/>
        <family val="2"/>
      </rPr>
      <t>2</t>
    </r>
    <r>
      <rPr>
        <sz val="11"/>
        <rFont val="Arial"/>
        <family val="2"/>
      </rPr>
      <t xml:space="preserve"> proxy and application to Miocene CO</t>
    </r>
    <r>
      <rPr>
        <vertAlign val="subscript"/>
        <sz val="11"/>
        <rFont val="Arial"/>
        <family val="2"/>
      </rPr>
      <t>2</t>
    </r>
    <r>
      <rPr>
        <sz val="11"/>
        <rFont val="Arial"/>
        <family val="2"/>
      </rPr>
      <t>: Palaeogeography Palaeoclimatology Palaeoecology, v. 406, p. 1-8, doi: 10.1016/j.palaeo.2014.04.012.</t>
    </r>
  </si>
  <si>
    <r>
      <t>Cerling, T. E., 1992, Use of carbon isotopes in paleosols as an indicator of the P(CO</t>
    </r>
    <r>
      <rPr>
        <vertAlign val="subscript"/>
        <sz val="11"/>
        <rFont val="Arial"/>
        <family val="2"/>
      </rPr>
      <t>2</t>
    </r>
    <r>
      <rPr>
        <sz val="11"/>
        <rFont val="Arial"/>
        <family val="2"/>
      </rPr>
      <t>) of the paleoatmosphere: Global Biogeochemical Cycles, v. 6, p. 307-314, doi: 10.1029/92GB01102.</t>
    </r>
  </si>
  <si>
    <r>
      <t xml:space="preserve">Chen, L.-Q., Li, C.-S., Chaloner, W. G., Beerling, D. J., Sun, Q.-G., Collinson, M. E., and Mitchell, P. L., 2001, Assessing the potential for the stomatal characters of extant and fossil </t>
    </r>
    <r>
      <rPr>
        <i/>
        <sz val="11"/>
        <rFont val="Arial"/>
        <family val="2"/>
      </rPr>
      <t>Ginkgo</t>
    </r>
    <r>
      <rPr>
        <sz val="11"/>
        <rFont val="Arial"/>
        <family val="2"/>
      </rPr>
      <t xml:space="preserve"> leaves to signal atmospheric CO</t>
    </r>
    <r>
      <rPr>
        <vertAlign val="subscript"/>
        <sz val="11"/>
        <rFont val="Arial"/>
        <family val="2"/>
      </rPr>
      <t>2</t>
    </r>
    <r>
      <rPr>
        <sz val="11"/>
        <rFont val="Arial"/>
        <family val="2"/>
      </rPr>
      <t xml:space="preserve"> change: American Journal of Botany, v. 88, p. 1309-1315, doi: 10.2307/3558342.</t>
    </r>
  </si>
  <si>
    <r>
      <t xml:space="preserve">Cotton, J. M., and Sheldon, N. D., 2012, New constraints on using paleosols to reconstruct atmospheric </t>
    </r>
    <r>
      <rPr>
        <i/>
        <sz val="11"/>
        <rFont val="Arial"/>
        <family val="2"/>
      </rPr>
      <t>p</t>
    </r>
    <r>
      <rPr>
        <sz val="11"/>
        <rFont val="Arial"/>
        <family val="2"/>
      </rPr>
      <t>CO</t>
    </r>
    <r>
      <rPr>
        <vertAlign val="subscript"/>
        <sz val="11"/>
        <rFont val="Arial"/>
        <family val="2"/>
      </rPr>
      <t>2</t>
    </r>
    <r>
      <rPr>
        <sz val="11"/>
        <rFont val="Arial"/>
        <family val="2"/>
      </rPr>
      <t>: Geological Society of America Bulletin, v. 124, p. 1411-1423, doi: 10.1130/b30607.1.</t>
    </r>
  </si>
  <si>
    <r>
      <t>Da, J., Zhang, Y. G., Wang, H., Balsam, W., and Ji, J., 2015, An Early Pleistocene atmospheric CO</t>
    </r>
    <r>
      <rPr>
        <vertAlign val="subscript"/>
        <sz val="11"/>
        <rFont val="Arial"/>
        <family val="2"/>
      </rPr>
      <t>2</t>
    </r>
    <r>
      <rPr>
        <sz val="11"/>
        <rFont val="Arial"/>
        <family val="2"/>
      </rPr>
      <t xml:space="preserve"> record based on pedogenic carbonate from the Chinese loess deposits: Earth and Planetary Science Letters, v. 426, p. 69-75, doi: 10.1016/j.epsl.2015.05.053.</t>
    </r>
  </si>
  <si>
    <r>
      <t>Dai, J., and Sun, B., 2018, Early Cretaceous atmospheric CO</t>
    </r>
    <r>
      <rPr>
        <vertAlign val="subscript"/>
        <sz val="11"/>
        <rFont val="Arial"/>
        <family val="2"/>
      </rPr>
      <t>2</t>
    </r>
    <r>
      <rPr>
        <sz val="11"/>
        <rFont val="Arial"/>
        <family val="2"/>
      </rPr>
      <t xml:space="preserve"> estimates based on stomatal index of </t>
    </r>
    <r>
      <rPr>
        <i/>
        <sz val="11"/>
        <rFont val="Arial"/>
        <family val="2"/>
      </rPr>
      <t>Pseudofrenelopsis papillosa</t>
    </r>
    <r>
      <rPr>
        <sz val="11"/>
        <rFont val="Arial"/>
        <family val="2"/>
      </rPr>
      <t xml:space="preserve"> (Cheirolepidiaceae) from southeast China: Cretaceous Research, v. 85, p. 232-242, doi: 10.1016/j.cretres.2017.08.011.</t>
    </r>
  </si>
  <si>
    <r>
      <t>Doria, G., Royer, D. L., Wolfe, A. P., Fox, A., Westgate, J. A., and Beerling, D. J., 2011, Declining atmospheric CO</t>
    </r>
    <r>
      <rPr>
        <vertAlign val="subscript"/>
        <sz val="11"/>
        <rFont val="Arial"/>
        <family val="2"/>
      </rPr>
      <t>2</t>
    </r>
    <r>
      <rPr>
        <sz val="11"/>
        <rFont val="Arial"/>
        <family val="2"/>
      </rPr>
      <t xml:space="preserve"> during the late Middle Eocene climate transition: American Journal of Science, v. 311, p. 63-75, doi: 10.2475/01.2011.03.</t>
    </r>
  </si>
  <si>
    <r>
      <t>Driese, S. G., Mora, C. I., and Elick, J. M., 2000, The paleosol record of increasing plant diversity and depth of rooting and changes in atmospheric pCO</t>
    </r>
    <r>
      <rPr>
        <vertAlign val="subscript"/>
        <sz val="11"/>
        <rFont val="Arial"/>
        <family val="2"/>
      </rPr>
      <t>2</t>
    </r>
    <r>
      <rPr>
        <sz val="11"/>
        <rFont val="Arial"/>
        <family val="2"/>
      </rPr>
      <t xml:space="preserve"> in the Siluro-Devonian, </t>
    </r>
    <r>
      <rPr>
        <i/>
        <sz val="11"/>
        <rFont val="Arial"/>
        <family val="2"/>
      </rPr>
      <t>in</t>
    </r>
    <r>
      <rPr>
        <sz val="11"/>
        <rFont val="Arial"/>
        <family val="2"/>
      </rPr>
      <t xml:space="preserve"> Gastaldo, R. A., and DiMichele, W. A., eds., Phanerozoic Terrestrial Ecosystems, Paleontological Society Special Papers 6, p. 47-61</t>
    </r>
  </si>
  <si>
    <r>
      <t xml:space="preserve">Du, B., Lei, X., Zhang, M., Wang, S., Li, A., Du, Z., and Xing, W., 2018, Late Early Cretaceous climate and </t>
    </r>
    <r>
      <rPr>
        <i/>
        <sz val="11"/>
        <rFont val="Arial"/>
        <family val="2"/>
      </rPr>
      <t>p</t>
    </r>
    <r>
      <rPr>
        <sz val="11"/>
        <rFont val="Arial"/>
        <family val="2"/>
      </rPr>
      <t>CO</t>
    </r>
    <r>
      <rPr>
        <vertAlign val="subscript"/>
        <sz val="11"/>
        <rFont val="Arial"/>
        <family val="2"/>
      </rPr>
      <t>2</t>
    </r>
    <r>
      <rPr>
        <sz val="11"/>
        <rFont val="Arial"/>
        <family val="2"/>
      </rPr>
      <t xml:space="preserve"> estimates in the Liupanshan Basin, Northwest China: Palaeogeography, Palaeoclimatology, Palaeoecology, v. 503, p. 26-39, doi: 10.1016/j.palaeo.2018.04.023.</t>
    </r>
  </si>
  <si>
    <r>
      <t>Foster, G. L., Lear, C. H., and Rae, J. W. B., 2012, The evolution of pCO</t>
    </r>
    <r>
      <rPr>
        <vertAlign val="subscript"/>
        <sz val="11"/>
        <rFont val="Arial"/>
        <family val="2"/>
      </rPr>
      <t>2</t>
    </r>
    <r>
      <rPr>
        <sz val="11"/>
        <rFont val="Arial"/>
        <family val="2"/>
      </rPr>
      <t>, ice volume and climate during the middle Miocene: Earth and Planetary Science Letters, v. 341–344, p. 243-254, doi: 10.1016/j.epsl.2012.06.007.</t>
    </r>
  </si>
  <si>
    <r>
      <t xml:space="preserve">Fox, R. C., 1990, The succession of Paleocene mammals in western Canada, </t>
    </r>
    <r>
      <rPr>
        <i/>
        <sz val="11"/>
        <rFont val="Arial"/>
        <family val="2"/>
      </rPr>
      <t>in</t>
    </r>
    <r>
      <rPr>
        <sz val="11"/>
        <rFont val="Arial"/>
        <family val="2"/>
      </rPr>
      <t xml:space="preserve"> Bown, T. M., and Rose, K. D., eds., Dawn of the Age of Mammals in the Northern Part of the Rocky Mountain Interior, North America: Boulder, Geological Society of America Special Paper 243, p. 51-70, doi: 10.1130/SPE243-p51.</t>
    </r>
  </si>
  <si>
    <r>
      <t>Franks, P. J., Royer, D. L., Beerling, D. J., Van de Water, P. K., Cantrill, D. J., Barbour, M. M., and Berry, J. A., 2014, New constraints on atmospheric CO</t>
    </r>
    <r>
      <rPr>
        <vertAlign val="subscript"/>
        <sz val="11"/>
        <rFont val="Arial"/>
        <family val="2"/>
      </rPr>
      <t>2</t>
    </r>
    <r>
      <rPr>
        <sz val="11"/>
        <rFont val="Arial"/>
        <family val="2"/>
      </rPr>
      <t xml:space="preserve"> concentration for the Phanerozoic: Geophysical Research Letters, v. 41, p. 4685-4694, doi: 10.1002/2014gl060457.</t>
    </r>
  </si>
  <si>
    <r>
      <t>Ghosh, P., Bhattacharya, S. K., and Ghosh, P., 2005, Atmospheric CO</t>
    </r>
    <r>
      <rPr>
        <vertAlign val="subscript"/>
        <sz val="11"/>
        <rFont val="Arial"/>
        <family val="2"/>
      </rPr>
      <t>2</t>
    </r>
    <r>
      <rPr>
        <sz val="11"/>
        <rFont val="Arial"/>
        <family val="2"/>
      </rPr>
      <t xml:space="preserve"> during the Late Paleozoic and Mesozoic: estimates from Indian soils, </t>
    </r>
    <r>
      <rPr>
        <i/>
        <sz val="11"/>
        <rFont val="Arial"/>
        <family val="2"/>
      </rPr>
      <t>in</t>
    </r>
    <r>
      <rPr>
        <sz val="11"/>
        <rFont val="Arial"/>
        <family val="2"/>
      </rPr>
      <t xml:space="preserve"> Ehleringer, J. R., Cerling, T. E., and Dearing, M. D., eds., A History of Atmospheric CO</t>
    </r>
    <r>
      <rPr>
        <vertAlign val="subscript"/>
        <sz val="11"/>
        <rFont val="Arial"/>
        <family val="2"/>
      </rPr>
      <t>2</t>
    </r>
    <r>
      <rPr>
        <sz val="11"/>
        <rFont val="Arial"/>
        <family val="2"/>
      </rPr>
      <t xml:space="preserve"> and Its Effects on Plants, Animals, and Ecosystems: New York, Springer, p. 8-34</t>
    </r>
  </si>
  <si>
    <r>
      <t>Ghosh, P., Ghosh, P., and Bhattacharya, S. K., 2001, CO</t>
    </r>
    <r>
      <rPr>
        <vertAlign val="subscript"/>
        <sz val="11"/>
        <rFont val="Arial"/>
        <family val="2"/>
      </rPr>
      <t>2</t>
    </r>
    <r>
      <rPr>
        <sz val="11"/>
        <rFont val="Arial"/>
        <family val="2"/>
      </rPr>
      <t xml:space="preserve"> levels in the Late Palaeozoic and Mesozoic atmosphere from soil carbonate and organic matter, Satpura basin, Central India: Palaeogeography Palaeoclimatology Palaeoecology, v. 170, p. 219-236, doi: 10.1016/S0031-0182(01)00237-1.</t>
    </r>
  </si>
  <si>
    <r>
      <t>Greenop, R., Foster, G. L., Wilson, P. A., and Lear, C. H., 2014, Middle Miocene climate instability associated with high-amplitude CO</t>
    </r>
    <r>
      <rPr>
        <vertAlign val="subscript"/>
        <sz val="11"/>
        <rFont val="Arial"/>
        <family val="2"/>
      </rPr>
      <t>2</t>
    </r>
    <r>
      <rPr>
        <sz val="11"/>
        <rFont val="Arial"/>
        <family val="2"/>
      </rPr>
      <t xml:space="preserve"> variability: Paleoceanography, v. 29, p. 845-853, doi: 10.1002/2014pa002653.</t>
    </r>
  </si>
  <si>
    <r>
      <t>Greenop, R., Sosdian, S. M., Henehan, M. J., Wilson, P. A., Lear, C. H., and Foster, G. L., 2019, Orbital forcing, ice volume, and CO</t>
    </r>
    <r>
      <rPr>
        <vertAlign val="subscript"/>
        <sz val="11"/>
        <rFont val="Arial"/>
        <family val="2"/>
      </rPr>
      <t>2</t>
    </r>
    <r>
      <rPr>
        <sz val="11"/>
        <rFont val="Arial"/>
        <family val="2"/>
      </rPr>
      <t xml:space="preserve"> across the Oligocene-Miocene transition: Paleoceanography and Paleoclimatology, v. 34, p. 316-328, doi: 10.1029/2018pa003420.</t>
    </r>
  </si>
  <si>
    <r>
      <t xml:space="preserve">Greenwood, D. R., Scarr, M. J., and Christophel, D. C., 2003, Leaf stomatal frequency in the Australian tropical rainforest tree </t>
    </r>
    <r>
      <rPr>
        <i/>
        <sz val="11"/>
        <rFont val="Arial"/>
        <family val="2"/>
      </rPr>
      <t>Neolitsea dealbata</t>
    </r>
    <r>
      <rPr>
        <sz val="11"/>
        <rFont val="Arial"/>
        <family val="2"/>
      </rPr>
      <t xml:space="preserve"> (Lauraceae) as a proxy measure of atmospheric </t>
    </r>
    <r>
      <rPr>
        <i/>
        <sz val="11"/>
        <rFont val="Arial"/>
        <family val="2"/>
      </rPr>
      <t>p</t>
    </r>
    <r>
      <rPr>
        <sz val="11"/>
        <rFont val="Arial"/>
        <family val="2"/>
      </rPr>
      <t>CO</t>
    </r>
    <r>
      <rPr>
        <vertAlign val="subscript"/>
        <sz val="11"/>
        <rFont val="Arial"/>
        <family val="2"/>
      </rPr>
      <t>2</t>
    </r>
    <r>
      <rPr>
        <sz val="11"/>
        <rFont val="Arial"/>
        <family val="2"/>
      </rPr>
      <t>: Palaeogeography Palaeoclimatology Palaeoecology, v. 196, p. 375-393, doi: 10.1016/S0031-0182(03)00465-6.</t>
    </r>
  </si>
  <si>
    <r>
      <t>Grein, M., Konrad, W., Wilde, V., Utescher, T., and Roth-Nebelsick, A., 2011, Reconstruction of atmospheric CO</t>
    </r>
    <r>
      <rPr>
        <vertAlign val="subscript"/>
        <sz val="11"/>
        <rFont val="Arial"/>
        <family val="2"/>
      </rPr>
      <t>2</t>
    </r>
    <r>
      <rPr>
        <sz val="11"/>
        <rFont val="Arial"/>
        <family val="2"/>
      </rPr>
      <t xml:space="preserve"> during the early Middle Eocene by application of a gas exchange model to fossil plants from the Messel Formation, Germany: Palaeogeography Palaeoclimatology Palaeoecology, v. 309, p. 383-391, doi: 10.1016/j.palaeo.2011.07.008.</t>
    </r>
  </si>
  <si>
    <r>
      <t>Grein, M., Oehm, C., Konrad, W., Utescher, T., Kunzmann, L., and Roth-Nebelsick, A., 2013, Atmospheric CO</t>
    </r>
    <r>
      <rPr>
        <vertAlign val="subscript"/>
        <sz val="11"/>
        <rFont val="Arial"/>
        <family val="2"/>
      </rPr>
      <t>2</t>
    </r>
    <r>
      <rPr>
        <sz val="11"/>
        <rFont val="Arial"/>
        <family val="2"/>
      </rPr>
      <t xml:space="preserve"> from the late Oligocene to early Miocene based on photosynthesis data and fossil leaf characteristics: Palaeogeography Palaeoclimatology Palaeoecology, v. 374, p. 41-51, doi: 10.1016/j.palaeo.2012.12.025.</t>
    </r>
  </si>
  <si>
    <r>
      <t xml:space="preserve">Haworth, M., Hesselbo, S. P., McElwain, J. C., Robinson, S. A., and Brunt, J. W., 2005, Mid-Cretaceous </t>
    </r>
    <r>
      <rPr>
        <i/>
        <sz val="11"/>
        <rFont val="Arial"/>
        <family val="2"/>
      </rPr>
      <t>p</t>
    </r>
    <r>
      <rPr>
        <sz val="11"/>
        <rFont val="Arial"/>
        <family val="2"/>
      </rPr>
      <t>CO</t>
    </r>
    <r>
      <rPr>
        <vertAlign val="subscript"/>
        <sz val="11"/>
        <rFont val="Arial"/>
        <family val="2"/>
      </rPr>
      <t>2</t>
    </r>
    <r>
      <rPr>
        <sz val="11"/>
        <rFont val="Arial"/>
        <family val="2"/>
      </rPr>
      <t xml:space="preserve"> based on stomata of the extinct conifer </t>
    </r>
    <r>
      <rPr>
        <i/>
        <sz val="11"/>
        <rFont val="Arial"/>
        <family val="2"/>
      </rPr>
      <t>Pseudofrenelopsis</t>
    </r>
    <r>
      <rPr>
        <sz val="11"/>
        <rFont val="Arial"/>
        <family val="2"/>
      </rPr>
      <t xml:space="preserve"> (Cheirolepidiaceae): Geology, v. 33, p. 749-752, doi: 10.1130/G21736.1.</t>
    </r>
  </si>
  <si>
    <r>
      <t xml:space="preserve">Helvaci, C., 1998, The Beypazari trona deposit, Ankara Province, Turkey, </t>
    </r>
    <r>
      <rPr>
        <i/>
        <sz val="11"/>
        <rFont val="Arial"/>
        <family val="2"/>
      </rPr>
      <t>in</t>
    </r>
    <r>
      <rPr>
        <sz val="11"/>
        <rFont val="Arial"/>
        <family val="2"/>
      </rPr>
      <t xml:space="preserve"> Dyni, J. R., and Jones, R. W., eds., Proceedings of the First International Soda Ash Conference, Volume II, Volume Public Information Circular No. 40: Laramie, Wyoming State Geological Survey, p. 67-103</t>
    </r>
  </si>
  <si>
    <r>
      <t xml:space="preserve">Hicks, J. F., Johnson, K. R., Obradovich, J. D., Tauxe, L., and Clark, D., 2002, Magnetostratigraphy and geochronology of the Hell Creek and basal Fort Union Formations of southwestern North Dakota and a recalibration of the age of the Cretaceous-Tertiary boundary, </t>
    </r>
    <r>
      <rPr>
        <i/>
        <sz val="11"/>
        <rFont val="Arial"/>
        <family val="2"/>
      </rPr>
      <t>in</t>
    </r>
    <r>
      <rPr>
        <sz val="11"/>
        <rFont val="Arial"/>
        <family val="2"/>
      </rPr>
      <t xml:space="preserve"> Hartman, J. H., Johnson, K. R., and Nichols, D. J., eds., The Hell Creek Formation and the Cretaceous-Tertiary boundary in the northern Great Plains: an integrated continental record of the end of the Cretaceous: Boulder, Geological Society of America Special Paper 361, p. 35-55, doi: 10.1130/0-8137-2361-2.35.</t>
    </r>
  </si>
  <si>
    <r>
      <t>Huang, C., Retallack, G. J., Wang, C., and Huang, Q., 2013, Paleoatmospheric pCO</t>
    </r>
    <r>
      <rPr>
        <vertAlign val="subscript"/>
        <sz val="11"/>
        <rFont val="Arial"/>
        <family val="2"/>
      </rPr>
      <t>2</t>
    </r>
    <r>
      <rPr>
        <sz val="11"/>
        <rFont val="Arial"/>
        <family val="2"/>
      </rPr>
      <t xml:space="preserve"> fluctuations across the Cretaceous-Tertiary boundary recorded from paleosol carbonates in NE China: Palaeogeography Palaeoclimatology Palaeoecology, v. 385, p. 95-105, doi: 10.1016/j.palaeo.2013.01.005.</t>
    </r>
  </si>
  <si>
    <r>
      <t>Huang, C. M., Retallack, G. J., and Wang, C. S., 2012, Early Cretaceous atmospheric pCO</t>
    </r>
    <r>
      <rPr>
        <vertAlign val="subscript"/>
        <sz val="11"/>
        <rFont val="Arial"/>
        <family val="2"/>
      </rPr>
      <t>2</t>
    </r>
    <r>
      <rPr>
        <sz val="11"/>
        <rFont val="Arial"/>
        <family val="2"/>
      </rPr>
      <t xml:space="preserve"> levels recorded from pedogenic carbonates in China: Cretaceous Research, v. 33, p. 42-49, doi: 10.1016/j.cretres.2011.08.001.</t>
    </r>
  </si>
  <si>
    <r>
      <t>Hyland, E. G., and Sheldon, N. D., 2013, Coupled CO</t>
    </r>
    <r>
      <rPr>
        <vertAlign val="subscript"/>
        <sz val="11"/>
        <rFont val="Arial"/>
        <family val="2"/>
      </rPr>
      <t>2</t>
    </r>
    <r>
      <rPr>
        <sz val="11"/>
        <rFont val="Arial"/>
        <family val="2"/>
      </rPr>
      <t>-climate response during the Early Eocene Climatic Optimum: Palaeogeography Palaeoclimatology Palaeoecology, v. 369, p. 125-135, doi: 10.1016/j.palaeo.2012.10.011.</t>
    </r>
  </si>
  <si>
    <r>
      <t>Jagniecki, E. A., Lowenstein, T. K., Jenkins, D. M., and Demicco, R. V., 2015, Eocene atmospheric CO</t>
    </r>
    <r>
      <rPr>
        <vertAlign val="subscript"/>
        <sz val="11"/>
        <rFont val="Arial"/>
        <family val="2"/>
      </rPr>
      <t>2</t>
    </r>
    <r>
      <rPr>
        <sz val="11"/>
        <rFont val="Arial"/>
        <family val="2"/>
      </rPr>
      <t xml:space="preserve"> from the nahcolite proxy: Geology, v. 43, p. 1075-1078, doi: 10.1130/g36886.1.</t>
    </r>
  </si>
  <si>
    <r>
      <t>Ji, S., Nie, J., Lechler, A., Huntington, K. W., Heitmann, E. O., and Breecker, D. O., 2018, A symmetrical CO</t>
    </r>
    <r>
      <rPr>
        <vertAlign val="subscript"/>
        <sz val="11"/>
        <rFont val="Arial"/>
        <family val="2"/>
      </rPr>
      <t>2</t>
    </r>
    <r>
      <rPr>
        <sz val="11"/>
        <rFont val="Arial"/>
        <family val="2"/>
      </rPr>
      <t xml:space="preserve"> peak and asymmetrical climate change during the middle Miocene: Earth and Planetary Science Letters, v. 499, p. 134-144, doi: 10.1016/j.epsl.2018.07.011.</t>
    </r>
  </si>
  <si>
    <r>
      <t xml:space="preserve">Klochko, K., Cody, G. D., Tossell, J. A., Dera, P., and Kaufman, A. J., 2009, Re-evaluating boron speciation in biogenic calcite and aragonite using </t>
    </r>
    <r>
      <rPr>
        <vertAlign val="superscript"/>
        <sz val="11"/>
        <rFont val="Arial"/>
        <family val="2"/>
      </rPr>
      <t>11</t>
    </r>
    <r>
      <rPr>
        <sz val="11"/>
        <rFont val="Arial"/>
        <family val="2"/>
      </rPr>
      <t>B MAS NMR: Geochimica et Cosmochimica Acta, v. 73, p. 1890-1900, doi: 10.1016/j.gca.2009.01.002.</t>
    </r>
  </si>
  <si>
    <r>
      <t>Kowalczyk, J. B., et al., 2018, Multiple proxy estimates of atmospheric CO</t>
    </r>
    <r>
      <rPr>
        <vertAlign val="subscript"/>
        <sz val="11"/>
        <rFont val="Arial"/>
        <family val="2"/>
      </rPr>
      <t>2</t>
    </r>
    <r>
      <rPr>
        <sz val="11"/>
        <rFont val="Arial"/>
        <family val="2"/>
      </rPr>
      <t xml:space="preserve"> from an early Paleocene rainforest: Paleoceanography and Paleoclimatology, v. 33, p. 1427-1438, doi: 10.1029/2018PA003356.</t>
    </r>
  </si>
  <si>
    <r>
      <t>Kürschner, W. M., van der Burgh, J., Visscher, H., and Dilcher, D. L., 1996, Oak leaves as biosensors of late Neogene and early Pleistocene paleoatmospheric CO</t>
    </r>
    <r>
      <rPr>
        <vertAlign val="subscript"/>
        <sz val="11"/>
        <rFont val="Arial"/>
        <family val="2"/>
      </rPr>
      <t>2</t>
    </r>
    <r>
      <rPr>
        <sz val="11"/>
        <rFont val="Arial"/>
        <family val="2"/>
      </rPr>
      <t xml:space="preserve"> concentrations: Marine Micropaleontology, v. 27, p. 299-312, doi: 10.1016/0377-8398(95)00067-4.</t>
    </r>
  </si>
  <si>
    <r>
      <t>Kürschner, W. M., Wagner, F., Dilcher, D. L., and Visscher, H., 2001, Using fossil leaves for the reconstruction of Cenozoic paleoatmospheric CO</t>
    </r>
    <r>
      <rPr>
        <vertAlign val="subscript"/>
        <sz val="11"/>
        <rFont val="Arial"/>
        <family val="2"/>
      </rPr>
      <t>2</t>
    </r>
    <r>
      <rPr>
        <sz val="11"/>
        <rFont val="Arial"/>
        <family val="2"/>
      </rPr>
      <t xml:space="preserve"> concentrations, </t>
    </r>
    <r>
      <rPr>
        <i/>
        <sz val="11"/>
        <rFont val="Arial"/>
        <family val="2"/>
      </rPr>
      <t>in</t>
    </r>
    <r>
      <rPr>
        <sz val="11"/>
        <rFont val="Arial"/>
        <family val="2"/>
      </rPr>
      <t xml:space="preserve"> Gerhard, L. C., Harrison, W. E., and Hanson, B. M., eds., Geological Perspectives of Global Climate Change, Volume APPG Studies in Geology 47: Tulsa, The American Association of Petroleum Geologists, p. 169-189, doi: 10.1306/St47737C10.</t>
    </r>
  </si>
  <si>
    <r>
      <t xml:space="preserve">Lei, X., Du, Z., Du, B., Zhang, M., and Sun, B., 2018, Middle Cretaceous </t>
    </r>
    <r>
      <rPr>
        <i/>
        <sz val="11"/>
        <rFont val="Arial"/>
        <family val="2"/>
      </rPr>
      <t>p</t>
    </r>
    <r>
      <rPr>
        <sz val="11"/>
        <rFont val="Arial"/>
        <family val="2"/>
      </rPr>
      <t>CO</t>
    </r>
    <r>
      <rPr>
        <vertAlign val="subscript"/>
        <sz val="11"/>
        <rFont val="Arial"/>
        <family val="2"/>
      </rPr>
      <t>2</t>
    </r>
    <r>
      <rPr>
        <sz val="11"/>
        <rFont val="Arial"/>
        <family val="2"/>
      </rPr>
      <t xml:space="preserve"> variation in Yumen, Gansu Province and its response to the climate events: Acta Geologica Sinica, v. 92, p. 801-813, doi: 10.1111/1755-6724.13555.</t>
    </r>
  </si>
  <si>
    <r>
      <t>Li, H., Yu, J., McElwain, J. C., Yiotis, C., and Chen, Z.-Q., 2019, Reconstruction of atmospheric CO</t>
    </r>
    <r>
      <rPr>
        <vertAlign val="subscript"/>
        <sz val="11"/>
        <rFont val="Arial"/>
        <family val="2"/>
      </rPr>
      <t>2</t>
    </r>
    <r>
      <rPr>
        <sz val="11"/>
        <rFont val="Arial"/>
        <family val="2"/>
      </rPr>
      <t xml:space="preserve"> concentration during the late Changhsingian based on fossil conifers from the Dalong Formation in South China: Palaeogeography, Palaeoclimatology, Palaeoecology, v. 519, p. 37-48, doi: 10.1016/j.palaeo.2018.09.006.</t>
    </r>
  </si>
  <si>
    <r>
      <t>Li, X., Jenkyns, H. C., Zhang, C., Wang, Y., Liu, L., and Cao, K., 2014, Carbon isotope signatures of pedogenic carbonates from SE China: rapid atmospheric pCO</t>
    </r>
    <r>
      <rPr>
        <vertAlign val="subscript"/>
        <sz val="11"/>
        <rFont val="Arial"/>
        <family val="2"/>
      </rPr>
      <t>2</t>
    </r>
    <r>
      <rPr>
        <sz val="11"/>
        <rFont val="Arial"/>
        <family val="2"/>
      </rPr>
      <t xml:space="preserve"> changes during middle–late Early Cretaceous time: Geological Magazine, v. 151, p. 830-849, doi: 10.1017/S0016756813000897.</t>
    </r>
  </si>
  <si>
    <r>
      <t xml:space="preserve">Liu, X. Y., Gao, Q., Han, M., and Jin, J. H., 2016, Estimates of late middle Eocene </t>
    </r>
    <r>
      <rPr>
        <i/>
        <sz val="11"/>
        <rFont val="Arial"/>
        <family val="2"/>
      </rPr>
      <t>p</t>
    </r>
    <r>
      <rPr>
        <sz val="11"/>
        <rFont val="Arial"/>
        <family val="2"/>
      </rPr>
      <t>CO</t>
    </r>
    <r>
      <rPr>
        <vertAlign val="subscript"/>
        <sz val="11"/>
        <rFont val="Arial"/>
        <family val="2"/>
      </rPr>
      <t>2</t>
    </r>
    <r>
      <rPr>
        <sz val="11"/>
        <rFont val="Arial"/>
        <family val="2"/>
      </rPr>
      <t xml:space="preserve"> based on stomatal density of modern and fossil </t>
    </r>
    <r>
      <rPr>
        <i/>
        <sz val="11"/>
        <rFont val="Arial"/>
        <family val="2"/>
      </rPr>
      <t xml:space="preserve">Nageia </t>
    </r>
    <r>
      <rPr>
        <sz val="11"/>
        <rFont val="Arial"/>
        <family val="2"/>
      </rPr>
      <t>leaves: Climate of the Past, v. 12, p. 241-253, doi: 10.5194/cp-12-241-2016.</t>
    </r>
  </si>
  <si>
    <r>
      <t>Londoño, L., Royer, D. L., Jaramillo, C., Escobar, J., Foster, D. A., Cárdenas-Rozo, A. L., and Wood, A., 2018, Early Miocene CO</t>
    </r>
    <r>
      <rPr>
        <vertAlign val="subscript"/>
        <sz val="11"/>
        <rFont val="Arial"/>
        <family val="2"/>
      </rPr>
      <t>2</t>
    </r>
    <r>
      <rPr>
        <sz val="11"/>
        <rFont val="Arial"/>
        <family val="2"/>
      </rPr>
      <t xml:space="preserve"> estimates from a Neotropical fossil assemblage exceed 400 ppm: American Journal of Botany, v. 105, p. 1929-1937, doi: 10.1002/ajb2.1187.</t>
    </r>
  </si>
  <si>
    <r>
      <t>Lowenstein, T. K., and Demicco, R. V., 2006, Elevated Eocene atmospheric CO</t>
    </r>
    <r>
      <rPr>
        <vertAlign val="subscript"/>
        <sz val="11"/>
        <rFont val="Arial"/>
        <family val="2"/>
      </rPr>
      <t>2</t>
    </r>
    <r>
      <rPr>
        <sz val="11"/>
        <rFont val="Arial"/>
        <family val="2"/>
      </rPr>
      <t xml:space="preserve"> and its subsequent decline: Science, v. 313, p. 1928, doi: 10.1126/science.1129555.</t>
    </r>
  </si>
  <si>
    <r>
      <t>Martínez-Botí, M. A., Foster, G. L., Chalk, T. B., Rohling, E. J., Sexton, P. F., Lunt, D. J., Pancost, R. D., Badger, M. P. S., and Schmidt, D. N., 2015, Plio-Pleistocene climate sensitivity evaluated using high-resolution CO</t>
    </r>
    <r>
      <rPr>
        <vertAlign val="subscript"/>
        <sz val="11"/>
        <rFont val="Arial"/>
        <family val="2"/>
      </rPr>
      <t>2</t>
    </r>
    <r>
      <rPr>
        <sz val="11"/>
        <rFont val="Arial"/>
        <family val="2"/>
      </rPr>
      <t xml:space="preserve"> records: Nature, v. 518, p. 49-54, doi: 10.1038/nature14145.</t>
    </r>
  </si>
  <si>
    <r>
      <t>Martínez, C., Gandolfo, M. A., and Cúneo, N. R., 2018, Angiosperm leaves and cuticles from the uppermost Cretaceous of Patagonia, biogeographic implications and atmospheric paleo-CO</t>
    </r>
    <r>
      <rPr>
        <vertAlign val="subscript"/>
        <sz val="11"/>
        <rFont val="Arial"/>
        <family val="2"/>
      </rPr>
      <t>2</t>
    </r>
    <r>
      <rPr>
        <sz val="11"/>
        <rFont val="Arial"/>
        <family val="2"/>
      </rPr>
      <t xml:space="preserve"> estimates: Cretaceous Research, v. 89, p. 107-118, doi: 10.1016/j.cretres.2018.03.015.</t>
    </r>
  </si>
  <si>
    <r>
      <t>Maxbauer, D. P., Royer, D. L., and LePage, B. A., 2014, High Arctic forests during the middle Eocene supported by moderate levels of atmospheric CO</t>
    </r>
    <r>
      <rPr>
        <vertAlign val="subscript"/>
        <sz val="11"/>
        <rFont val="Arial"/>
        <family val="2"/>
      </rPr>
      <t>2</t>
    </r>
    <r>
      <rPr>
        <sz val="11"/>
        <rFont val="Arial"/>
        <family val="2"/>
      </rPr>
      <t>: Geology, v. 42, p. 1027-1030, doi: 10.1130/g36014.1.</t>
    </r>
  </si>
  <si>
    <r>
      <t xml:space="preserve">Mays, C., Steinthorsdottir, M., and Stilwell, J. D., 2015, Climatic implications of </t>
    </r>
    <r>
      <rPr>
        <i/>
        <sz val="11"/>
        <rFont val="Arial"/>
        <family val="2"/>
      </rPr>
      <t>Ginkgoites waarrensis</t>
    </r>
    <r>
      <rPr>
        <sz val="11"/>
        <rFont val="Arial"/>
        <family val="2"/>
      </rPr>
      <t xml:space="preserve"> Douglas emend. from the south polar Tupuangi flora, Late Cretaceous (Cenomanian), Chatham Islands: Palaeogeography, Palaeoclimatology, Palaeoecology, v. 438, p. 308-326, doi: 10.1016/j.palaeo.2015.08.011.</t>
    </r>
  </si>
  <si>
    <r>
      <t>McElwain, J. C., 1998, Do fossil plants signal palaeoatmospheric CO</t>
    </r>
    <r>
      <rPr>
        <vertAlign val="subscript"/>
        <sz val="11"/>
        <rFont val="Arial"/>
        <family val="2"/>
      </rPr>
      <t>2</t>
    </r>
    <r>
      <rPr>
        <sz val="11"/>
        <rFont val="Arial"/>
        <family val="2"/>
      </rPr>
      <t xml:space="preserve"> concentration in the geological past?: Philosophical Transactions of the Royal Society London B, v. 353, p. 83-96, doi: 10.1098/rstb.1998.0193.</t>
    </r>
  </si>
  <si>
    <r>
      <t xml:space="preserve">Mertz, D., and Renne, P., 2005, A numerical age for the Messel fossil deposit (UNESCO World Heritage Site derived from </t>
    </r>
    <r>
      <rPr>
        <vertAlign val="superscript"/>
        <sz val="11"/>
        <rFont val="Arial"/>
        <family val="2"/>
      </rPr>
      <t>40</t>
    </r>
    <r>
      <rPr>
        <sz val="11"/>
        <rFont val="Arial"/>
        <family val="2"/>
      </rPr>
      <t>Ar/</t>
    </r>
    <r>
      <rPr>
        <vertAlign val="superscript"/>
        <sz val="11"/>
        <rFont val="Arial"/>
        <family val="2"/>
      </rPr>
      <t>39</t>
    </r>
    <r>
      <rPr>
        <sz val="11"/>
        <rFont val="Arial"/>
        <family val="2"/>
      </rPr>
      <t>Ar dating on a basaltic rock fragment: Courier Forschungsinstitut Senckenberg, v. 255, p. 67-75</t>
    </r>
  </si>
  <si>
    <r>
      <t>Milligan, J. N., Royer, D. L., Franks, P. J., Upchurch, G. R., and McKee, M. L., 2019, No evidence for a large atmospheric CO</t>
    </r>
    <r>
      <rPr>
        <vertAlign val="subscript"/>
        <sz val="11"/>
        <rFont val="Arial"/>
        <family val="2"/>
      </rPr>
      <t>2</t>
    </r>
    <r>
      <rPr>
        <sz val="11"/>
        <rFont val="Arial"/>
        <family val="2"/>
      </rPr>
      <t xml:space="preserve"> spike across the Cretaceous-Paleogene boundary: Geophysical Research Letters, v. 46, p. 3462-3472, doi: 10.1029/2018GL081215.</t>
    </r>
  </si>
  <si>
    <r>
      <t>Montañez, I. P., 2013, Modern soil system constraints on reconstructing deep-time atmospheric CO</t>
    </r>
    <r>
      <rPr>
        <vertAlign val="subscript"/>
        <sz val="11"/>
        <rFont val="Arial"/>
        <family val="2"/>
      </rPr>
      <t>2</t>
    </r>
    <r>
      <rPr>
        <sz val="11"/>
        <rFont val="Arial"/>
        <family val="2"/>
      </rPr>
      <t>: Geochimica et Cosmochimica Acta, v. 101, p. 57-75, doi: 10.1016/j.gca.2012.10.012.</t>
    </r>
  </si>
  <si>
    <r>
      <t xml:space="preserve">Montañez, I. P., McElwain, J. C., Poulsen, C. J., White, J. D., DiMichele, W. A., Wilson, J. P., Griggs, G., and Hren, M. T., 2016, Climate, </t>
    </r>
    <r>
      <rPr>
        <i/>
        <sz val="11"/>
        <rFont val="Arial"/>
        <family val="2"/>
      </rPr>
      <t>p</t>
    </r>
    <r>
      <rPr>
        <vertAlign val="subscript"/>
        <sz val="11"/>
        <rFont val="Arial"/>
        <family val="2"/>
      </rPr>
      <t>CO2</t>
    </r>
    <r>
      <rPr>
        <sz val="11"/>
        <rFont val="Arial"/>
        <family val="2"/>
      </rPr>
      <t xml:space="preserve"> and terrestrial carbon cycle linkages during late Palaeozoic glacial-interglacial cycles: Nature Geoscience, v. 9, p. 824-828, doi: 10.1038/ngeo2822.</t>
    </r>
  </si>
  <si>
    <r>
      <t>Montañez, I. P., Tabor, N. J., Niemeier, D., DiMichele, W. A., Frank, T. D., Fielding, C. R., Isbell, J. L., Birgenheier, L. P., and Rygel, M. C., 2007, CO</t>
    </r>
    <r>
      <rPr>
        <vertAlign val="subscript"/>
        <sz val="11"/>
        <rFont val="Arial"/>
        <family val="2"/>
      </rPr>
      <t>2</t>
    </r>
    <r>
      <rPr>
        <sz val="11"/>
        <rFont val="Arial"/>
        <family val="2"/>
      </rPr>
      <t>-forced climate and vegetation instability during late Paleozoic deglaciation: Science, v. 315, p. 87-91, doi: 10.1126/science.1134207.</t>
    </r>
  </si>
  <si>
    <r>
      <t>Mora, C. I., Driese, S. G., and Colarusso, L. A., 1996, Middle and late Paleozoic atmospheric CO</t>
    </r>
    <r>
      <rPr>
        <vertAlign val="subscript"/>
        <sz val="11"/>
        <rFont val="Arial"/>
        <family val="2"/>
      </rPr>
      <t>2</t>
    </r>
    <r>
      <rPr>
        <sz val="11"/>
        <rFont val="Arial"/>
        <family val="2"/>
      </rPr>
      <t xml:space="preserve"> levels from soil carbonate and organic matter: Science, v. 271, p. 1105-1107, doi: 10.1126/science.271.5252.1105.</t>
    </r>
  </si>
  <si>
    <r>
      <t>Moraweck, K., Grein, M., Konrad, W., Kvaček, J., Kova-Eder, J., Neinhuis, C., Traiser, C., and Kunzmann, L., 2019, Leaf traits of long-ranging Paleogene species and their relationship with depositional facies, climate and atmospheric CO</t>
    </r>
    <r>
      <rPr>
        <vertAlign val="subscript"/>
        <sz val="11"/>
        <rFont val="Arial"/>
        <family val="2"/>
      </rPr>
      <t>2</t>
    </r>
    <r>
      <rPr>
        <sz val="11"/>
        <rFont val="Arial"/>
        <family val="2"/>
      </rPr>
      <t xml:space="preserve"> level: Palaeontographica Abteilung B, v. 298, p. 93-172, doi: 10.1127/palb/2019/0062.</t>
    </r>
  </si>
  <si>
    <r>
      <t>Mortazavi, M., Moussavi-Harami, R., Brenner, R. L., Mahboubi, A., and Nadjafi, M., 2013, Stable isotope record in pedogenic carbonates in northeast Iran: Implications for Early Cretaceous (Berriasian–Barremian) paleovegetation and paleoatmospheric P(CO</t>
    </r>
    <r>
      <rPr>
        <vertAlign val="subscript"/>
        <sz val="11"/>
        <rFont val="Arial"/>
        <family val="2"/>
      </rPr>
      <t>2</t>
    </r>
    <r>
      <rPr>
        <sz val="11"/>
        <rFont val="Arial"/>
        <family val="2"/>
      </rPr>
      <t>) levels: Geoderma, v. 211–212, p. 85-97, doi: 10.1016/j.geoderma.2013.07.008.</t>
    </r>
  </si>
  <si>
    <r>
      <t>Muchez, P., Peeters, C., Keppens, E., and Viaene, W. A., 1993, Stable isotopic composition of paleosols in the Lower Visan of eastern Belgium: evidence of evaporation and soil-gas CO</t>
    </r>
    <r>
      <rPr>
        <vertAlign val="subscript"/>
        <sz val="11"/>
        <rFont val="Arial"/>
        <family val="2"/>
      </rPr>
      <t>2</t>
    </r>
    <r>
      <rPr>
        <sz val="11"/>
        <rFont val="Arial"/>
        <family val="2"/>
      </rPr>
      <t>: Chemical Geology, v. 106, p. 389-396, doi: 10.1016/0009-2541(93)90039-L.</t>
    </r>
  </si>
  <si>
    <r>
      <t>Nordt, L., Atchley, S., and Dworkin, S., 2002, Paleosol barometer indicates extreme fluctuations in atmospheric CO</t>
    </r>
    <r>
      <rPr>
        <vertAlign val="subscript"/>
        <sz val="11"/>
        <rFont val="Arial"/>
        <family val="2"/>
      </rPr>
      <t>2</t>
    </r>
    <r>
      <rPr>
        <sz val="11"/>
        <rFont val="Arial"/>
        <family val="2"/>
      </rPr>
      <t xml:space="preserve"> across the Cretaceous-Tertiary boundary: Geology, v. 30, p. 703-706, doi: 10.1130/0091-7613(2002)030&lt;0703:PBIEFI&gt;2.0.CO;2.</t>
    </r>
  </si>
  <si>
    <r>
      <t xml:space="preserve">Olsen, P. E., Whiteside, J. H., LeTourneau, P., and Huber, P., 2005, Jurassic cyclostratigraphy and paleontology of the Hartford Basin, </t>
    </r>
    <r>
      <rPr>
        <i/>
        <sz val="11"/>
        <rFont val="Arial"/>
        <family val="2"/>
      </rPr>
      <t>in</t>
    </r>
    <r>
      <rPr>
        <sz val="11"/>
        <rFont val="Arial"/>
        <family val="2"/>
      </rPr>
      <t xml:space="preserve"> McHone, N. W., and Peterson, M. J., eds., New England Intercollegiate Geological Conference: Guidebook for Field Trips in Connecticut, State Geological and Natural History Survey of Connecticut Guidebook No. 8, p. 55-105</t>
    </r>
  </si>
  <si>
    <r>
      <t>Pagani, M., Lemarchand, D., Spivack, A., and Gaillardet, J., 2005, A critical evaluation of the boron isotope-</t>
    </r>
    <r>
      <rPr>
        <i/>
        <sz val="11"/>
        <rFont val="Arial"/>
        <family val="2"/>
      </rPr>
      <t>p</t>
    </r>
    <r>
      <rPr>
        <sz val="11"/>
        <rFont val="Arial"/>
        <family val="2"/>
      </rPr>
      <t xml:space="preserve">H proxy: the accuracy of ancient ocean </t>
    </r>
    <r>
      <rPr>
        <i/>
        <sz val="11"/>
        <rFont val="Arial"/>
        <family val="2"/>
      </rPr>
      <t>p</t>
    </r>
    <r>
      <rPr>
        <sz val="11"/>
        <rFont val="Arial"/>
        <family val="2"/>
      </rPr>
      <t>H estimates: Geochimica et Cosmochimica Acta, v. 69, p. 953-961, doi: 10.1016/j.gca.2004.07.029.</t>
    </r>
  </si>
  <si>
    <r>
      <t xml:space="preserve">Passalia, M. G., 2009, Cretaceous </t>
    </r>
    <r>
      <rPr>
        <i/>
        <sz val="11"/>
        <rFont val="Arial"/>
        <family val="2"/>
      </rPr>
      <t>p</t>
    </r>
    <r>
      <rPr>
        <sz val="11"/>
        <rFont val="Arial"/>
        <family val="2"/>
      </rPr>
      <t>CO</t>
    </r>
    <r>
      <rPr>
        <vertAlign val="subscript"/>
        <sz val="11"/>
        <rFont val="Arial"/>
        <family val="2"/>
      </rPr>
      <t>2</t>
    </r>
    <r>
      <rPr>
        <sz val="11"/>
        <rFont val="Arial"/>
        <family val="2"/>
      </rPr>
      <t xml:space="preserve"> estimation from stomatal frequency analysis of gymnosperm leaves of Patagonia, Argentina: Palaeogeography Palaeoclimatology Palaeoecology, v. 273, p. 17-24, doi: 10.1016/j.palaeo.2008.11.010.</t>
    </r>
  </si>
  <si>
    <r>
      <t>Quade, J., and Cerling, T. E., 1995, Expansion of C</t>
    </r>
    <r>
      <rPr>
        <vertAlign val="subscript"/>
        <sz val="11"/>
        <rFont val="Arial"/>
        <family val="2"/>
      </rPr>
      <t>4</t>
    </r>
    <r>
      <rPr>
        <sz val="11"/>
        <rFont val="Arial"/>
        <family val="2"/>
      </rPr>
      <t xml:space="preserve"> grasses in the Late Miocene of Northern Pakistan: evidence from stable isotopes in paleosols: Palaeogeography Palaeoclimatology Palaeoecology, v. 115, p. 91-116, doi: 10.1016/0031-0182(94)00108-k.</t>
    </r>
  </si>
  <si>
    <r>
      <t>Quan, C., Sun, C., Sun, Y., and Sun, G., 2009, High resolution estimates of paleo-CO</t>
    </r>
    <r>
      <rPr>
        <vertAlign val="subscript"/>
        <sz val="11"/>
        <rFont val="Arial"/>
        <family val="2"/>
      </rPr>
      <t>2</t>
    </r>
    <r>
      <rPr>
        <sz val="11"/>
        <rFont val="Arial"/>
        <family val="2"/>
      </rPr>
      <t xml:space="preserve"> levels through the Campanian (Late Cretaceous) based on </t>
    </r>
    <r>
      <rPr>
        <i/>
        <sz val="11"/>
        <rFont val="Arial"/>
        <family val="2"/>
      </rPr>
      <t xml:space="preserve">Ginkgo </t>
    </r>
    <r>
      <rPr>
        <sz val="11"/>
        <rFont val="Arial"/>
        <family val="2"/>
      </rPr>
      <t>cuticles: Cretaceous Research, v. 30, p. 424-428, doi: 10.1016/j.cretres.2008.08.004.</t>
    </r>
  </si>
  <si>
    <r>
      <t xml:space="preserve">Reichgelt, T., D'Andrea, W. J., and Fox, B. R. S., 2016, Abrupt plant physiological changes in southern New Zealand at the termination of the Mi-1 event reflect shifts in hydroclimate and </t>
    </r>
    <r>
      <rPr>
        <i/>
        <sz val="11"/>
        <rFont val="Arial"/>
        <family val="2"/>
      </rPr>
      <t>p</t>
    </r>
    <r>
      <rPr>
        <sz val="11"/>
        <rFont val="Arial"/>
        <family val="2"/>
      </rPr>
      <t>CO</t>
    </r>
    <r>
      <rPr>
        <vertAlign val="subscript"/>
        <sz val="11"/>
        <rFont val="Arial"/>
        <family val="2"/>
      </rPr>
      <t>2</t>
    </r>
    <r>
      <rPr>
        <sz val="11"/>
        <rFont val="Arial"/>
        <family val="2"/>
      </rPr>
      <t>: Earth and Planetary Science Letters, v. 455, p. 115-124, doi: 10.1016/j.epsl.2016.09.026.</t>
    </r>
  </si>
  <si>
    <r>
      <t>Retallack, G. J., 2009b, Refining a pedogenic-carbonate CO</t>
    </r>
    <r>
      <rPr>
        <vertAlign val="subscript"/>
        <sz val="11"/>
        <rFont val="Arial"/>
        <family val="2"/>
      </rPr>
      <t>2</t>
    </r>
    <r>
      <rPr>
        <sz val="11"/>
        <rFont val="Arial"/>
        <family val="2"/>
      </rPr>
      <t xml:space="preserve"> paleobarometer to quantify a middle Miocene greenhouse spike: Palaeogeography Palaeoclimatology Palaeoecology, v. 281, p. 57-65, doi: 10.1016/j.palaeo.2009.07.011.</t>
    </r>
  </si>
  <si>
    <r>
      <t>Richey, J. D., Upchurch, G. R., Montañez, I. P., Lomax, B. H., Suarez, M. B., Crout, N. M. J., Joeckel, R. M., Ludvigson, G. A., and Smith, J. J., 2018, Changes in CO</t>
    </r>
    <r>
      <rPr>
        <vertAlign val="subscript"/>
        <sz val="11"/>
        <rFont val="Arial"/>
        <family val="2"/>
      </rPr>
      <t>2</t>
    </r>
    <r>
      <rPr>
        <sz val="11"/>
        <rFont val="Arial"/>
        <family val="2"/>
      </rPr>
      <t xml:space="preserve"> during Ocean Anoxic Event 1d indicate similarities to other carbon cycle perturbations: Earth and Planetary Science Letters, v. 491, p. 172-182, doi: 10.1016/j.epsl.2018.03.035.</t>
    </r>
  </si>
  <si>
    <r>
      <t xml:space="preserve">Robinson, S. A., Andrews, J. E., Hesselbo, S. P., Radley, J. D., Dennis, P. F., Harding, I. C., and Allen, P., 2002, Atmospheric </t>
    </r>
    <r>
      <rPr>
        <i/>
        <sz val="11"/>
        <rFont val="Arial"/>
        <family val="2"/>
      </rPr>
      <t>p</t>
    </r>
    <r>
      <rPr>
        <sz val="11"/>
        <rFont val="Arial"/>
        <family val="2"/>
      </rPr>
      <t>CO</t>
    </r>
    <r>
      <rPr>
        <vertAlign val="subscript"/>
        <sz val="11"/>
        <rFont val="Arial"/>
        <family val="2"/>
      </rPr>
      <t>2</t>
    </r>
    <r>
      <rPr>
        <sz val="11"/>
        <rFont val="Arial"/>
        <family val="2"/>
      </rPr>
      <t xml:space="preserve"> and depositional environment from stable-isotope geochemistry of calcrete nodules (Barremian, Lower Cretaceous, Wealden Beds, England): Journal of the Geological Society, London, v. 159, p. 215-224, doi: 10.1144/0016-764901-015.</t>
    </r>
  </si>
  <si>
    <r>
      <t xml:space="preserve">Roth-Nebelsick, A., Grein, M., Utescher, T., and Konrad, W., 2012, Stomatal pore length change in leaves of </t>
    </r>
    <r>
      <rPr>
        <i/>
        <sz val="11"/>
        <rFont val="Arial"/>
        <family val="2"/>
      </rPr>
      <t>Eotrigonobalanus furcinervis</t>
    </r>
    <r>
      <rPr>
        <sz val="11"/>
        <rFont val="Arial"/>
        <family val="2"/>
      </rPr>
      <t xml:space="preserve"> (Fagaceae) from the Late Eocene to the Latest Oligocene and its impact on gas exchange and CO</t>
    </r>
    <r>
      <rPr>
        <vertAlign val="subscript"/>
        <sz val="11"/>
        <rFont val="Arial"/>
        <family val="2"/>
      </rPr>
      <t>2</t>
    </r>
    <r>
      <rPr>
        <sz val="11"/>
        <rFont val="Arial"/>
        <family val="2"/>
      </rPr>
      <t xml:space="preserve"> reconstruction: Review of Palaeobotany and Palynology, v. 174, p. 106-112, doi: 10.1016/j.revpalbo.2012.01.001.</t>
    </r>
  </si>
  <si>
    <r>
      <t>Roth-Nebelsick, A., and Konrad, W., 2003, Assimilation and transpiration capabilities of rhyniophytic plants from the Lower Devonian and their implications for paleoatmospheric CO</t>
    </r>
    <r>
      <rPr>
        <vertAlign val="subscript"/>
        <sz val="11"/>
        <rFont val="Arial"/>
        <family val="2"/>
      </rPr>
      <t>2</t>
    </r>
    <r>
      <rPr>
        <sz val="11"/>
        <rFont val="Arial"/>
        <family val="2"/>
      </rPr>
      <t xml:space="preserve"> concentration: Palaeogeography Palaeoclimatology Palaeoecology, v. 202, p. 153-178, doi: 10.1016/S0031-0182(03)00634-5.</t>
    </r>
  </si>
  <si>
    <r>
      <t xml:space="preserve">Roth-Nebelsick, A., Oehm, C., Grein, M., Utescher, T., Kunzmann, L., Friedrich, J.-P., and Konrad, W., 2014, Stomatal density and index data of </t>
    </r>
    <r>
      <rPr>
        <i/>
        <sz val="11"/>
        <rFont val="Arial"/>
        <family val="2"/>
      </rPr>
      <t>Platanus neptuni</t>
    </r>
    <r>
      <rPr>
        <sz val="11"/>
        <rFont val="Arial"/>
        <family val="2"/>
      </rPr>
      <t xml:space="preserve"> leaf fossils and their evaluation as a CO</t>
    </r>
    <r>
      <rPr>
        <vertAlign val="subscript"/>
        <sz val="11"/>
        <rFont val="Arial"/>
        <family val="2"/>
      </rPr>
      <t>2</t>
    </r>
    <r>
      <rPr>
        <sz val="11"/>
        <rFont val="Arial"/>
        <family val="2"/>
      </rPr>
      <t xml:space="preserve"> proxy for the Oligocene: Review of Palaeobotany and Palynology, v. 206, p. 1-9, doi: 10.1016/j.revpalbo.2014.03.001.</t>
    </r>
  </si>
  <si>
    <r>
      <t>Roth-Nebelsick, A., Utescher, T., Mosbrugger, V., Diester-Haass, L., and Walther, H., 2004, Changes in atmospheric CO</t>
    </r>
    <r>
      <rPr>
        <vertAlign val="subscript"/>
        <sz val="11"/>
        <rFont val="Arial"/>
        <family val="2"/>
      </rPr>
      <t>2</t>
    </r>
    <r>
      <rPr>
        <sz val="11"/>
        <rFont val="Arial"/>
        <family val="2"/>
      </rPr>
      <t xml:space="preserve"> concentrations and climate from the Late Eocene to Early Miocene: palaeobotanical reconstruction based on fossil floras from Saxony, Germany: Palaeogeography Palaeoclimatology Palaeoecology, v. 205, p. 43-67, doi: 10.1016/j.palaeo.2003.11.014.</t>
    </r>
  </si>
  <si>
    <r>
      <t>Royer, D. L., 2003, Estimating latest Cretaceous and Tertiary atmospheric CO</t>
    </r>
    <r>
      <rPr>
        <vertAlign val="subscript"/>
        <sz val="11"/>
        <rFont val="Arial"/>
        <family val="2"/>
      </rPr>
      <t>2</t>
    </r>
    <r>
      <rPr>
        <sz val="11"/>
        <rFont val="Arial"/>
        <family val="2"/>
      </rPr>
      <t xml:space="preserve"> concentration from stomatal indices, </t>
    </r>
    <r>
      <rPr>
        <i/>
        <sz val="11"/>
        <rFont val="Arial"/>
        <family val="2"/>
      </rPr>
      <t>in</t>
    </r>
    <r>
      <rPr>
        <sz val="11"/>
        <rFont val="Arial"/>
        <family val="2"/>
      </rPr>
      <t xml:space="preserve"> Wing, S. L., Gingerich, P. D., Schmitz, B., and Thomas, E., eds., Causes and Consequences of Globally Warm Climates in the Early Paleogene: Boulder, Geological Society of America Special Paper 369, p. 79-93, doi: 10.1130/0-8137-2369-8.79.</t>
    </r>
  </si>
  <si>
    <r>
      <t>Royer, D. L., Berner, R. A., and Beerling, D. J., 2001a, Phanerozoic CO</t>
    </r>
    <r>
      <rPr>
        <vertAlign val="subscript"/>
        <sz val="11"/>
        <rFont val="Arial"/>
        <family val="2"/>
      </rPr>
      <t>2</t>
    </r>
    <r>
      <rPr>
        <sz val="11"/>
        <rFont val="Arial"/>
        <family val="2"/>
      </rPr>
      <t xml:space="preserve"> change: evaluating geochemical and paleobiological approaches: Earth-Science Reviews, v. 54, p. 349-392, doi: 10.1016/S0012-8252(00)00042-8.</t>
    </r>
  </si>
  <si>
    <r>
      <t>Royer, D. L., Wing, S. L., Beerling, D. J., Jolley, D. W., Koch, P. L., Hickey, L. J., and Berner, R. A., 2001b, Paleobotanical evidence for near present-day levels of atmospheric CO</t>
    </r>
    <r>
      <rPr>
        <vertAlign val="subscript"/>
        <sz val="11"/>
        <rFont val="Arial"/>
        <family val="2"/>
      </rPr>
      <t>2</t>
    </r>
    <r>
      <rPr>
        <sz val="11"/>
        <rFont val="Arial"/>
        <family val="2"/>
      </rPr>
      <t xml:space="preserve"> during part of the Tertiary: Science, v. 292, p. 2310-2313, doi: 10.1126/science.292.5525.2310.</t>
    </r>
  </si>
  <si>
    <r>
      <t>Sandler, A., 2006, Estimates of atmospheric CO</t>
    </r>
    <r>
      <rPr>
        <vertAlign val="subscript"/>
        <sz val="11"/>
        <rFont val="Arial"/>
        <family val="2"/>
      </rPr>
      <t>2</t>
    </r>
    <r>
      <rPr>
        <sz val="11"/>
        <rFont val="Arial"/>
        <family val="2"/>
      </rPr>
      <t xml:space="preserve"> levels during the mid-Turonian derived from stable isotope composition of paleosol calcite from Israel, </t>
    </r>
    <r>
      <rPr>
        <i/>
        <sz val="11"/>
        <rFont val="Arial"/>
        <family val="2"/>
      </rPr>
      <t>in</t>
    </r>
    <r>
      <rPr>
        <sz val="11"/>
        <rFont val="Arial"/>
        <family val="2"/>
      </rPr>
      <t xml:space="preserve"> Alonso-Zarza, A. M., and Tanner, L. H., eds., Paleoenvironmental Record and Applications of Calcretes and Palustrine Carbonates: Boulder, Geological Society of America Special Paper 416, p. 75-88, doi: 10.1130/2006.2416(05).</t>
    </r>
  </si>
  <si>
    <r>
      <t xml:space="preserve">Schaller, M. F., Wright, J. D., and Kent, D. V., 2011, Atmospheric </t>
    </r>
    <r>
      <rPr>
        <i/>
        <sz val="11"/>
        <rFont val="Arial"/>
        <family val="2"/>
      </rPr>
      <t>P</t>
    </r>
    <r>
      <rPr>
        <sz val="11"/>
        <rFont val="Arial"/>
        <family val="2"/>
      </rPr>
      <t>co</t>
    </r>
    <r>
      <rPr>
        <vertAlign val="subscript"/>
        <sz val="11"/>
        <rFont val="Arial"/>
        <family val="2"/>
      </rPr>
      <t>2</t>
    </r>
    <r>
      <rPr>
        <sz val="11"/>
        <rFont val="Arial"/>
        <family val="2"/>
      </rPr>
      <t xml:space="preserve"> perturbations associated with the Central Atlantic Magmatic Province: Science, v. 331, p. 1404-1409, doi: 10.1126/science.1199011.</t>
    </r>
  </si>
  <si>
    <r>
      <t>Schaller, M. F., Wright, J. D., and Kent, D. V., 2015, A 30 Myr record of Late Triassic atmospheric pCO</t>
    </r>
    <r>
      <rPr>
        <vertAlign val="subscript"/>
        <sz val="11"/>
        <rFont val="Arial"/>
        <family val="2"/>
      </rPr>
      <t>2</t>
    </r>
    <r>
      <rPr>
        <sz val="11"/>
        <rFont val="Arial"/>
        <family val="2"/>
      </rPr>
      <t xml:space="preserve"> variation reflects a fundamental control of the carbon cycle by changes in continental weathering: Geological Society of America Bulletin, v. 127, p. 661-671, doi: 10.1130/b31107.1.</t>
    </r>
  </si>
  <si>
    <r>
      <t>Schaller, M. F., Wright, J. D., Kent, D. V., and Olsen, P. E., 2012, Rapid emplacement of the Central Atlantic Magmatic Province as a net sink for CO</t>
    </r>
    <r>
      <rPr>
        <vertAlign val="subscript"/>
        <sz val="11"/>
        <rFont val="Arial"/>
        <family val="2"/>
      </rPr>
      <t>2</t>
    </r>
    <r>
      <rPr>
        <sz val="11"/>
        <rFont val="Arial"/>
        <family val="2"/>
      </rPr>
      <t>: Earth and Planetary Science Letters, v. 323–324, p. 27-39, doi: 10.1016/j.epsl.2011.12.028.</t>
    </r>
  </si>
  <si>
    <r>
      <t xml:space="preserve">Seki, O., Foster, G. L., Schmidt, D. N., Mackensen, A., Kawamura, K., and Pancost, R. D., 2010, Alkenone and boron-based Pliocene </t>
    </r>
    <r>
      <rPr>
        <i/>
        <sz val="11"/>
        <rFont val="Arial"/>
        <family val="2"/>
      </rPr>
      <t>p</t>
    </r>
    <r>
      <rPr>
        <sz val="11"/>
        <rFont val="Arial"/>
        <family val="2"/>
      </rPr>
      <t>CO</t>
    </r>
    <r>
      <rPr>
        <vertAlign val="subscript"/>
        <sz val="11"/>
        <rFont val="Arial"/>
        <family val="2"/>
      </rPr>
      <t>2</t>
    </r>
    <r>
      <rPr>
        <sz val="11"/>
        <rFont val="Arial"/>
        <family val="2"/>
      </rPr>
      <t xml:space="preserve"> records: Earth and Planetary Science Letters, v. 292, p. 201-211, doi: 10.1016/j.epsl.2010.01.037.</t>
    </r>
  </si>
  <si>
    <r>
      <t>Sinha, A., and Stott, L. D., 1994, New atmospheric pCO</t>
    </r>
    <r>
      <rPr>
        <vertAlign val="subscript"/>
        <sz val="11"/>
        <rFont val="Arial"/>
        <family val="2"/>
      </rPr>
      <t>2</t>
    </r>
    <r>
      <rPr>
        <sz val="11"/>
        <rFont val="Arial"/>
        <family val="2"/>
      </rPr>
      <t xml:space="preserve"> estimates from paleosols during the late Paleocene/early Eocene global warming interval: Global and Planetary Change, v. 9, p. 297-307, doi: 10.1016/0921-8181(94)00010-7.</t>
    </r>
  </si>
  <si>
    <r>
      <t xml:space="preserve">Smith, M. E., Singer, B., and Carroll, A., 2003, </t>
    </r>
    <r>
      <rPr>
        <vertAlign val="superscript"/>
        <sz val="11"/>
        <rFont val="Arial"/>
        <family val="2"/>
      </rPr>
      <t>40</t>
    </r>
    <r>
      <rPr>
        <sz val="11"/>
        <rFont val="Arial"/>
        <family val="2"/>
      </rPr>
      <t>Ar/</t>
    </r>
    <r>
      <rPr>
        <vertAlign val="superscript"/>
        <sz val="11"/>
        <rFont val="Arial"/>
        <family val="2"/>
      </rPr>
      <t>39</t>
    </r>
    <r>
      <rPr>
        <sz val="11"/>
        <rFont val="Arial"/>
        <family val="2"/>
      </rPr>
      <t>Ar geochronology of the Eocene Green River Formation, Wyoming: Geological Society of America Bulletin, v. 115, p. 549-565, doi: 10.1130/0016-7606(2003)115&lt;0549:agoteg&gt;2.0.co;2.</t>
    </r>
  </si>
  <si>
    <r>
      <t xml:space="preserve">Smith, R. Y., Greenwood, D. R., and Basinger, J. F., 2010, Estimating paleoatmospheric </t>
    </r>
    <r>
      <rPr>
        <i/>
        <sz val="11"/>
        <rFont val="Arial"/>
        <family val="2"/>
      </rPr>
      <t>p</t>
    </r>
    <r>
      <rPr>
        <sz val="11"/>
        <rFont val="Arial"/>
        <family val="2"/>
      </rPr>
      <t>CO</t>
    </r>
    <r>
      <rPr>
        <vertAlign val="subscript"/>
        <sz val="11"/>
        <rFont val="Arial"/>
        <family val="2"/>
      </rPr>
      <t>2</t>
    </r>
    <r>
      <rPr>
        <sz val="11"/>
        <rFont val="Arial"/>
        <family val="2"/>
      </rPr>
      <t xml:space="preserve"> during the Early Eocene Climatic Optimum from stomatal frequency of </t>
    </r>
    <r>
      <rPr>
        <i/>
        <sz val="11"/>
        <rFont val="Arial"/>
        <family val="2"/>
      </rPr>
      <t>Ginkgo</t>
    </r>
    <r>
      <rPr>
        <sz val="11"/>
        <rFont val="Arial"/>
        <family val="2"/>
      </rPr>
      <t>, Okanagan Highlands, British Columbia, Canada: Palaeogeography Palaeoclimatology Palaeoecology, v. 293, p. 120-131, doi: 10.1016/j.palaeo.2010.05.006.</t>
    </r>
  </si>
  <si>
    <r>
      <t>Stap, L. B., de Boer, B., Ziegler, M., Bintanja, R., Lourens, L. J., and van de Wal, R. S. W., 2016, CO</t>
    </r>
    <r>
      <rPr>
        <vertAlign val="subscript"/>
        <sz val="11"/>
        <rFont val="Arial"/>
        <family val="2"/>
      </rPr>
      <t>2</t>
    </r>
    <r>
      <rPr>
        <sz val="11"/>
        <rFont val="Arial"/>
        <family val="2"/>
      </rPr>
      <t xml:space="preserve"> over the past 5 million years: continuous simulation and new δ</t>
    </r>
    <r>
      <rPr>
        <vertAlign val="superscript"/>
        <sz val="11"/>
        <rFont val="Arial"/>
        <family val="2"/>
      </rPr>
      <t>11</t>
    </r>
    <r>
      <rPr>
        <sz val="11"/>
        <rFont val="Arial"/>
        <family val="2"/>
      </rPr>
      <t>B-based proxy data: Earth and Planetary Science Letters, v. 439, p. 1-10, doi: 10.1016/j.epsl.2016.01.022.</t>
    </r>
  </si>
  <si>
    <r>
      <t>Steinthorsdottir, M., Jeram, A. J., and McElwain, J. C., 2011, Extremely elevated CO</t>
    </r>
    <r>
      <rPr>
        <vertAlign val="subscript"/>
        <sz val="11"/>
        <rFont val="Arial"/>
        <family val="2"/>
      </rPr>
      <t>2</t>
    </r>
    <r>
      <rPr>
        <sz val="11"/>
        <rFont val="Arial"/>
        <family val="2"/>
      </rPr>
      <t xml:space="preserve"> concentrations at the Triassic/Jurassic boundary: Palaeogeography Palaeoclimatology Palaeoecology, v. 308, p. 418-432, doi: 10.1016/j.palaeo.2011.05.050.</t>
    </r>
  </si>
  <si>
    <r>
      <t>Steinthorsdottir, M., Porter, A. S., Holohan, A., Kunzmann, L., Collinson, M., and McElwain, J. C., 2016a, Fossil plant stomata indicate decreasing atmospheric CO</t>
    </r>
    <r>
      <rPr>
        <vertAlign val="subscript"/>
        <sz val="11"/>
        <rFont val="Arial"/>
        <family val="2"/>
      </rPr>
      <t>2</t>
    </r>
    <r>
      <rPr>
        <sz val="11"/>
        <rFont val="Arial"/>
        <family val="2"/>
      </rPr>
      <t xml:space="preserve"> prior to the Eocene–Oligocene boundary: Climate of the Past, v. 12, p. 439-454, doi: 10.5194/cp-12-439-2016.</t>
    </r>
  </si>
  <si>
    <r>
      <t>Steinthorsdottir, M., and Vajda, V., 2015, Early Jurassic (late Pliensbachian) CO</t>
    </r>
    <r>
      <rPr>
        <vertAlign val="subscript"/>
        <sz val="11"/>
        <rFont val="Arial"/>
        <family val="2"/>
      </rPr>
      <t>2</t>
    </r>
    <r>
      <rPr>
        <sz val="11"/>
        <rFont val="Arial"/>
        <family val="2"/>
      </rPr>
      <t xml:space="preserve"> concentrations based on stomatal analysis of fossil conifer leaves from eastern Australia: Gondwana Research, v. 27, p. 932-939, doi: 10.1016/j.gr.2013.08.021.</t>
    </r>
  </si>
  <si>
    <r>
      <t>Steinthorsdottir, M., Vajda, V., and Pole, M., 2016b, Global trends of pCO</t>
    </r>
    <r>
      <rPr>
        <vertAlign val="subscript"/>
        <sz val="11"/>
        <rFont val="Arial"/>
        <family val="2"/>
      </rPr>
      <t>2</t>
    </r>
    <r>
      <rPr>
        <sz val="11"/>
        <rFont val="Arial"/>
        <family val="2"/>
      </rPr>
      <t xml:space="preserve"> across the Cretaceous–Paleogene boundary supported by the first Southern Hemisphere stomatal proxy-based pCO</t>
    </r>
    <r>
      <rPr>
        <vertAlign val="subscript"/>
        <sz val="11"/>
        <rFont val="Arial"/>
        <family val="2"/>
      </rPr>
      <t>2</t>
    </r>
    <r>
      <rPr>
        <sz val="11"/>
        <rFont val="Arial"/>
        <family val="2"/>
      </rPr>
      <t xml:space="preserve"> reconstruction: Palaeogeography, Palaeoclimatology, Palaeoecology, v. 464, p. 143-152, doi: 10.1016/j.palaeo.2016.04.033.</t>
    </r>
  </si>
  <si>
    <r>
      <t xml:space="preserve">Steinthorsdottir, M., Vajda, V., and Pole, M., 2019a, Significant transient </t>
    </r>
    <r>
      <rPr>
        <i/>
        <sz val="11"/>
        <rFont val="Arial"/>
        <family val="2"/>
      </rPr>
      <t>p</t>
    </r>
    <r>
      <rPr>
        <sz val="11"/>
        <rFont val="Arial"/>
        <family val="2"/>
      </rPr>
      <t>CO</t>
    </r>
    <r>
      <rPr>
        <vertAlign val="subscript"/>
        <sz val="11"/>
        <rFont val="Arial"/>
        <family val="2"/>
      </rPr>
      <t>2</t>
    </r>
    <r>
      <rPr>
        <sz val="11"/>
        <rFont val="Arial"/>
        <family val="2"/>
      </rPr>
      <t xml:space="preserve"> perturbation at the New Zealand Oligocene-Miocene transition recorded by fossil plant stomata: Palaeogeography, Palaeoclimatology, Palaeoecology, v. 515, p. 152-161, doi: 10.1016/j.palaeo.2018.01.039.</t>
    </r>
  </si>
  <si>
    <r>
      <t xml:space="preserve">Steinthorsdottir, M., Vajda, V., Pole, M., and Holdgate, G., 2019b, Moderate levels of Eocene </t>
    </r>
    <r>
      <rPr>
        <i/>
        <sz val="11"/>
        <rFont val="Arial"/>
        <family val="2"/>
      </rPr>
      <t>p</t>
    </r>
    <r>
      <rPr>
        <sz val="11"/>
        <rFont val="Arial"/>
        <family val="2"/>
      </rPr>
      <t>CO</t>
    </r>
    <r>
      <rPr>
        <vertAlign val="subscript"/>
        <sz val="11"/>
        <rFont val="Arial"/>
        <family val="2"/>
      </rPr>
      <t>2</t>
    </r>
    <r>
      <rPr>
        <sz val="11"/>
        <rFont val="Arial"/>
        <family val="2"/>
      </rPr>
      <t xml:space="preserve"> indicated by Southern Hemisphere fossil plant stomata: Geology, v. 47, p. 914-918, doi: 10.1130/g46274.1.</t>
    </r>
  </si>
  <si>
    <r>
      <t>Stults, D. Z., Wagner-Cremer, F., and Axsmith, B. J., 2011, Atmospheric paleo-CO</t>
    </r>
    <r>
      <rPr>
        <vertAlign val="subscript"/>
        <sz val="11"/>
        <rFont val="Arial"/>
        <family val="2"/>
      </rPr>
      <t>2</t>
    </r>
    <r>
      <rPr>
        <sz val="11"/>
        <rFont val="Arial"/>
        <family val="2"/>
      </rPr>
      <t xml:space="preserve"> estimates based on </t>
    </r>
    <r>
      <rPr>
        <i/>
        <sz val="11"/>
        <rFont val="Arial"/>
        <family val="2"/>
      </rPr>
      <t>Taxodium distichum</t>
    </r>
    <r>
      <rPr>
        <sz val="11"/>
        <rFont val="Arial"/>
        <family val="2"/>
      </rPr>
      <t xml:space="preserve"> (Cupressaceae) fossils from the Miocene and Pliocene of eastern North America: Palaeogeography Palaeoclimatology Palaeoecology, v. 309, p. 327-332, doi: 10.1016/j.palaeo.2011.06.017.</t>
    </r>
  </si>
  <si>
    <r>
      <t>Sun, B.-N., Wang, Q.-J., Konrad, W., Ma, F.-J., Dong, J.-L., and Wang, Z.-X., 2017, Reconstruction of atmospheric CO</t>
    </r>
    <r>
      <rPr>
        <vertAlign val="subscript"/>
        <sz val="11"/>
        <rFont val="Arial"/>
        <family val="2"/>
      </rPr>
      <t>2</t>
    </r>
    <r>
      <rPr>
        <sz val="11"/>
        <rFont val="Arial"/>
        <family val="2"/>
      </rPr>
      <t xml:space="preserve"> during the Oligocene based on leaf fossils from the Ningming Formation in Guangxi, China: Palaeogeography, Palaeoclimatology, Palaeoecology, v. 467, p. 5-15, doi: 10.1016/j.palaeo.2016.09.015.</t>
    </r>
  </si>
  <si>
    <r>
      <t>Sun, B., Xiao, L., Xie, S., Deng, S., Wang, Y., Jia, H., and Turner, S., 2007, Quantitative analysis of paleoatmospheric CO</t>
    </r>
    <r>
      <rPr>
        <vertAlign val="subscript"/>
        <sz val="11"/>
        <rFont val="Arial"/>
        <family val="2"/>
      </rPr>
      <t>2</t>
    </r>
    <r>
      <rPr>
        <sz val="11"/>
        <rFont val="Arial"/>
        <family val="2"/>
      </rPr>
      <t xml:space="preserve"> level based on stomatal characters of fossil </t>
    </r>
    <r>
      <rPr>
        <i/>
        <sz val="11"/>
        <rFont val="Arial"/>
        <family val="2"/>
      </rPr>
      <t>Ginkgo</t>
    </r>
    <r>
      <rPr>
        <sz val="11"/>
        <rFont val="Arial"/>
        <family val="2"/>
      </rPr>
      <t xml:space="preserve"> from Jurassic to Cretaceous in China: Acta Geologica Sinica, v. 81, p. 931-939, doi: 10.1111/j.1755-6724.2007.tb01016.x.</t>
    </r>
  </si>
  <si>
    <r>
      <t>Sun, Y., Li, X., Zhao, G., Liu, H., and Zhang, Y., 2016, Aptian and Albian atmospheric CO</t>
    </r>
    <r>
      <rPr>
        <vertAlign val="subscript"/>
        <sz val="11"/>
        <rFont val="Arial"/>
        <family val="2"/>
      </rPr>
      <t>2</t>
    </r>
    <r>
      <rPr>
        <sz val="11"/>
        <rFont val="Arial"/>
        <family val="2"/>
      </rPr>
      <t xml:space="preserve"> changes during oceanic anoxic events: evidence from fossil </t>
    </r>
    <r>
      <rPr>
        <i/>
        <sz val="11"/>
        <rFont val="Arial"/>
        <family val="2"/>
      </rPr>
      <t xml:space="preserve">Ginkgo </t>
    </r>
    <r>
      <rPr>
        <sz val="11"/>
        <rFont val="Arial"/>
        <family val="2"/>
      </rPr>
      <t>cuticles in Jilin Province, Northeast China: Cretaceous Research, v. 62, p. 130-141, doi: 10.1016/j.cretres.2015.12.007.</t>
    </r>
  </si>
  <si>
    <r>
      <t xml:space="preserve">Super, J. R., Thomas, E., Pagani, M., Huber, M., O’Brien, C., and Hull, P. M., 2018, North Atlantic temperature and </t>
    </r>
    <r>
      <rPr>
        <i/>
        <sz val="11"/>
        <rFont val="Arial"/>
        <family val="2"/>
      </rPr>
      <t>p</t>
    </r>
    <r>
      <rPr>
        <sz val="11"/>
        <rFont val="Arial"/>
        <family val="2"/>
      </rPr>
      <t>CO</t>
    </r>
    <r>
      <rPr>
        <vertAlign val="subscript"/>
        <sz val="11"/>
        <rFont val="Arial"/>
        <family val="2"/>
      </rPr>
      <t>2</t>
    </r>
    <r>
      <rPr>
        <sz val="11"/>
        <rFont val="Arial"/>
        <family val="2"/>
      </rPr>
      <t xml:space="preserve"> coupling in the early-middle Miocene: Geology, v. 46, p. 519-522, doi: 10.1130/G40228.1.</t>
    </r>
  </si>
  <si>
    <r>
      <t>Tabor, N. J., Yapp, C. J., and Montañez, I. P., 2004, Goethite, calcite, and organic matter from Permian and Triassic soils: Carbon isotopes and CO</t>
    </r>
    <r>
      <rPr>
        <vertAlign val="subscript"/>
        <sz val="11"/>
        <rFont val="Arial"/>
        <family val="2"/>
      </rPr>
      <t>2</t>
    </r>
    <r>
      <rPr>
        <sz val="11"/>
        <rFont val="Arial"/>
        <family val="2"/>
      </rPr>
      <t xml:space="preserve"> concentrations: Geochimica et Cosmochimica Acta, v. 68, p. 1503-1517, doi: 10.1016/S0016-7037(03)00497-6.</t>
    </r>
  </si>
  <si>
    <r>
      <t>Tanner, L. H., Hubert, J. F., Coffey, B. P., and McInerney, D. P., 2001, Stability of atmospheric CO</t>
    </r>
    <r>
      <rPr>
        <vertAlign val="subscript"/>
        <sz val="11"/>
        <rFont val="Arial"/>
        <family val="2"/>
      </rPr>
      <t>2</t>
    </r>
    <r>
      <rPr>
        <sz val="11"/>
        <rFont val="Arial"/>
        <family val="2"/>
      </rPr>
      <t xml:space="preserve"> levels across the Triassic/Jurassic boundary: Nature, v. 411, p. 675-677, doi: 10.1038/35079548.</t>
    </r>
  </si>
  <si>
    <r>
      <t>Tesfamichael, T., Jacobs, B., Tabor, N., Michel, L., Currano, E., Feseha, M., Barclay, R., Kappelman, J., and Schmitz, M., 2017, Settling the issue of “decoupling” between atmospheric carbon dioxide and global temperature: [CO</t>
    </r>
    <r>
      <rPr>
        <vertAlign val="subscript"/>
        <sz val="11"/>
        <rFont val="Arial"/>
        <family val="2"/>
      </rPr>
      <t>2</t>
    </r>
    <r>
      <rPr>
        <sz val="11"/>
        <rFont val="Arial"/>
        <family val="2"/>
      </rPr>
      <t>]</t>
    </r>
    <r>
      <rPr>
        <vertAlign val="subscript"/>
        <sz val="11"/>
        <rFont val="Arial"/>
        <family val="2"/>
      </rPr>
      <t>atm</t>
    </r>
    <r>
      <rPr>
        <sz val="11"/>
        <rFont val="Arial"/>
        <family val="2"/>
      </rPr>
      <t xml:space="preserve"> reconstructions across the warming Paleogene-Neogene divide: Geology, v. 45, p. 999-1002, doi: 10.1130/G39048.1.</t>
    </r>
  </si>
  <si>
    <r>
      <t>Tipple, B. J., Meyers, S. R., and Pagani, M., 2010, Carbon isotope ratio of Cenozoic CO</t>
    </r>
    <r>
      <rPr>
        <vertAlign val="subscript"/>
        <sz val="11"/>
        <rFont val="Arial"/>
        <family val="2"/>
      </rPr>
      <t>2</t>
    </r>
    <r>
      <rPr>
        <sz val="11"/>
        <rFont val="Arial"/>
        <family val="2"/>
      </rPr>
      <t>: a comparative evaluation of available geochemical proxies: Paleoceanography, v. 25, p. PA3202, doi: 10.1029/2009PA001851.</t>
    </r>
  </si>
  <si>
    <r>
      <t>Tripati, A. K., Roberts, C. D., and Eagle, R. A., 2009, Coupling of CO</t>
    </r>
    <r>
      <rPr>
        <vertAlign val="subscript"/>
        <sz val="11"/>
        <rFont val="Arial"/>
        <family val="2"/>
      </rPr>
      <t>2</t>
    </r>
    <r>
      <rPr>
        <sz val="11"/>
        <rFont val="Arial"/>
        <family val="2"/>
      </rPr>
      <t xml:space="preserve"> and ice sheet stability over major climate transitions of the last 20 million years: Science, v. 326, p. 1394-1397, doi: 10.1126/science.1178296.</t>
    </r>
  </si>
  <si>
    <r>
      <t xml:space="preserve">Vörding, B., and Kerp, H., 2008, Stomatal indices of </t>
    </r>
    <r>
      <rPr>
        <i/>
        <sz val="11"/>
        <rFont val="Arial"/>
        <family val="2"/>
      </rPr>
      <t>Peltaspermum martinsii</t>
    </r>
    <r>
      <rPr>
        <sz val="11"/>
        <rFont val="Arial"/>
        <family val="2"/>
      </rPr>
      <t xml:space="preserve"> (Pteridospermopsida, Peltaspermaceae) from the Upper Permian Bletterbach Gorge and their possible applicability as CO</t>
    </r>
    <r>
      <rPr>
        <vertAlign val="subscript"/>
        <sz val="11"/>
        <rFont val="Arial"/>
        <family val="2"/>
      </rPr>
      <t>2</t>
    </r>
    <r>
      <rPr>
        <sz val="11"/>
        <rFont val="Arial"/>
        <family val="2"/>
      </rPr>
      <t xml:space="preserve"> proxies: Neues Jahrbuch Für Geologie und Paläontologie Abhandlungen, v. 248, p. 245-255, doi: 10.1127/0077-7749/2008/0248-0245.</t>
    </r>
  </si>
  <si>
    <r>
      <t>Wan, C. B., Wang, D. H., Zhu, Z. P., and Quan, C., 2011, Trend of Santonian (Late Cretaceous) atmospheric CO</t>
    </r>
    <r>
      <rPr>
        <vertAlign val="subscript"/>
        <sz val="11"/>
        <rFont val="Arial"/>
        <family val="2"/>
      </rPr>
      <t>2</t>
    </r>
    <r>
      <rPr>
        <sz val="11"/>
        <rFont val="Arial"/>
        <family val="2"/>
      </rPr>
      <t xml:space="preserve"> and global mean land surface temperature: evidence from plant fossils: Science China Earth Sciences, v. 54, p. 1338-1345, doi: 10.1007/s11430-011-4267-1.</t>
    </r>
  </si>
  <si>
    <r>
      <t>Wang, Y., Momohara, A., Wang, L., Lebreton-Anberrée, J., and Zhou, Z., 2015, Evolutionary history of atmospheric CO</t>
    </r>
    <r>
      <rPr>
        <vertAlign val="subscript"/>
        <sz val="11"/>
        <rFont val="Arial"/>
        <family val="2"/>
      </rPr>
      <t>2</t>
    </r>
    <r>
      <rPr>
        <sz val="11"/>
        <rFont val="Arial"/>
        <family val="2"/>
      </rPr>
      <t xml:space="preserve"> during the late Cenozoic from fossilized </t>
    </r>
    <r>
      <rPr>
        <i/>
        <sz val="11"/>
        <rFont val="Arial"/>
        <family val="2"/>
      </rPr>
      <t xml:space="preserve">Metasequoia </t>
    </r>
    <r>
      <rPr>
        <sz val="11"/>
        <rFont val="Arial"/>
        <family val="2"/>
      </rPr>
      <t>needles: PLoS ONE, v. 10, no. 7, p. e0130941, doi: 10.1371/journal.pone.0130941.</t>
    </r>
  </si>
  <si>
    <r>
      <t>Wang, Y., Wang, L., Momohara, A., Leng, Q., and Huang, Y.-J., 2020, The Paleogene atmospheric CO</t>
    </r>
    <r>
      <rPr>
        <vertAlign val="subscript"/>
        <sz val="11"/>
        <rFont val="Arial"/>
        <family val="2"/>
      </rPr>
      <t>2</t>
    </r>
    <r>
      <rPr>
        <sz val="11"/>
        <rFont val="Arial"/>
        <family val="2"/>
      </rPr>
      <t xml:space="preserve"> concentrations reconstructed using stomatal analysis of fossil </t>
    </r>
    <r>
      <rPr>
        <i/>
        <sz val="11"/>
        <rFont val="Arial"/>
        <family val="2"/>
      </rPr>
      <t xml:space="preserve">Metasequoia </t>
    </r>
    <r>
      <rPr>
        <sz val="11"/>
        <rFont val="Arial"/>
        <family val="2"/>
      </rPr>
      <t>needles: Palaeoworld, doi: 10.1016/j.palwor.2020.03.002.</t>
    </r>
  </si>
  <si>
    <r>
      <t xml:space="preserve">Wing, S. L., Bao, H., and Koch, P. L., 2000, An early Eocene cool period? Evidence for continental cooling during the warmest part of the Cenozoic, </t>
    </r>
    <r>
      <rPr>
        <i/>
        <sz val="11"/>
        <rFont val="Arial"/>
        <family val="2"/>
      </rPr>
      <t>in</t>
    </r>
    <r>
      <rPr>
        <sz val="11"/>
        <rFont val="Arial"/>
        <family val="2"/>
      </rPr>
      <t xml:space="preserve"> Huber, B. T., MacLeod, K. G., and Wing, S. L., eds., Warm Climates in Earth History: Cambridge, Cambridge University Press, p. 197-237, doi: 10.1017/CBO9780511564512.008.</t>
    </r>
  </si>
  <si>
    <r>
      <t>Wu, J.-Y., Ding, S.-T., Li, Q.-J., Sun, B.-N., and Wang, Y.-D., 2016, Reconstructing paleoatmospheric CO</t>
    </r>
    <r>
      <rPr>
        <vertAlign val="subscript"/>
        <sz val="11"/>
        <rFont val="Arial"/>
        <family val="2"/>
      </rPr>
      <t>2</t>
    </r>
    <r>
      <rPr>
        <sz val="11"/>
        <rFont val="Arial"/>
        <family val="2"/>
      </rPr>
      <t xml:space="preserve"> levels based on fossil </t>
    </r>
    <r>
      <rPr>
        <i/>
        <sz val="11"/>
        <rFont val="Arial"/>
        <family val="2"/>
      </rPr>
      <t xml:space="preserve">Ginkgoites </t>
    </r>
    <r>
      <rPr>
        <sz val="11"/>
        <rFont val="Arial"/>
        <family val="2"/>
      </rPr>
      <t>from the Upper Triassic and Middle Jurassic in Northwest China: Paläontologische Zeitschrift, v. 90, p. 377-387, doi: 10.1007/s12542-016-0300-1.</t>
    </r>
  </si>
  <si>
    <r>
      <t>Yan, D. F., Sun, B. N., Xie, S. P., Li, X. C., and Wen, W. W., 2009, Response to paleoatmospheric CO</t>
    </r>
    <r>
      <rPr>
        <vertAlign val="subscript"/>
        <sz val="11"/>
        <rFont val="Arial"/>
        <family val="2"/>
      </rPr>
      <t>2</t>
    </r>
    <r>
      <rPr>
        <sz val="11"/>
        <rFont val="Arial"/>
        <family val="2"/>
      </rPr>
      <t xml:space="preserve"> concentration of </t>
    </r>
    <r>
      <rPr>
        <i/>
        <sz val="11"/>
        <rFont val="Arial"/>
        <family val="2"/>
      </rPr>
      <t>Solenites vimineus</t>
    </r>
    <r>
      <rPr>
        <sz val="11"/>
        <rFont val="Arial"/>
        <family val="2"/>
      </rPr>
      <t xml:space="preserve"> (Phillips) Harris (Ginkgophyta) from the Middle Jurassic of the Yaojie Basin, Gansu Province, China: Science in China Series D: Earth Sciences, v. 52, p. 2029-2039, doi: 10.1007/s11430-009-0181-1.</t>
    </r>
  </si>
  <si>
    <r>
      <t xml:space="preserve">Zhang, L., Wang, C., Wignall, P. B., Kluge, T., Wan, X., Wang, Q., and Gao, Y., 2018, Deccan volcanism caused coupled </t>
    </r>
    <r>
      <rPr>
        <i/>
        <sz val="11"/>
        <rFont val="Arial"/>
        <family val="2"/>
      </rPr>
      <t>p</t>
    </r>
    <r>
      <rPr>
        <sz val="11"/>
        <rFont val="Arial"/>
        <family val="2"/>
      </rPr>
      <t>CO</t>
    </r>
    <r>
      <rPr>
        <vertAlign val="subscript"/>
        <sz val="11"/>
        <rFont val="Arial"/>
        <family val="2"/>
      </rPr>
      <t>2</t>
    </r>
    <r>
      <rPr>
        <sz val="11"/>
        <rFont val="Arial"/>
        <family val="2"/>
      </rPr>
      <t xml:space="preserve"> and terrestrial temperature rises, and pre-impact extinctions in northern China: Geology, v. 46, p. 271-274, doi: 10.1130/G39992.1.</t>
    </r>
  </si>
  <si>
    <r>
      <t>Zhang, Y. G., Pagani, M., Liu, Z., Bohaty, S. M., and DeConto, R., 2013, A 40-million-year history of atmospheric CO</t>
    </r>
    <r>
      <rPr>
        <vertAlign val="subscript"/>
        <sz val="11"/>
        <rFont val="Arial"/>
        <family val="2"/>
      </rPr>
      <t>2</t>
    </r>
    <r>
      <rPr>
        <sz val="11"/>
        <rFont val="Arial"/>
        <family val="2"/>
      </rPr>
      <t>: Philosophical Transactions of the Royal Society A, v. 371, p. 20130096, doi: 10.1098/rsta.2013.0096.</t>
    </r>
  </si>
  <si>
    <r>
      <t>Zhou, N., Wang, Y., Ya, L., Porter, A. S., Kürschner, W. M., Li, L., Lu, N., and McElwain, J. C., 2020, An inter-comparison study of three stomatal-proxy methods for CO</t>
    </r>
    <r>
      <rPr>
        <vertAlign val="subscript"/>
        <sz val="11"/>
        <rFont val="Arial"/>
        <family val="2"/>
      </rPr>
      <t>2</t>
    </r>
    <r>
      <rPr>
        <sz val="11"/>
        <rFont val="Arial"/>
        <family val="2"/>
      </rPr>
      <t xml:space="preserve"> reconstruction applied to early Jurassic Ginkgoales plants: Palaeogeography, Palaeoclimatology, Palaeoecology, v. 542, 109547, doi: 10.1016/j.palaeo.2019.109547.</t>
    </r>
  </si>
  <si>
    <r>
      <t xml:space="preserve">Steinthorsdottir, M., Jardine, P. E., and Rember, W. C., 2020, Near-future </t>
    </r>
    <r>
      <rPr>
        <i/>
        <sz val="11"/>
        <rFont val="Arial"/>
        <family val="2"/>
      </rPr>
      <t>p</t>
    </r>
    <r>
      <rPr>
        <sz val="11"/>
        <rFont val="Arial"/>
        <family val="2"/>
      </rPr>
      <t>CO</t>
    </r>
    <r>
      <rPr>
        <vertAlign val="subscript"/>
        <sz val="11"/>
        <rFont val="Arial"/>
        <family val="2"/>
      </rPr>
      <t>2</t>
    </r>
    <r>
      <rPr>
        <sz val="11"/>
        <rFont val="Arial"/>
        <family val="2"/>
      </rPr>
      <t xml:space="preserve"> during the hot mid Miocene climatic optimum: Paleoceanography and Paleoclimatology, e2020PA003900, doi: 10.1029/2020pa003900.</t>
    </r>
  </si>
  <si>
    <r>
      <t>Richey, J. D., Montañez, I. P., Goddéris, Y., Looy, C. V., Griffis, N. P., and DiMichele, W. A., 2020, Influence of temporally varying weatherability on CO</t>
    </r>
    <r>
      <rPr>
        <vertAlign val="subscript"/>
        <sz val="11"/>
        <rFont val="Arial"/>
        <family val="2"/>
      </rPr>
      <t>2</t>
    </r>
    <r>
      <rPr>
        <sz val="11"/>
        <rFont val="Arial"/>
        <family val="2"/>
      </rPr>
      <t>-climate coupling and ecosystem change in the late Paleozoic: Climate of the Past, v. 16, p. 1759-1775, doi: 10.5194/cp-16-1759-2020.</t>
    </r>
  </si>
  <si>
    <t>Barbacka, 2011</t>
  </si>
  <si>
    <t>Hettangian Thaumatopteris zone</t>
  </si>
  <si>
    <t>not clear because the method is semi-quantitative and because the uncertainty range is re-calculated here by ranging the conversion of stomatal ratio to RCO2 from 1:1 to 1:2 (see note #8 in companion worksheet)</t>
  </si>
  <si>
    <t>Ginkgoites marginatus (18 specimens)</t>
  </si>
  <si>
    <t>Pieńkowski et al., 2020</t>
  </si>
  <si>
    <t>upper Hettangian (1694.2 m in core)</t>
  </si>
  <si>
    <t>not clear because the method is semi-quantitative; the reported CO2 value is based on a conversion between the stomatal ratio and RCO2 of 1:2; here I take this as the upper bound and use a 1:1 conversion for the lower bound (see note #8 in companion worksheet); in the absence of further knowledge, the reported CO2 range is taken as equivalent to +/- one standard error</t>
  </si>
  <si>
    <r>
      <t>Czekanowskia</t>
    </r>
    <r>
      <rPr>
        <sz val="10"/>
        <rFont val="Helvetica"/>
      </rPr>
      <t xml:space="preserve"> sp. 1</t>
    </r>
  </si>
  <si>
    <t>upper Hettangian (1688.9 m in core)</t>
  </si>
  <si>
    <r>
      <t>Baiera</t>
    </r>
    <r>
      <rPr>
        <sz val="10"/>
        <rFont val="Helvetica"/>
      </rPr>
      <t xml:space="preserve"> sp. 2</t>
    </r>
  </si>
  <si>
    <t>upper Hettangian (1686.9 m in core)</t>
  </si>
  <si>
    <t>upper Hettangian (1677.2 m in core)</t>
  </si>
  <si>
    <t>lower Sinemurian (1624.9 m in core)</t>
  </si>
  <si>
    <r>
      <t>Baiera</t>
    </r>
    <r>
      <rPr>
        <sz val="10"/>
        <rFont val="Helvetica"/>
      </rPr>
      <t xml:space="preserve"> sp. 1</t>
    </r>
  </si>
  <si>
    <t>upper Pliensbachian (1276 m in core)</t>
  </si>
  <si>
    <r>
      <t>Baiera</t>
    </r>
    <r>
      <rPr>
        <sz val="10"/>
        <rFont val="Helvetica"/>
      </rPr>
      <t xml:space="preserve"> sp. 4</t>
    </r>
  </si>
  <si>
    <t>Li et al., 2020</t>
  </si>
  <si>
    <t>biostratigraphy (Sinemurian); age model not described; uncertainties in age not given</t>
  </si>
  <si>
    <t>Aridisol (calcisol); S(z) based on Montanez (2013); sample J1Z-01-01</t>
  </si>
  <si>
    <t>Aridisol (calcisol); S(z) based on Montanez (2013); sample J1z-02-001</t>
  </si>
  <si>
    <t>Aridisol (calcisol); S(z) based on Montanez (2013); sample J1z-02-002</t>
  </si>
  <si>
    <t>Aridisol (calcisol); S(z) based on Montanez (2013); sample J1Z-02-01</t>
  </si>
  <si>
    <t>Aridisol (calcisol); S(z) based on Montanez (2013); sample J1z-02-02</t>
  </si>
  <si>
    <t>Aridisol (calcisol); S(z) based on Montanez (2013); sample J1Z-03-01</t>
  </si>
  <si>
    <t>Aridisol (calcisol); S(z) based on Montanez (2013); sample J1Z-04-01</t>
  </si>
  <si>
    <t>Aridisol (calcisol); S(z) based on Montanez (2013); sample J1Z-05-01</t>
  </si>
  <si>
    <t>Aridisol (calcisol); S(z) based on Montanez (2013); sample J1Z-05-02</t>
  </si>
  <si>
    <t>Aridisol (calcisol); S(z) based on Montanez (2013); sample J1z-06-01</t>
  </si>
  <si>
    <t>Aridisol (calcisol); S(z) based on Montanez (2013); sample J1z-07-01</t>
  </si>
  <si>
    <t>biostratigraphy; age model not described; uncertainties in age not given</t>
  </si>
  <si>
    <t>Aridisol (calcisol); S(z) based on Montanez (2013); sample J1Z-08-01</t>
  </si>
  <si>
    <t>biostratigraphy (Pleinsbachian); age model not described; uncertainties in age not given</t>
  </si>
  <si>
    <t>Aridisol (calcisol); S(z) based on Montanez (2013); sample J1Z-10-01</t>
  </si>
  <si>
    <t>Aridisol (calcisol); S(z) based on Montanez (2013); sample J1Z-10-02</t>
  </si>
  <si>
    <t>Aridisol (calcisol); S(z) based on Montanez (2013); sample J1z-11-01</t>
  </si>
  <si>
    <t>Aridisol (calcisol); S(z) based on Montanez (2013); sample J1z-11-02</t>
  </si>
  <si>
    <t>Aridisol (calcisol); S(z) based on Montanez (2013); sample J1Z-12-01</t>
  </si>
  <si>
    <t>Aridisol (calcisol); S(z) based on Montanez (2013); sample J1Z-14-01</t>
  </si>
  <si>
    <t>Aridisol (calcisol); S(z) based on Montanez (2013); sample J1Z-14-02</t>
  </si>
  <si>
    <t>Aridisol (calcisol); S(z) based on Montanez (2013); sample J1z-15-01</t>
  </si>
  <si>
    <t>Aridisol (calcisol); S(z) based on Montanez (2013); sample J1Z-16-01</t>
  </si>
  <si>
    <t>Aridisol (calcisol); S(z) based on Montanez (2013); sample J1Z-18-01</t>
  </si>
  <si>
    <t>biostratigraphy (Toarcian); age model not described; uncertainties in age not given</t>
  </si>
  <si>
    <t>Aridisol (calcisol); S(z) based on Montanez (2013); sample J1Z-19-01</t>
  </si>
  <si>
    <t>Aridisol (calcisol); S(z) based on Montanez (2013); sample J1Z-20-01</t>
  </si>
  <si>
    <t>Aridisol (calcisol); S(z) based on Montanez (2013); sample J1Z-22-01</t>
  </si>
  <si>
    <t>Aridisol (calcisol); S(z) based on Montanez (2013); sample J1z-23-01</t>
  </si>
  <si>
    <t>Barbacka, M., 2011, Biodiversity and the reconstruction of Early Jurassic flora from the Mecsek Mountains (southern Hungary): Acta Palaeobotanica, v. 51, p. 127-179.</t>
  </si>
  <si>
    <r>
      <t>Li, X., Wang, J., Rasbury, T., Zhou, M., Wei, Z., and Zhang, C., 2020, Early Jurassic climate and atmospheric CO</t>
    </r>
    <r>
      <rPr>
        <vertAlign val="subscript"/>
        <sz val="11"/>
        <rFont val="Arial"/>
        <family val="2"/>
      </rPr>
      <t>2</t>
    </r>
    <r>
      <rPr>
        <sz val="11"/>
        <rFont val="Arial"/>
        <family val="2"/>
      </rPr>
      <t xml:space="preserve"> concentration in the Sichuan paleobasin, southwestern China: Climate of the Past, v. 16, p. 2055-2074, doi: 10.5194/cp-16-2055-2020.</t>
    </r>
  </si>
  <si>
    <r>
      <t>Pieńkowski, G., Hesselbo, S. P., Barbacka, M., and Leng, M. J., 2020, Non-marine carbon-isotope stratigraphy of the Triassic-Jurassic transition in the Polish Basin and its relationships to organic carbon preservation, pCO</t>
    </r>
    <r>
      <rPr>
        <vertAlign val="subscript"/>
        <sz val="11"/>
        <rFont val="Arial"/>
        <family val="2"/>
      </rPr>
      <t>2</t>
    </r>
    <r>
      <rPr>
        <sz val="11"/>
        <rFont val="Arial"/>
        <family val="2"/>
      </rPr>
      <t xml:space="preserve"> and palaeotemperature: Earth-Science Reviews, v. 210, 103383, doi: 10.1016/j.earscirev.2020.103383.</t>
    </r>
  </si>
  <si>
    <r>
      <t>PHYTOPLANKTON (</t>
    </r>
    <r>
      <rPr>
        <b/>
        <sz val="10"/>
        <color theme="0"/>
        <rFont val="Symbol"/>
        <family val="1"/>
        <charset val="2"/>
      </rPr>
      <t>d</t>
    </r>
    <r>
      <rPr>
        <b/>
        <vertAlign val="superscript"/>
        <sz val="10"/>
        <color theme="0"/>
        <rFont val="Arial"/>
        <family val="2"/>
      </rPr>
      <t>13</t>
    </r>
    <r>
      <rPr>
        <b/>
        <sz val="10"/>
        <color theme="0"/>
        <rFont val="Arial"/>
        <family val="2"/>
      </rPr>
      <t>C)</t>
    </r>
    <r>
      <rPr>
        <b/>
        <sz val="10"/>
        <color indexed="8"/>
        <rFont val="Arial"/>
        <family val="2"/>
      </rPr>
      <t/>
    </r>
  </si>
  <si>
    <t>Witkowski et al., 2018</t>
  </si>
  <si>
    <t>Quaternary</t>
  </si>
  <si>
    <t>Pliocene/Miocene</t>
  </si>
  <si>
    <t>Upper Miocene</t>
  </si>
  <si>
    <t>U Miocene, Cenozoic</t>
  </si>
  <si>
    <t>Middle-Upper Miocene, Cenozoic</t>
  </si>
  <si>
    <t>Miocene, Cenozoic</t>
  </si>
  <si>
    <t>U Oligocene, Cenozoic</t>
  </si>
  <si>
    <t>Middle Oligocene, Cenozoic</t>
  </si>
  <si>
    <t>L Oligocene, Cenozoic</t>
  </si>
  <si>
    <t>Early Oligocene, Cenozoic</t>
  </si>
  <si>
    <t>Paleocene-Eocene</t>
  </si>
  <si>
    <t>Campanian, Cretaceous</t>
  </si>
  <si>
    <t>Con/Camp, Cretaceous</t>
  </si>
  <si>
    <t>Santonian, Cretaceous</t>
  </si>
  <si>
    <t>Coniacian, Cretaceous</t>
  </si>
  <si>
    <t>Turonian, Cretaceous</t>
  </si>
  <si>
    <t>Cen/Tur, Cretaceous</t>
  </si>
  <si>
    <t>Late Cenomanian, Cretaceous</t>
  </si>
  <si>
    <t>Cenomanian, Cretaceous</t>
  </si>
  <si>
    <t>Albian, L Cretaceous</t>
  </si>
  <si>
    <t>U Albian, Cretaceous</t>
  </si>
  <si>
    <t>L Aptian/Early Albian , Cretaceous</t>
  </si>
  <si>
    <t>Aptian, Cretaceous</t>
  </si>
  <si>
    <t>Early Aptian, Cretaceous</t>
  </si>
  <si>
    <t>L Aptian, Cretaceous</t>
  </si>
  <si>
    <t>L Cretaceous</t>
  </si>
  <si>
    <t>Late Jurassic/Early Cretaceous (Hekkingen Formation)</t>
  </si>
  <si>
    <t>Tith/Berr, Jurassic/Cretaceous</t>
  </si>
  <si>
    <t>Early Cret/Late Jurassic</t>
  </si>
  <si>
    <t>Tithonian, Jurassic</t>
  </si>
  <si>
    <t>Kimmeridge, Jurassic</t>
  </si>
  <si>
    <t>Late Jurassic</t>
  </si>
  <si>
    <t>Call/Kim, Jurassic</t>
  </si>
  <si>
    <t>Toarcian, Jurassic</t>
  </si>
  <si>
    <t>Plien/Toar, Jurassic</t>
  </si>
  <si>
    <t>Early Jurassic (Nordmela Formation)</t>
  </si>
  <si>
    <t>Hett, Jurassic</t>
  </si>
  <si>
    <t>Rhaetian, Triassic</t>
  </si>
  <si>
    <t>Late Triassic (Snadd Formation)</t>
  </si>
  <si>
    <t>Mid/Late Triassic (Snadd Formation)</t>
  </si>
  <si>
    <t>Mid Triassic (Konne Formation)</t>
  </si>
  <si>
    <t>M Triassic</t>
  </si>
  <si>
    <t>Vikinghogda, Triassic</t>
  </si>
  <si>
    <t>Triassic</t>
  </si>
  <si>
    <t>Changhsingian, Permian</t>
  </si>
  <si>
    <t>Permian</t>
  </si>
  <si>
    <t>U Permian</t>
  </si>
  <si>
    <t>Mississipian, Carboniferous</t>
  </si>
  <si>
    <t>Famm/Tour, Devonian/Carboniferous</t>
  </si>
  <si>
    <t>U Devonian</t>
  </si>
  <si>
    <t>Rhenana Frasnian, Devonian</t>
  </si>
  <si>
    <t>Frasnian, Devonian</t>
  </si>
  <si>
    <t>Frasian-Givetian</t>
  </si>
  <si>
    <t>M Devonian</t>
  </si>
  <si>
    <t>Siluiran</t>
  </si>
  <si>
    <t>Early Silurian</t>
  </si>
  <si>
    <t>U Ordovician</t>
  </si>
  <si>
    <t>Dunleith, Ordovician</t>
  </si>
  <si>
    <t>Platteville, Ordovician</t>
  </si>
  <si>
    <t>16 and 84 percentiles are estimated from the graph (no uncertainties reported in tabular form)</t>
  </si>
  <si>
    <t>IODP 002R02W 77-79</t>
  </si>
  <si>
    <t>IODP 005R04W 77-79</t>
  </si>
  <si>
    <t>IODP 008R04W 102-104</t>
  </si>
  <si>
    <t>IODP 011R05W 127-129</t>
  </si>
  <si>
    <t>IODP 016R03W 127-129</t>
  </si>
  <si>
    <t>IODP 020R01W 52-54</t>
  </si>
  <si>
    <t>IODP 025R01W 27-29</t>
  </si>
  <si>
    <t>IODP 030R02W 82-84</t>
  </si>
  <si>
    <t>IODP 032R02W 52-54</t>
  </si>
  <si>
    <t>IODP 045R03W 100-104</t>
  </si>
  <si>
    <t>IODP 047R01W 50-54</t>
  </si>
  <si>
    <t>IODP 051R01W 101-105</t>
  </si>
  <si>
    <t>IODP 054R02W 25-29</t>
  </si>
  <si>
    <t>IODP 058R03W 75-79</t>
  </si>
  <si>
    <t>IODP 062R01W 50-54</t>
  </si>
  <si>
    <t>2329, Zone 3</t>
  </si>
  <si>
    <t>IODP 065R02W 50-54</t>
  </si>
  <si>
    <t>IODP 069R02W 50-54</t>
  </si>
  <si>
    <t>IODP 070R03W 30-32</t>
  </si>
  <si>
    <t>IODP 077R01W 33-35</t>
  </si>
  <si>
    <t>SB-18</t>
  </si>
  <si>
    <t>SB-13</t>
  </si>
  <si>
    <t>IODP 085R01W 50-52</t>
  </si>
  <si>
    <t>IODP 088R02W 125-127</t>
  </si>
  <si>
    <t>IODP 091R01W 20-24</t>
  </si>
  <si>
    <t>SB-6</t>
  </si>
  <si>
    <t>Site 608, King's Trough</t>
  </si>
  <si>
    <t>IODP 096R01W 65-69</t>
  </si>
  <si>
    <t>SB-3</t>
  </si>
  <si>
    <t>SB-2</t>
  </si>
  <si>
    <t>IODP 100R02W 27-29</t>
  </si>
  <si>
    <t>IODP 103R01W 135-139</t>
  </si>
  <si>
    <t>SB-1</t>
  </si>
  <si>
    <t>IODP 106R01W 137-139</t>
  </si>
  <si>
    <t>IODP 109R02W 22-24</t>
  </si>
  <si>
    <t>IODP 110R04W 98-100</t>
  </si>
  <si>
    <t>927-3, Onnagawa Form</t>
  </si>
  <si>
    <t>Site 516, Rio Grande Rise</t>
  </si>
  <si>
    <t>Ang 27, 10, 437m</t>
  </si>
  <si>
    <t>Ang 26, 10, 377m</t>
  </si>
  <si>
    <t>Ang 24, 9, 357m</t>
  </si>
  <si>
    <t>Ang 21, 9, 317m</t>
  </si>
  <si>
    <t>Ang 19, 9, 297m, Maikop</t>
  </si>
  <si>
    <t>Ang 18, 9, 287m, Maikop</t>
  </si>
  <si>
    <t>Ang 15, 7, 157m, Maikop</t>
  </si>
  <si>
    <t>Ang 14, 7, 147m, Maikop</t>
  </si>
  <si>
    <t>Ang 13b, 7, 138m, Maikop</t>
  </si>
  <si>
    <t>Ang 12, 7, 127m, Maikop</t>
  </si>
  <si>
    <t>Ang 11, 6, 123m, Maikop</t>
  </si>
  <si>
    <t>Ang 9, 5, 112.5 m, Maikop</t>
  </si>
  <si>
    <t>Ang 8, 5, 103m, Maikop</t>
  </si>
  <si>
    <t>Ang 6, 5, 83m, Maikop</t>
  </si>
  <si>
    <t>302‐4‐27X1‐30‐31 367.70</t>
  </si>
  <si>
    <t xml:space="preserve">302‐4‐27X1‐40‐41 367.80 </t>
  </si>
  <si>
    <t xml:space="preserve">302‐4‐27X1‐50‐51 367.90 </t>
  </si>
  <si>
    <t xml:space="preserve">302‐4‐27X1‐55‐57 367.95 </t>
  </si>
  <si>
    <t xml:space="preserve">302‐4‐27X1‐59‐61 367.99 </t>
  </si>
  <si>
    <t xml:space="preserve">302‐4‐27X1‐64‐66 368.04 </t>
  </si>
  <si>
    <t xml:space="preserve">302‐4‐27X1‐68‐70 368.08 </t>
  </si>
  <si>
    <t xml:space="preserve">302‐4‐27X1‐72‐74 368.12 </t>
  </si>
  <si>
    <t xml:space="preserve">302‐4‐27X1‐80‐82 368.20 </t>
  </si>
  <si>
    <t xml:space="preserve">302‐4‐27X2‐0‐2 368.90 </t>
  </si>
  <si>
    <t xml:space="preserve">302‐4‐27X2‐4‐6 368.94 </t>
  </si>
  <si>
    <t xml:space="preserve">302‐4‐27X2‐12‐14 369.00 </t>
  </si>
  <si>
    <t xml:space="preserve">302‐4‐27X2‐14‐16 369.04 </t>
  </si>
  <si>
    <t xml:space="preserve">302‐4‐27X2‐19‐21 369.09 </t>
  </si>
  <si>
    <t xml:space="preserve">302‐4‐27X2‐23‐25 369.13 </t>
  </si>
  <si>
    <t xml:space="preserve">302‐4‐27X2‐28‐30 369.18 </t>
  </si>
  <si>
    <t>302‐4‐27X2‐31‐33 369.21</t>
  </si>
  <si>
    <t xml:space="preserve">302‐4‐27X2‐44‐45 369.34 </t>
  </si>
  <si>
    <t>302‐4‐27X2‐50‐51 369.40</t>
  </si>
  <si>
    <t xml:space="preserve">302‐4‐27X2‐60‐61 369.50 </t>
  </si>
  <si>
    <t>A-3 Gurpi</t>
  </si>
  <si>
    <t>B-3 Ilam</t>
  </si>
  <si>
    <t>207-1257C-11R-1, 84-89</t>
  </si>
  <si>
    <t>207-1257C-13R-2, 120-140</t>
  </si>
  <si>
    <t>207-1257C-14R-1, 76-82</t>
  </si>
  <si>
    <t>207-1260B-34R-2, 10-17</t>
  </si>
  <si>
    <t>C-5 Sarvak</t>
  </si>
  <si>
    <t>C-6 Sarvak</t>
  </si>
  <si>
    <t>1276 A 31 31-2 52/53</t>
  </si>
  <si>
    <t>1276 A 31 31-2 77/78</t>
  </si>
  <si>
    <t>Site 1260, 1</t>
  </si>
  <si>
    <t>Site 1260, 2</t>
  </si>
  <si>
    <t>Site 1260, 3</t>
  </si>
  <si>
    <t>Site 367 643 cm</t>
  </si>
  <si>
    <t>Site 367 643,37 cm</t>
  </si>
  <si>
    <t xml:space="preserve"> S57 core</t>
  </si>
  <si>
    <t>326487</t>
  </si>
  <si>
    <t>207-1260B-37R-1, 10-16</t>
  </si>
  <si>
    <t>Site 603B, 1133.5m</t>
  </si>
  <si>
    <t>Site 144</t>
  </si>
  <si>
    <t>1276 A 31-2-126/127</t>
  </si>
  <si>
    <t>1276 A 31 31-2 134/135</t>
  </si>
  <si>
    <t>Site 1260, 4</t>
  </si>
  <si>
    <t>Site 1260, 5</t>
  </si>
  <si>
    <t>Site 1260, 6</t>
  </si>
  <si>
    <t>Site 367 645,93 cm</t>
  </si>
  <si>
    <t>Site 367 646,14 cm</t>
  </si>
  <si>
    <t>Site 530A, 1041m</t>
  </si>
  <si>
    <t>Site 530A, 1040m</t>
  </si>
  <si>
    <t>1276 A 31 31-3 4/5</t>
  </si>
  <si>
    <t>1276 A 31 31-3 29/30</t>
  </si>
  <si>
    <t>207-1258B-51R-2, 10-20</t>
  </si>
  <si>
    <t>207-1258B-54R-3, 10-30</t>
  </si>
  <si>
    <t>207-1260B-38R-1, 84-86</t>
  </si>
  <si>
    <t>Site  603B, 1134.0m</t>
  </si>
  <si>
    <t>7 Gehrweiler, Rehborn</t>
  </si>
  <si>
    <t>Site 1260, 7</t>
  </si>
  <si>
    <t>Site 1260, 9</t>
  </si>
  <si>
    <t>Site 1260, 8</t>
  </si>
  <si>
    <t>Site 367 646,89 cm</t>
  </si>
  <si>
    <t>Site 367 647,93 cm</t>
  </si>
  <si>
    <t>Site 530A, 1051m</t>
  </si>
  <si>
    <t>Site 530A, 1049m</t>
  </si>
  <si>
    <t>1276 A 31 31-3 61/62</t>
  </si>
  <si>
    <t>1276 A 31 31-3 110/111</t>
  </si>
  <si>
    <t>207-1260B-39R-1, 115-122</t>
  </si>
  <si>
    <t>207-1260B-41R-1, 114-120</t>
  </si>
  <si>
    <t>Site  603B, 1134.8m</t>
  </si>
  <si>
    <t>Site 1260, 13</t>
  </si>
  <si>
    <t>Site 1260, 10</t>
  </si>
  <si>
    <t>Site 1260, 11</t>
  </si>
  <si>
    <t>Site 1260, 12</t>
  </si>
  <si>
    <t>Site 367  649,62 cm</t>
  </si>
  <si>
    <t>Site 530A, 1044m</t>
  </si>
  <si>
    <t>207-1258B-55R-3, 68-88</t>
  </si>
  <si>
    <t>D-4 Kazhdumi</t>
  </si>
  <si>
    <t>D-5 Kazhdumi</t>
  </si>
  <si>
    <t>142,7m ODP 1049C</t>
  </si>
  <si>
    <t>143,1m ODP 1049C</t>
  </si>
  <si>
    <t>C41, 1.15m</t>
  </si>
  <si>
    <t>V13, -1.6m</t>
  </si>
  <si>
    <t>V23b, -2.75m</t>
  </si>
  <si>
    <t>V29b, -3.8m</t>
  </si>
  <si>
    <t>143,2m ODP 1049C</t>
  </si>
  <si>
    <t>V38, -5.34m</t>
  </si>
  <si>
    <t>V41b, -5.69m</t>
  </si>
  <si>
    <t>143,35m ODP 1049C</t>
  </si>
  <si>
    <t>V47, -7.29m</t>
  </si>
  <si>
    <t>E-5 Gadvan</t>
  </si>
  <si>
    <t>E-6 Gadvan</t>
  </si>
  <si>
    <t>V54, -10.05m</t>
  </si>
  <si>
    <t>V60, -12.47m</t>
  </si>
  <si>
    <t>F-4 Fahliyan</t>
  </si>
  <si>
    <t>F-6 Fahliyan</t>
  </si>
  <si>
    <t>7120/9-2 (1)  1943m</t>
  </si>
  <si>
    <t>UK7</t>
  </si>
  <si>
    <t>7120/8-2 (1)  1974m</t>
  </si>
  <si>
    <t>UK8</t>
  </si>
  <si>
    <t>UK9</t>
  </si>
  <si>
    <t>Calcaires en Plaquettes</t>
  </si>
  <si>
    <t>7120/8-2 (2)  1995m</t>
  </si>
  <si>
    <t>UK11</t>
  </si>
  <si>
    <t>Kimmeridge</t>
  </si>
  <si>
    <t>UK12</t>
  </si>
  <si>
    <t>UK13</t>
  </si>
  <si>
    <t>7120/8-2 (3)   2055m</t>
  </si>
  <si>
    <t>Allgau, Marlstone</t>
  </si>
  <si>
    <t>ENR005 7,28 m</t>
  </si>
  <si>
    <t>ENR015 6,48m</t>
  </si>
  <si>
    <t>ENR004 5,98m</t>
  </si>
  <si>
    <t>ENR014 5,68m</t>
  </si>
  <si>
    <t>T6</t>
  </si>
  <si>
    <t>T41</t>
  </si>
  <si>
    <t>T45</t>
  </si>
  <si>
    <t>ENR003 5,18m</t>
  </si>
  <si>
    <t>ENR001 3,28m</t>
  </si>
  <si>
    <t>ENR007 1,28m</t>
  </si>
  <si>
    <t>ENR008 0,48m</t>
  </si>
  <si>
    <t>ENR012 -0,42m</t>
  </si>
  <si>
    <t>ENR011 -0,86m</t>
  </si>
  <si>
    <t>ENR017 -2,4m</t>
  </si>
  <si>
    <t>7120/12-2   DST2, 1985-1991</t>
  </si>
  <si>
    <t>26694</t>
  </si>
  <si>
    <t>7122/7-3   DST1B, 1195m</t>
  </si>
  <si>
    <t>7122/6-1   DST2, 2424-2434</t>
  </si>
  <si>
    <t>7120/9-2 (2)  2708m</t>
  </si>
  <si>
    <t>7122/7-3(2)   DST3C, 1812</t>
  </si>
  <si>
    <t>15.4m</t>
  </si>
  <si>
    <t>16.4m</t>
  </si>
  <si>
    <t>16.5m</t>
  </si>
  <si>
    <t>2281, Zone 3</t>
  </si>
  <si>
    <t>Kupferschiefer</t>
  </si>
  <si>
    <t>1281, Zone 1A</t>
  </si>
  <si>
    <t>2477, Zone 3</t>
  </si>
  <si>
    <t>Kowala</t>
  </si>
  <si>
    <t>90-10</t>
  </si>
  <si>
    <t>90-13</t>
  </si>
  <si>
    <t>90-15</t>
  </si>
  <si>
    <t>90-16</t>
  </si>
  <si>
    <t>90-16-2</t>
  </si>
  <si>
    <t>90-71</t>
  </si>
  <si>
    <t>90-72</t>
  </si>
  <si>
    <t>91-16</t>
  </si>
  <si>
    <t>91-18</t>
  </si>
  <si>
    <t>91-23-1</t>
  </si>
  <si>
    <t>89-52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</si>
</sst>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7" formatCode="[$-409]General"/>
  </numFmts>
  <fonts count="49">
    <font>
      <sz val="10"/>
      <name val="Helvetica"/>
    </font>
    <font>
      <sz val="11"/>
      <color theme="1"/>
      <name val="Calibri"/>
      <family val="2"/>
      <scheme val="minor"/>
    </font>
    <font>
      <sz val="11"/>
      <color theme="1"/>
      <name val="Calibri"/>
      <family val="2"/>
      <scheme val="minor"/>
    </font>
    <font>
      <sz val="10"/>
      <name val="Arial"/>
      <family val="2"/>
    </font>
    <font>
      <sz val="10"/>
      <color indexed="8"/>
      <name val="Arial"/>
      <family val="2"/>
    </font>
    <font>
      <sz val="10"/>
      <name val="Geneva"/>
    </font>
    <font>
      <b/>
      <sz val="10"/>
      <name val="Arial"/>
      <family val="2"/>
    </font>
    <font>
      <b/>
      <i/>
      <sz val="10"/>
      <name val="Arial"/>
      <family val="2"/>
    </font>
    <font>
      <b/>
      <sz val="10"/>
      <color indexed="8"/>
      <name val="Arial"/>
      <family val="2"/>
    </font>
    <font>
      <b/>
      <vertAlign val="subscript"/>
      <sz val="10"/>
      <name val="Arial"/>
      <family val="2"/>
    </font>
    <font>
      <sz val="10"/>
      <color indexed="12"/>
      <name val="Arial"/>
      <family val="2"/>
    </font>
    <font>
      <b/>
      <sz val="11"/>
      <name val="Arial"/>
      <family val="2"/>
    </font>
    <font>
      <sz val="11"/>
      <name val="Arial"/>
      <family val="2"/>
    </font>
    <font>
      <i/>
      <sz val="11"/>
      <name val="Arial"/>
      <family val="2"/>
    </font>
    <font>
      <vertAlign val="subscript"/>
      <sz val="11"/>
      <name val="Arial"/>
      <family val="2"/>
    </font>
    <font>
      <vertAlign val="superscrip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vertAlign val="superscript"/>
      <sz val="10"/>
      <name val="Arial"/>
      <family val="2"/>
    </font>
    <font>
      <sz val="11"/>
      <name val="ＭＳ Ｐゴシック"/>
      <charset val="128"/>
    </font>
    <font>
      <sz val="10"/>
      <color theme="1"/>
      <name val="Arial"/>
      <family val="2"/>
    </font>
    <font>
      <b/>
      <sz val="10"/>
      <color theme="0"/>
      <name val="Arial"/>
      <family val="2"/>
    </font>
    <font>
      <b/>
      <vertAlign val="superscript"/>
      <sz val="10"/>
      <color theme="0"/>
      <name val="Arial"/>
      <family val="2"/>
    </font>
    <font>
      <b/>
      <sz val="10"/>
      <color theme="1"/>
      <name val="Arial"/>
      <family val="2"/>
    </font>
    <font>
      <sz val="9"/>
      <color indexed="81"/>
      <name val="Tahoma"/>
      <family val="2"/>
    </font>
    <font>
      <b/>
      <sz val="9"/>
      <color indexed="81"/>
      <name val="Tahoma"/>
      <family val="2"/>
    </font>
    <font>
      <vertAlign val="subscript"/>
      <sz val="10"/>
      <name val="Arial"/>
      <family val="2"/>
    </font>
    <font>
      <i/>
      <sz val="10"/>
      <name val="Arial"/>
      <family val="2"/>
    </font>
    <font>
      <sz val="10"/>
      <name val="Symbol"/>
      <family val="1"/>
      <charset val="2"/>
    </font>
    <font>
      <b/>
      <sz val="10"/>
      <color theme="0"/>
      <name val="Symbol"/>
      <family val="1"/>
      <charset val="2"/>
    </font>
    <font>
      <b/>
      <sz val="10"/>
      <color indexed="12"/>
      <name val="Arial"/>
      <family val="2"/>
    </font>
    <font>
      <sz val="12"/>
      <color theme="1"/>
      <name val="Calibri"/>
      <family val="2"/>
      <charset val="134"/>
      <scheme val="minor"/>
    </font>
    <font>
      <i/>
      <sz val="10"/>
      <name val="Helvetica"/>
    </font>
    <font>
      <sz val="11"/>
      <color rgb="FF000000"/>
      <name val="Calibri"/>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9"/>
        <bgColor indexed="64"/>
      </patternFill>
    </fill>
    <fill>
      <patternFill patternType="solid">
        <fgColor rgb="FF33CCCC"/>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50">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5" borderId="0" applyNumberFormat="0" applyBorder="0" applyAlignment="0" applyProtection="0"/>
    <xf numFmtId="0" fontId="16" fillId="8" borderId="0" applyNumberFormat="0" applyBorder="0" applyAlignment="0" applyProtection="0"/>
    <xf numFmtId="0" fontId="16" fillId="11" borderId="0" applyNumberFormat="0" applyBorder="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9" borderId="0" applyNumberFormat="0" applyBorder="0" applyAlignment="0" applyProtection="0"/>
    <xf numFmtId="0" fontId="18" fillId="3" borderId="0" applyNumberFormat="0" applyBorder="0" applyAlignment="0" applyProtection="0"/>
    <xf numFmtId="0" fontId="19" fillId="20" borderId="1" applyNumberFormat="0" applyAlignment="0" applyProtection="0"/>
    <xf numFmtId="0" fontId="20" fillId="21" borderId="2" applyNumberFormat="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0" borderId="3" applyNumberFormat="0" applyFill="0" applyAlignment="0" applyProtection="0"/>
    <xf numFmtId="0" fontId="24" fillId="0" borderId="4" applyNumberFormat="0" applyFill="0" applyAlignment="0" applyProtection="0"/>
    <xf numFmtId="0" fontId="25" fillId="0" borderId="5" applyNumberFormat="0" applyFill="0" applyAlignment="0" applyProtection="0"/>
    <xf numFmtId="0" fontId="25" fillId="0" borderId="0" applyNumberFormat="0" applyFill="0" applyBorder="0" applyAlignment="0" applyProtection="0"/>
    <xf numFmtId="0" fontId="26" fillId="7" borderId="1" applyNumberFormat="0" applyAlignment="0" applyProtection="0"/>
    <xf numFmtId="0" fontId="27" fillId="0" borderId="6" applyNumberFormat="0" applyFill="0" applyAlignment="0" applyProtection="0"/>
    <xf numFmtId="0" fontId="28" fillId="22" borderId="0" applyNumberFormat="0" applyBorder="0" applyAlignment="0" applyProtection="0"/>
    <xf numFmtId="0" fontId="3" fillId="0" borderId="0"/>
    <xf numFmtId="0" fontId="5" fillId="0" borderId="0"/>
    <xf numFmtId="0" fontId="3" fillId="0" borderId="0"/>
    <xf numFmtId="0" fontId="34" fillId="0" borderId="0"/>
    <xf numFmtId="0" fontId="16" fillId="23" borderId="7" applyNumberFormat="0" applyFont="0" applyAlignment="0" applyProtection="0"/>
    <xf numFmtId="0" fontId="29" fillId="20" borderId="8" applyNumberFormat="0" applyAlignment="0" applyProtection="0"/>
    <xf numFmtId="0" fontId="30" fillId="0" borderId="0" applyNumberFormat="0" applyFill="0" applyBorder="0" applyAlignment="0" applyProtection="0"/>
    <xf numFmtId="0" fontId="31" fillId="0" borderId="9" applyNumberFormat="0" applyFill="0" applyAlignment="0" applyProtection="0"/>
    <xf numFmtId="0" fontId="32" fillId="0" borderId="0" applyNumberFormat="0" applyFill="0" applyBorder="0" applyAlignment="0" applyProtection="0"/>
    <xf numFmtId="0" fontId="46" fillId="0" borderId="0"/>
    <xf numFmtId="0" fontId="2" fillId="0" borderId="0"/>
    <xf numFmtId="0" fontId="1" fillId="0" borderId="0"/>
    <xf numFmtId="167" fontId="48" fillId="0" borderId="0"/>
  </cellStyleXfs>
  <cellXfs count="113">
    <xf numFmtId="0" fontId="0" fillId="0" borderId="0" xfId="0"/>
    <xf numFmtId="0" fontId="6" fillId="24" borderId="0" xfId="37" applyFont="1" applyFill="1" applyAlignment="1">
      <alignment horizontal="center"/>
    </xf>
    <xf numFmtId="0" fontId="6" fillId="24" borderId="0" xfId="39" applyFont="1" applyFill="1" applyAlignment="1">
      <alignment horizontal="center"/>
    </xf>
    <xf numFmtId="0" fontId="6" fillId="0" borderId="0" xfId="37" applyFont="1" applyFill="1" applyAlignment="1">
      <alignment horizontal="center"/>
    </xf>
    <xf numFmtId="0" fontId="10" fillId="0" borderId="0" xfId="39" applyFont="1" applyAlignment="1"/>
    <xf numFmtId="1" fontId="10" fillId="0" borderId="0" xfId="39" applyNumberFormat="1" applyFont="1" applyAlignment="1"/>
    <xf numFmtId="1" fontId="10" fillId="0" borderId="0" xfId="37" applyNumberFormat="1" applyFont="1"/>
    <xf numFmtId="0" fontId="10" fillId="0" borderId="0" xfId="37" applyFont="1"/>
    <xf numFmtId="1" fontId="4" fillId="0" borderId="0" xfId="39" applyNumberFormat="1" applyFont="1" applyAlignment="1"/>
    <xf numFmtId="0" fontId="10" fillId="0" borderId="0" xfId="39" applyFont="1" applyAlignment="1">
      <alignment horizontal="left"/>
    </xf>
    <xf numFmtId="1" fontId="4" fillId="0" borderId="0" xfId="37" applyNumberFormat="1" applyFont="1"/>
    <xf numFmtId="0" fontId="10" fillId="0" borderId="0" xfId="0" applyFont="1"/>
    <xf numFmtId="0" fontId="6" fillId="24" borderId="0" xfId="37" applyFont="1" applyFill="1"/>
    <xf numFmtId="0" fontId="10" fillId="0" borderId="0" xfId="39" applyFont="1" applyFill="1" applyAlignment="1"/>
    <xf numFmtId="0" fontId="10" fillId="0" borderId="0" xfId="37" applyFont="1" applyFill="1"/>
    <xf numFmtId="164" fontId="4" fillId="0" borderId="0" xfId="37" applyNumberFormat="1" applyFont="1"/>
    <xf numFmtId="1" fontId="10" fillId="0" borderId="0" xfId="37" applyNumberFormat="1" applyFont="1" applyFill="1"/>
    <xf numFmtId="0" fontId="7" fillId="24" borderId="0" xfId="37" applyFont="1" applyFill="1" applyAlignment="1">
      <alignment horizontal="right"/>
    </xf>
    <xf numFmtId="0" fontId="6" fillId="0" borderId="0" xfId="37" applyFont="1" applyFill="1" applyAlignment="1">
      <alignment horizontal="right"/>
    </xf>
    <xf numFmtId="0" fontId="6" fillId="0" borderId="0" xfId="37" applyFont="1" applyFill="1" applyAlignment="1">
      <alignment horizontal="left"/>
    </xf>
    <xf numFmtId="0" fontId="12" fillId="0" borderId="0" xfId="0" applyFont="1" applyFill="1"/>
    <xf numFmtId="0" fontId="3" fillId="0" borderId="0" xfId="0" applyFont="1"/>
    <xf numFmtId="1" fontId="3" fillId="0" borderId="0" xfId="0" applyNumberFormat="1" applyFont="1"/>
    <xf numFmtId="1" fontId="3" fillId="0" borderId="0" xfId="0" applyNumberFormat="1" applyFont="1" applyFill="1"/>
    <xf numFmtId="1" fontId="4" fillId="0" borderId="0" xfId="0" applyNumberFormat="1" applyFont="1"/>
    <xf numFmtId="0" fontId="3" fillId="0" borderId="0" xfId="37" applyFont="1"/>
    <xf numFmtId="1" fontId="3" fillId="0" borderId="0" xfId="37" applyNumberFormat="1" applyFont="1"/>
    <xf numFmtId="0" fontId="36" fillId="24" borderId="0" xfId="37" applyFont="1" applyFill="1"/>
    <xf numFmtId="1" fontId="3" fillId="0" borderId="0" xfId="39" applyNumberFormat="1" applyFont="1" applyAlignment="1"/>
    <xf numFmtId="1" fontId="3" fillId="0" borderId="0" xfId="37" applyNumberFormat="1" applyFont="1" applyFill="1"/>
    <xf numFmtId="1" fontId="3" fillId="0" borderId="0" xfId="0" applyNumberFormat="1" applyFont="1" applyAlignment="1"/>
    <xf numFmtId="1" fontId="3" fillId="0" borderId="0" xfId="38" applyNumberFormat="1" applyFont="1" applyAlignment="1"/>
    <xf numFmtId="1" fontId="3" fillId="0" borderId="0" xfId="37" applyNumberFormat="1" applyFont="1" applyAlignment="1"/>
    <xf numFmtId="0" fontId="6" fillId="24" borderId="0" xfId="37" applyFont="1" applyFill="1" applyAlignment="1">
      <alignment horizontal="left"/>
    </xf>
    <xf numFmtId="1" fontId="3" fillId="0" borderId="0" xfId="39" applyNumberFormat="1" applyFont="1" applyFill="1" applyAlignment="1"/>
    <xf numFmtId="1" fontId="3" fillId="0" borderId="0" xfId="39" applyNumberFormat="1" applyFont="1" applyFill="1"/>
    <xf numFmtId="0" fontId="3" fillId="0" borderId="0" xfId="39" applyFont="1" applyFill="1" applyAlignment="1"/>
    <xf numFmtId="0" fontId="3" fillId="0" borderId="0" xfId="39" applyFont="1" applyAlignment="1"/>
    <xf numFmtId="0" fontId="3" fillId="0" borderId="0" xfId="39" applyFont="1" applyAlignment="1">
      <alignment horizontal="left"/>
    </xf>
    <xf numFmtId="0" fontId="3" fillId="0" borderId="0" xfId="37" applyFont="1" applyFill="1"/>
    <xf numFmtId="0" fontId="3" fillId="0" borderId="0" xfId="39" applyFont="1" applyFill="1" applyAlignment="1">
      <alignment horizontal="left"/>
    </xf>
    <xf numFmtId="0" fontId="38" fillId="24" borderId="0" xfId="37" applyFont="1" applyFill="1"/>
    <xf numFmtId="0" fontId="38" fillId="24" borderId="0" xfId="37" applyFont="1" applyFill="1" applyAlignment="1">
      <alignment horizontal="center"/>
    </xf>
    <xf numFmtId="1" fontId="35" fillId="0" borderId="0" xfId="39" applyNumberFormat="1" applyFont="1" applyAlignment="1"/>
    <xf numFmtId="1" fontId="35" fillId="0" borderId="0" xfId="37" applyNumberFormat="1" applyFont="1"/>
    <xf numFmtId="0" fontId="35" fillId="0" borderId="0" xfId="37" applyFont="1"/>
    <xf numFmtId="0" fontId="12" fillId="0" borderId="0" xfId="37" applyFont="1" applyFill="1"/>
    <xf numFmtId="0" fontId="10" fillId="0" borderId="0" xfId="39" applyFont="1" applyFill="1" applyAlignment="1">
      <alignment horizontal="left"/>
    </xf>
    <xf numFmtId="1" fontId="4" fillId="0" borderId="0" xfId="39" applyNumberFormat="1" applyFont="1" applyFill="1" applyBorder="1" applyAlignment="1"/>
    <xf numFmtId="1" fontId="4" fillId="0" borderId="0" xfId="39" applyNumberFormat="1" applyFont="1" applyFill="1" applyAlignment="1"/>
    <xf numFmtId="1" fontId="4" fillId="0" borderId="0" xfId="37" applyNumberFormat="1" applyFont="1" applyFill="1"/>
    <xf numFmtId="1" fontId="10" fillId="0" borderId="0" xfId="39" applyNumberFormat="1" applyFont="1" applyFill="1" applyAlignment="1"/>
    <xf numFmtId="1" fontId="35" fillId="0" borderId="0" xfId="39" applyNumberFormat="1" applyFont="1" applyFill="1" applyAlignment="1"/>
    <xf numFmtId="164" fontId="4" fillId="0" borderId="0" xfId="39" applyNumberFormat="1" applyFont="1" applyAlignment="1"/>
    <xf numFmtId="164" fontId="4" fillId="0" borderId="0" xfId="39" applyNumberFormat="1" applyFont="1" applyFill="1" applyBorder="1" applyAlignment="1"/>
    <xf numFmtId="1" fontId="35" fillId="0" borderId="0" xfId="37" applyNumberFormat="1" applyFont="1" applyFill="1"/>
    <xf numFmtId="0" fontId="3" fillId="24" borderId="0" xfId="37" applyFont="1" applyFill="1" applyAlignment="1">
      <alignment horizontal="left"/>
    </xf>
    <xf numFmtId="0" fontId="3" fillId="24" borderId="0" xfId="37" applyFont="1" applyFill="1"/>
    <xf numFmtId="0" fontId="3" fillId="0" borderId="0" xfId="37" applyFont="1" applyFill="1" applyAlignment="1">
      <alignment horizontal="center"/>
    </xf>
    <xf numFmtId="164" fontId="3" fillId="0" borderId="0" xfId="37" applyNumberFormat="1" applyFont="1" applyFill="1"/>
    <xf numFmtId="164" fontId="3" fillId="0" borderId="0" xfId="39" applyNumberFormat="1" applyFont="1" applyFill="1" applyAlignment="1"/>
    <xf numFmtId="164" fontId="3" fillId="0" borderId="0" xfId="40" applyNumberFormat="1" applyFont="1" applyFill="1"/>
    <xf numFmtId="164" fontId="3" fillId="0" borderId="0" xfId="37" applyNumberFormat="1" applyFont="1"/>
    <xf numFmtId="1" fontId="3" fillId="0" borderId="0" xfId="40" applyNumberFormat="1" applyFont="1" applyFill="1"/>
    <xf numFmtId="1" fontId="3" fillId="0" borderId="0" xfId="40" applyNumberFormat="1" applyFont="1"/>
    <xf numFmtId="164" fontId="3" fillId="0" borderId="0" xfId="39" quotePrefix="1" applyNumberFormat="1" applyFont="1" applyAlignment="1">
      <alignment horizontal="right"/>
    </xf>
    <xf numFmtId="1" fontId="3" fillId="0" borderId="0" xfId="39" quotePrefix="1" applyNumberFormat="1" applyFont="1" applyAlignment="1">
      <alignment horizontal="right"/>
    </xf>
    <xf numFmtId="2" fontId="3" fillId="0" borderId="0" xfId="0" applyNumberFormat="1" applyFont="1"/>
    <xf numFmtId="164" fontId="3" fillId="0" borderId="0" xfId="39" applyNumberFormat="1" applyFont="1" applyAlignment="1"/>
    <xf numFmtId="164" fontId="3" fillId="0" borderId="0" xfId="39" applyNumberFormat="1" applyFont="1" applyFill="1"/>
    <xf numFmtId="2" fontId="3" fillId="0" borderId="0" xfId="0" applyNumberFormat="1" applyFont="1" applyAlignment="1"/>
    <xf numFmtId="2" fontId="3" fillId="0" borderId="0" xfId="0" applyNumberFormat="1" applyFont="1" applyFill="1" applyAlignment="1"/>
    <xf numFmtId="2" fontId="3" fillId="0" borderId="0" xfId="37" applyNumberFormat="1" applyFont="1"/>
    <xf numFmtId="164" fontId="3" fillId="0" borderId="0" xfId="40" applyNumberFormat="1" applyFont="1" applyFill="1" applyBorder="1"/>
    <xf numFmtId="1" fontId="3" fillId="0" borderId="0" xfId="40" applyNumberFormat="1" applyFont="1" applyFill="1" applyBorder="1"/>
    <xf numFmtId="1" fontId="3" fillId="0" borderId="0" xfId="40" applyNumberFormat="1" applyFont="1" applyBorder="1"/>
    <xf numFmtId="164" fontId="3" fillId="0" borderId="0" xfId="0" applyNumberFormat="1" applyFont="1"/>
    <xf numFmtId="1" fontId="3" fillId="0" borderId="0" xfId="0" applyNumberFormat="1" applyFont="1" applyFill="1" applyAlignment="1"/>
    <xf numFmtId="164" fontId="3" fillId="0" borderId="0" xfId="0" applyNumberFormat="1" applyFont="1" applyFill="1"/>
    <xf numFmtId="0" fontId="3" fillId="0" borderId="0" xfId="0" applyFont="1" applyFill="1" applyAlignment="1"/>
    <xf numFmtId="164" fontId="3" fillId="0" borderId="0" xfId="0" applyNumberFormat="1" applyFont="1" applyAlignment="1"/>
    <xf numFmtId="164" fontId="3" fillId="0" borderId="0" xfId="37" applyNumberFormat="1" applyFont="1" applyAlignment="1"/>
    <xf numFmtId="164" fontId="3" fillId="0" borderId="0" xfId="38" applyNumberFormat="1" applyFont="1" applyAlignment="1"/>
    <xf numFmtId="1" fontId="3" fillId="0" borderId="0" xfId="0" quotePrefix="1" applyNumberFormat="1" applyFont="1" applyFill="1"/>
    <xf numFmtId="0" fontId="3" fillId="25" borderId="0" xfId="37" applyFont="1" applyFill="1"/>
    <xf numFmtId="165" fontId="3" fillId="0" borderId="0" xfId="37" applyNumberFormat="1" applyFont="1"/>
    <xf numFmtId="164" fontId="3" fillId="0" borderId="0" xfId="0" applyNumberFormat="1" applyFont="1" applyFill="1" applyBorder="1"/>
    <xf numFmtId="0" fontId="3" fillId="0" borderId="0" xfId="0" applyFont="1" applyAlignment="1">
      <alignment vertical="center"/>
    </xf>
    <xf numFmtId="0" fontId="0" fillId="0" borderId="0" xfId="0" applyFill="1"/>
    <xf numFmtId="0" fontId="3" fillId="0" borderId="0" xfId="0" applyFont="1" applyFill="1"/>
    <xf numFmtId="1" fontId="3" fillId="0" borderId="0" xfId="37" quotePrefix="1" applyNumberFormat="1" applyFont="1" applyFill="1"/>
    <xf numFmtId="0" fontId="3" fillId="0" borderId="0" xfId="37" quotePrefix="1" applyFont="1"/>
    <xf numFmtId="0" fontId="0" fillId="0" borderId="0" xfId="0" applyAlignment="1">
      <alignment horizontal="left"/>
    </xf>
    <xf numFmtId="1" fontId="0" fillId="0" borderId="0" xfId="0" applyNumberFormat="1" applyFont="1" applyFill="1"/>
    <xf numFmtId="0" fontId="0" fillId="0" borderId="0" xfId="0" applyFont="1" applyFill="1"/>
    <xf numFmtId="1" fontId="4" fillId="0" borderId="0" xfId="0" applyNumberFormat="1" applyFont="1" applyFill="1"/>
    <xf numFmtId="0" fontId="11" fillId="0" borderId="0" xfId="0" applyFont="1" applyFill="1"/>
    <xf numFmtId="2" fontId="3" fillId="0" borderId="0" xfId="37" applyNumberFormat="1" applyFont="1" applyFill="1"/>
    <xf numFmtId="2" fontId="3" fillId="0" borderId="0" xfId="0" applyNumberFormat="1" applyFont="1" applyFill="1"/>
    <xf numFmtId="0" fontId="35" fillId="0" borderId="0" xfId="37" applyFont="1" applyFill="1"/>
    <xf numFmtId="1" fontId="3" fillId="0" borderId="0" xfId="39" quotePrefix="1" applyNumberFormat="1" applyFont="1" applyFill="1" applyAlignment="1">
      <alignment horizontal="right"/>
    </xf>
    <xf numFmtId="164" fontId="0" fillId="0" borderId="0" xfId="0" applyNumberFormat="1"/>
    <xf numFmtId="1" fontId="0" fillId="0" borderId="0" xfId="0" applyNumberFormat="1"/>
    <xf numFmtId="0" fontId="10" fillId="0" borderId="0" xfId="37" applyFont="1" applyAlignment="1"/>
    <xf numFmtId="0" fontId="3" fillId="0" borderId="0" xfId="37" applyFont="1" applyAlignment="1"/>
    <xf numFmtId="1" fontId="3" fillId="0" borderId="0" xfId="37" applyNumberFormat="1" applyFont="1" applyFill="1" applyAlignment="1"/>
    <xf numFmtId="164" fontId="3" fillId="0" borderId="0" xfId="37" applyNumberFormat="1" applyFont="1" applyFill="1" applyAlignment="1"/>
    <xf numFmtId="0" fontId="0" fillId="0" borderId="0" xfId="0" applyFont="1" applyFill="1" applyAlignment="1">
      <alignment vertical="center"/>
    </xf>
    <xf numFmtId="0" fontId="0" fillId="0" borderId="0" xfId="0" applyFont="1" applyAlignment="1">
      <alignment vertical="center"/>
    </xf>
    <xf numFmtId="0" fontId="12" fillId="0" borderId="0" xfId="0" applyFont="1" applyFill="1" applyAlignment="1">
      <alignment horizontal="left" vertical="center" indent="4"/>
    </xf>
    <xf numFmtId="0" fontId="47" fillId="0" borderId="0" xfId="0" applyFont="1"/>
    <xf numFmtId="1" fontId="3" fillId="0" borderId="0" xfId="39" quotePrefix="1" applyNumberFormat="1" applyFont="1" applyFill="1" applyAlignment="1"/>
    <xf numFmtId="0" fontId="11" fillId="0" borderId="0" xfId="37" applyFont="1" applyFill="1"/>
  </cellXfs>
  <cellStyles count="5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cel Built-in Normal" xfId="49"/>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7"/>
    <cellStyle name="Normal 2 2" xfId="48"/>
    <cellStyle name="Normal_CO2 proxy data &amp; documentation" xfId="37"/>
    <cellStyle name="Normal_pCO2 by formation" xfId="38"/>
    <cellStyle name="Normal_Sheet1" xfId="39"/>
    <cellStyle name="Normal_Table1 (alkenone site 999)" xfId="40"/>
    <cellStyle name="Note" xfId="41" builtinId="10" customBuiltin="1"/>
    <cellStyle name="Output" xfId="42" builtinId="21" customBuiltin="1"/>
    <cellStyle name="Title" xfId="43" builtinId="15" customBuiltin="1"/>
    <cellStyle name="Total" xfId="44" builtinId="25" customBuiltin="1"/>
    <cellStyle name="Warning Text" xfId="45" builtinId="11" customBuiltin="1"/>
    <cellStyle name="常规 3" xfId="46"/>
  </cellStyles>
  <dxfs count="0"/>
  <tableStyles count="0" defaultTableStyle="TableStyleMedium9" defaultPivotStyle="PivotStyleLight16"/>
  <colors>
    <mruColors>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1"/>
  <sheetViews>
    <sheetView workbookViewId="0"/>
  </sheetViews>
  <sheetFormatPr defaultColWidth="9.109375" defaultRowHeight="15.9" customHeight="1"/>
  <cols>
    <col min="1" max="16384" width="9.109375" style="46"/>
  </cols>
  <sheetData>
    <row r="1" spans="1:1" ht="15.9" customHeight="1">
      <c r="A1" s="112" t="s">
        <v>74</v>
      </c>
    </row>
    <row r="2" spans="1:1" ht="15.9" customHeight="1">
      <c r="A2" s="46" t="s">
        <v>319</v>
      </c>
    </row>
    <row r="3" spans="1:1" ht="15.9" customHeight="1">
      <c r="A3" s="46" t="s">
        <v>897</v>
      </c>
    </row>
    <row r="4" spans="1:1" ht="15.9" customHeight="1">
      <c r="A4" s="46" t="s">
        <v>266</v>
      </c>
    </row>
    <row r="5" spans="1:1" ht="15.9" customHeight="1">
      <c r="A5" s="46" t="s">
        <v>1</v>
      </c>
    </row>
    <row r="6" spans="1:1" ht="15.9" customHeight="1">
      <c r="A6" s="46" t="s">
        <v>320</v>
      </c>
    </row>
    <row r="7" spans="1:1" ht="15.9" customHeight="1">
      <c r="A7" s="46" t="s">
        <v>321</v>
      </c>
    </row>
    <row r="8" spans="1:1" ht="15.9" customHeight="1">
      <c r="A8" s="46" t="s">
        <v>830</v>
      </c>
    </row>
    <row r="9" spans="1:1" ht="15.9" customHeight="1">
      <c r="A9" s="46" t="s">
        <v>318</v>
      </c>
    </row>
    <row r="10" spans="1:1" ht="15.9" customHeight="1">
      <c r="A10" s="46" t="s">
        <v>811</v>
      </c>
    </row>
    <row r="11" spans="1:1" ht="15.9" customHeight="1">
      <c r="A11" s="46" t="s">
        <v>807</v>
      </c>
    </row>
    <row r="12" spans="1:1" ht="15.9" customHeight="1">
      <c r="A12" s="46" t="s">
        <v>808</v>
      </c>
    </row>
    <row r="14" spans="1:1" s="20" customFormat="1" ht="15.9" customHeight="1">
      <c r="A14" s="96" t="s">
        <v>322</v>
      </c>
    </row>
    <row r="15" spans="1:1" s="20" customFormat="1" ht="15.9" customHeight="1">
      <c r="A15" s="109" t="s">
        <v>903</v>
      </c>
    </row>
    <row r="16" spans="1:1" s="20" customFormat="1" ht="15.9" customHeight="1">
      <c r="A16" s="109" t="s">
        <v>964</v>
      </c>
    </row>
    <row r="17" spans="1:1" s="20" customFormat="1" ht="15.9" customHeight="1">
      <c r="A17" s="109" t="s">
        <v>898</v>
      </c>
    </row>
    <row r="18" spans="1:1" s="20" customFormat="1" ht="15.9" customHeight="1">
      <c r="A18" s="109" t="s">
        <v>904</v>
      </c>
    </row>
    <row r="19" spans="1:1" s="20" customFormat="1" ht="15.9" customHeight="1">
      <c r="A19" s="109" t="s">
        <v>905</v>
      </c>
    </row>
    <row r="20" spans="1:1" s="20" customFormat="1" ht="15.9" customHeight="1">
      <c r="A20" s="109" t="s">
        <v>965</v>
      </c>
    </row>
    <row r="21" spans="1:1" s="20" customFormat="1" ht="15.9" customHeight="1">
      <c r="A21" s="109" t="s">
        <v>966</v>
      </c>
    </row>
    <row r="22" spans="1:1" s="20" customFormat="1" ht="15.9" customHeight="1">
      <c r="A22" s="109" t="s">
        <v>1127</v>
      </c>
    </row>
    <row r="23" spans="1:1" s="20" customFormat="1" ht="15.9" customHeight="1">
      <c r="A23" s="109" t="s">
        <v>967</v>
      </c>
    </row>
    <row r="24" spans="1:1" s="20" customFormat="1" ht="15.9" customHeight="1">
      <c r="A24" s="109" t="s">
        <v>968</v>
      </c>
    </row>
    <row r="25" spans="1:1" s="20" customFormat="1" ht="15.9" customHeight="1">
      <c r="A25" s="109" t="s">
        <v>972</v>
      </c>
    </row>
    <row r="26" spans="1:1" s="20" customFormat="1" ht="15.9" customHeight="1">
      <c r="A26" s="109" t="s">
        <v>969</v>
      </c>
    </row>
    <row r="27" spans="1:1" s="20" customFormat="1" ht="15.9" customHeight="1">
      <c r="A27" s="109" t="s">
        <v>906</v>
      </c>
    </row>
    <row r="28" spans="1:1" s="20" customFormat="1" ht="15.9" customHeight="1">
      <c r="A28" s="109" t="s">
        <v>971</v>
      </c>
    </row>
    <row r="29" spans="1:1" s="20" customFormat="1" ht="15.9" customHeight="1">
      <c r="A29" s="109" t="s">
        <v>970</v>
      </c>
    </row>
    <row r="30" spans="1:1" s="20" customFormat="1" ht="15.9" customHeight="1">
      <c r="A30" s="109" t="s">
        <v>973</v>
      </c>
    </row>
    <row r="31" spans="1:1" s="20" customFormat="1" ht="15.9" customHeight="1">
      <c r="A31" s="109" t="s">
        <v>907</v>
      </c>
    </row>
    <row r="32" spans="1:1" s="20" customFormat="1" ht="15.9" customHeight="1">
      <c r="A32" s="109" t="s">
        <v>908</v>
      </c>
    </row>
    <row r="33" spans="1:1" s="20" customFormat="1" ht="15.9" customHeight="1">
      <c r="A33" s="109" t="s">
        <v>974</v>
      </c>
    </row>
    <row r="34" spans="1:1" s="20" customFormat="1" ht="15.9" customHeight="1">
      <c r="A34" s="109" t="s">
        <v>975</v>
      </c>
    </row>
    <row r="35" spans="1:1" s="20" customFormat="1" ht="15.9" customHeight="1">
      <c r="A35" s="109" t="s">
        <v>909</v>
      </c>
    </row>
    <row r="36" spans="1:1" s="20" customFormat="1" ht="15.9" customHeight="1">
      <c r="A36" s="109" t="s">
        <v>976</v>
      </c>
    </row>
    <row r="37" spans="1:1" s="20" customFormat="1" ht="15.9" customHeight="1">
      <c r="A37" s="109" t="s">
        <v>977</v>
      </c>
    </row>
    <row r="38" spans="1:1" s="20" customFormat="1" ht="15.9" customHeight="1">
      <c r="A38" s="109" t="s">
        <v>910</v>
      </c>
    </row>
    <row r="39" spans="1:1" s="20" customFormat="1" ht="15.9" customHeight="1">
      <c r="A39" s="109" t="s">
        <v>911</v>
      </c>
    </row>
    <row r="40" spans="1:1" s="20" customFormat="1" ht="15.9" customHeight="1">
      <c r="A40" s="109" t="s">
        <v>978</v>
      </c>
    </row>
    <row r="41" spans="1:1" s="20" customFormat="1" ht="15.9" customHeight="1">
      <c r="A41" s="109" t="s">
        <v>912</v>
      </c>
    </row>
    <row r="42" spans="1:1" s="20" customFormat="1" ht="15.9" customHeight="1">
      <c r="A42" s="109" t="s">
        <v>979</v>
      </c>
    </row>
    <row r="43" spans="1:1" s="20" customFormat="1" ht="15.9" customHeight="1">
      <c r="A43" s="109" t="s">
        <v>980</v>
      </c>
    </row>
    <row r="44" spans="1:1" s="20" customFormat="1" ht="15.9" customHeight="1">
      <c r="A44" s="109" t="s">
        <v>981</v>
      </c>
    </row>
    <row r="45" spans="1:1" s="20" customFormat="1" ht="15.9" customHeight="1">
      <c r="A45" s="109" t="s">
        <v>982</v>
      </c>
    </row>
    <row r="46" spans="1:1" s="20" customFormat="1" ht="15.9" customHeight="1">
      <c r="A46" s="109" t="s">
        <v>913</v>
      </c>
    </row>
    <row r="47" spans="1:1" s="20" customFormat="1" ht="15.9" customHeight="1">
      <c r="A47" s="109" t="s">
        <v>983</v>
      </c>
    </row>
    <row r="48" spans="1:1" s="20" customFormat="1" ht="15.9" customHeight="1">
      <c r="A48" s="109" t="s">
        <v>914</v>
      </c>
    </row>
    <row r="49" spans="1:1" s="20" customFormat="1" ht="15.9" customHeight="1">
      <c r="A49" s="109" t="s">
        <v>915</v>
      </c>
    </row>
    <row r="50" spans="1:1" s="20" customFormat="1" ht="15.9" customHeight="1">
      <c r="A50" s="109" t="s">
        <v>916</v>
      </c>
    </row>
    <row r="51" spans="1:1" s="20" customFormat="1" ht="15.9" customHeight="1">
      <c r="A51" s="109" t="s">
        <v>917</v>
      </c>
    </row>
    <row r="52" spans="1:1" s="20" customFormat="1" ht="15.9" customHeight="1">
      <c r="A52" s="109" t="s">
        <v>984</v>
      </c>
    </row>
    <row r="53" spans="1:1" s="20" customFormat="1" ht="15.9" customHeight="1">
      <c r="A53" s="109" t="s">
        <v>985</v>
      </c>
    </row>
    <row r="54" spans="1:1" s="20" customFormat="1" ht="15.9" customHeight="1">
      <c r="A54" s="109" t="s">
        <v>986</v>
      </c>
    </row>
    <row r="55" spans="1:1" s="20" customFormat="1" ht="15.9" customHeight="1">
      <c r="A55" s="109" t="s">
        <v>918</v>
      </c>
    </row>
    <row r="56" spans="1:1" s="20" customFormat="1" ht="15.9" customHeight="1">
      <c r="A56" s="109" t="s">
        <v>919</v>
      </c>
    </row>
    <row r="57" spans="1:1" s="20" customFormat="1" ht="15.9" customHeight="1">
      <c r="A57" s="109" t="s">
        <v>988</v>
      </c>
    </row>
    <row r="58" spans="1:1" s="20" customFormat="1" ht="15.9" customHeight="1">
      <c r="A58" s="109" t="s">
        <v>987</v>
      </c>
    </row>
    <row r="59" spans="1:1" s="20" customFormat="1" ht="15.9" customHeight="1">
      <c r="A59" s="109" t="s">
        <v>920</v>
      </c>
    </row>
    <row r="60" spans="1:1" s="20" customFormat="1" ht="15.9" customHeight="1">
      <c r="A60" s="109" t="s">
        <v>989</v>
      </c>
    </row>
    <row r="61" spans="1:1" s="20" customFormat="1" ht="15.9" customHeight="1">
      <c r="A61" s="109" t="s">
        <v>990</v>
      </c>
    </row>
    <row r="62" spans="1:1" s="20" customFormat="1" ht="15.9" customHeight="1">
      <c r="A62" s="109" t="s">
        <v>991</v>
      </c>
    </row>
    <row r="63" spans="1:1" s="20" customFormat="1" ht="15.9" customHeight="1">
      <c r="A63" s="109" t="s">
        <v>992</v>
      </c>
    </row>
    <row r="64" spans="1:1" s="20" customFormat="1" ht="15.9" customHeight="1">
      <c r="A64" s="109" t="s">
        <v>993</v>
      </c>
    </row>
    <row r="65" spans="1:1" s="20" customFormat="1" ht="15.9" customHeight="1">
      <c r="A65" s="109" t="s">
        <v>921</v>
      </c>
    </row>
    <row r="66" spans="1:1" s="20" customFormat="1" ht="15.9" customHeight="1">
      <c r="A66" s="109" t="s">
        <v>899</v>
      </c>
    </row>
    <row r="67" spans="1:1" s="20" customFormat="1" ht="15.9" customHeight="1">
      <c r="A67" s="109" t="s">
        <v>900</v>
      </c>
    </row>
    <row r="68" spans="1:1" s="20" customFormat="1" ht="15.9" customHeight="1">
      <c r="A68" s="109" t="s">
        <v>994</v>
      </c>
    </row>
    <row r="69" spans="1:1" s="20" customFormat="1" ht="15.9" customHeight="1">
      <c r="A69" s="109" t="s">
        <v>995</v>
      </c>
    </row>
    <row r="70" spans="1:1" s="20" customFormat="1" ht="15.9" customHeight="1">
      <c r="A70" s="109" t="s">
        <v>832</v>
      </c>
    </row>
    <row r="71" spans="1:1" s="20" customFormat="1" ht="15.9" customHeight="1">
      <c r="A71" s="109" t="s">
        <v>901</v>
      </c>
    </row>
    <row r="72" spans="1:1" s="20" customFormat="1" ht="15.9" customHeight="1">
      <c r="A72" s="109" t="s">
        <v>996</v>
      </c>
    </row>
    <row r="73" spans="1:1" s="20" customFormat="1" ht="15.9" customHeight="1">
      <c r="A73" s="109" t="s">
        <v>922</v>
      </c>
    </row>
    <row r="74" spans="1:1" s="20" customFormat="1" ht="15.9" customHeight="1">
      <c r="A74" s="109" t="s">
        <v>923</v>
      </c>
    </row>
    <row r="75" spans="1:1" s="20" customFormat="1" ht="15.9" customHeight="1">
      <c r="A75" s="109" t="s">
        <v>998</v>
      </c>
    </row>
    <row r="76" spans="1:1" s="20" customFormat="1" ht="15.9" customHeight="1">
      <c r="A76" s="109" t="s">
        <v>997</v>
      </c>
    </row>
    <row r="77" spans="1:1" s="20" customFormat="1" ht="15.9" customHeight="1">
      <c r="A77" s="109" t="s">
        <v>999</v>
      </c>
    </row>
    <row r="78" spans="1:1" s="20" customFormat="1" ht="15.9" customHeight="1">
      <c r="A78" s="109" t="s">
        <v>924</v>
      </c>
    </row>
    <row r="79" spans="1:1" s="20" customFormat="1" ht="15.9" customHeight="1">
      <c r="A79" s="109" t="s">
        <v>925</v>
      </c>
    </row>
    <row r="80" spans="1:1" s="20" customFormat="1" ht="15.9" customHeight="1">
      <c r="A80" s="109" t="s">
        <v>1000</v>
      </c>
    </row>
    <row r="81" spans="1:1" s="20" customFormat="1" ht="15.9" customHeight="1">
      <c r="A81" s="109" t="s">
        <v>1001</v>
      </c>
    </row>
    <row r="82" spans="1:1" s="20" customFormat="1" ht="15.9" customHeight="1">
      <c r="A82" s="109" t="s">
        <v>926</v>
      </c>
    </row>
    <row r="83" spans="1:1" s="20" customFormat="1" ht="15.9" customHeight="1">
      <c r="A83" s="109" t="s">
        <v>927</v>
      </c>
    </row>
    <row r="84" spans="1:1" s="20" customFormat="1" ht="15.75" customHeight="1">
      <c r="A84" s="109" t="s">
        <v>1002</v>
      </c>
    </row>
    <row r="85" spans="1:1" s="20" customFormat="1" ht="15.9" customHeight="1">
      <c r="A85" s="109" t="s">
        <v>928</v>
      </c>
    </row>
    <row r="86" spans="1:1" s="20" customFormat="1" ht="15.9" customHeight="1">
      <c r="A86" s="109" t="s">
        <v>929</v>
      </c>
    </row>
    <row r="87" spans="1:1" s="20" customFormat="1" ht="15.9" customHeight="1">
      <c r="A87" s="109" t="s">
        <v>1003</v>
      </c>
    </row>
    <row r="88" spans="1:1" s="20" customFormat="1" ht="15.9" customHeight="1">
      <c r="A88" s="109" t="s">
        <v>1004</v>
      </c>
    </row>
    <row r="89" spans="1:1" s="20" customFormat="1" ht="15.9" customHeight="1">
      <c r="A89" s="109" t="s">
        <v>1005</v>
      </c>
    </row>
    <row r="90" spans="1:1" s="20" customFormat="1" ht="15.9" customHeight="1">
      <c r="A90" s="109" t="s">
        <v>930</v>
      </c>
    </row>
    <row r="91" spans="1:1" s="20" customFormat="1" ht="15.9" customHeight="1">
      <c r="A91" s="109" t="s">
        <v>931</v>
      </c>
    </row>
    <row r="92" spans="1:1" s="20" customFormat="1" ht="15.9" customHeight="1">
      <c r="A92" s="109" t="s">
        <v>932</v>
      </c>
    </row>
    <row r="93" spans="1:1" s="20" customFormat="1" ht="15.9" customHeight="1">
      <c r="A93" s="109" t="s">
        <v>933</v>
      </c>
    </row>
    <row r="94" spans="1:1" s="20" customFormat="1" ht="15.9" customHeight="1">
      <c r="A94" s="109" t="s">
        <v>1006</v>
      </c>
    </row>
    <row r="95" spans="1:1" s="20" customFormat="1" ht="15.9" customHeight="1">
      <c r="A95" s="109" t="s">
        <v>934</v>
      </c>
    </row>
    <row r="96" spans="1:1" s="20" customFormat="1" ht="15.9" customHeight="1">
      <c r="A96" s="109" t="s">
        <v>935</v>
      </c>
    </row>
    <row r="97" spans="1:1" s="20" customFormat="1" ht="15.9" customHeight="1">
      <c r="A97" s="109" t="s">
        <v>1007</v>
      </c>
    </row>
    <row r="98" spans="1:1" s="20" customFormat="1" ht="15.9" customHeight="1">
      <c r="A98" s="109" t="s">
        <v>1008</v>
      </c>
    </row>
    <row r="99" spans="1:1" s="20" customFormat="1" ht="15.9" customHeight="1">
      <c r="A99" s="109" t="s">
        <v>1128</v>
      </c>
    </row>
    <row r="100" spans="1:1" s="20" customFormat="1" ht="15.9" customHeight="1">
      <c r="A100" s="109" t="s">
        <v>1009</v>
      </c>
    </row>
    <row r="101" spans="1:1" s="20" customFormat="1" ht="15.9" customHeight="1">
      <c r="A101" s="109" t="s">
        <v>1010</v>
      </c>
    </row>
    <row r="102" spans="1:1" s="20" customFormat="1" ht="15.9" customHeight="1">
      <c r="A102" s="109" t="s">
        <v>1011</v>
      </c>
    </row>
    <row r="103" spans="1:1" s="20" customFormat="1" ht="15.9" customHeight="1">
      <c r="A103" s="109" t="s">
        <v>936</v>
      </c>
    </row>
    <row r="104" spans="1:1" s="20" customFormat="1" ht="15.9" customHeight="1">
      <c r="A104" s="109" t="s">
        <v>937</v>
      </c>
    </row>
    <row r="105" spans="1:1" s="20" customFormat="1" ht="15.9" customHeight="1">
      <c r="A105" s="109" t="s">
        <v>1012</v>
      </c>
    </row>
    <row r="106" spans="1:1" s="20" customFormat="1" ht="15.9" customHeight="1">
      <c r="A106" s="109" t="s">
        <v>1013</v>
      </c>
    </row>
    <row r="107" spans="1:1" s="20" customFormat="1" ht="15.9" customHeight="1">
      <c r="A107" s="109" t="s">
        <v>1014</v>
      </c>
    </row>
    <row r="108" spans="1:1" s="20" customFormat="1" ht="15.9" customHeight="1">
      <c r="A108" s="109" t="s">
        <v>1015</v>
      </c>
    </row>
    <row r="109" spans="1:1" s="20" customFormat="1" ht="15.9" customHeight="1">
      <c r="A109" s="109" t="s">
        <v>1016</v>
      </c>
    </row>
    <row r="110" spans="1:1" s="20" customFormat="1" ht="15.9" customHeight="1">
      <c r="A110" s="109" t="s">
        <v>938</v>
      </c>
    </row>
    <row r="111" spans="1:1" s="20" customFormat="1" ht="15.9" customHeight="1">
      <c r="A111" s="109" t="s">
        <v>939</v>
      </c>
    </row>
    <row r="112" spans="1:1" s="20" customFormat="1" ht="15.9" customHeight="1">
      <c r="A112" s="109" t="s">
        <v>1017</v>
      </c>
    </row>
    <row r="113" spans="1:1" s="20" customFormat="1" ht="15.9" customHeight="1">
      <c r="A113" s="109" t="s">
        <v>1018</v>
      </c>
    </row>
    <row r="114" spans="1:1" s="20" customFormat="1" ht="15.9" customHeight="1">
      <c r="A114" s="109" t="s">
        <v>1021</v>
      </c>
    </row>
    <row r="115" spans="1:1" s="20" customFormat="1" ht="15.9" customHeight="1">
      <c r="A115" s="109" t="s">
        <v>1019</v>
      </c>
    </row>
    <row r="116" spans="1:1" s="20" customFormat="1" ht="15.9" customHeight="1">
      <c r="A116" s="109" t="s">
        <v>1020</v>
      </c>
    </row>
    <row r="117" spans="1:1" s="20" customFormat="1" ht="15.9" customHeight="1">
      <c r="A117" s="109" t="s">
        <v>1022</v>
      </c>
    </row>
    <row r="118" spans="1:1" s="20" customFormat="1" ht="15.9" customHeight="1">
      <c r="A118" s="109" t="s">
        <v>1023</v>
      </c>
    </row>
    <row r="119" spans="1:1" s="20" customFormat="1" ht="15.9" customHeight="1">
      <c r="A119" s="109" t="s">
        <v>1024</v>
      </c>
    </row>
    <row r="120" spans="1:1" s="20" customFormat="1" ht="15.9" customHeight="1">
      <c r="A120" s="109" t="s">
        <v>940</v>
      </c>
    </row>
    <row r="121" spans="1:1" s="20" customFormat="1" ht="15.9" customHeight="1">
      <c r="A121" s="109" t="s">
        <v>1025</v>
      </c>
    </row>
    <row r="122" spans="1:1" s="20" customFormat="1" ht="15.9" customHeight="1">
      <c r="A122" s="109" t="s">
        <v>941</v>
      </c>
    </row>
    <row r="123" spans="1:1" s="20" customFormat="1" ht="15.9" customHeight="1">
      <c r="A123" s="109" t="s">
        <v>1026</v>
      </c>
    </row>
    <row r="124" spans="1:1" s="20" customFormat="1" ht="15.9" customHeight="1">
      <c r="A124" s="109" t="s">
        <v>942</v>
      </c>
    </row>
    <row r="125" spans="1:1" s="20" customFormat="1" ht="15.9" customHeight="1">
      <c r="A125" s="109" t="s">
        <v>943</v>
      </c>
    </row>
    <row r="126" spans="1:1" s="20" customFormat="1" ht="15.9" customHeight="1">
      <c r="A126" s="109" t="s">
        <v>1027</v>
      </c>
    </row>
    <row r="127" spans="1:1" s="20" customFormat="1" ht="15.9" customHeight="1">
      <c r="A127" s="109" t="s">
        <v>1028</v>
      </c>
    </row>
    <row r="128" spans="1:1" s="20" customFormat="1" ht="15.9" customHeight="1">
      <c r="A128" s="109" t="s">
        <v>1029</v>
      </c>
    </row>
    <row r="129" spans="1:1" s="20" customFormat="1" ht="15.9" customHeight="1">
      <c r="A129" s="109" t="s">
        <v>946</v>
      </c>
    </row>
    <row r="130" spans="1:1" s="20" customFormat="1" ht="15.9" customHeight="1">
      <c r="A130" s="109" t="s">
        <v>944</v>
      </c>
    </row>
    <row r="131" spans="1:1" s="20" customFormat="1" ht="15.9" customHeight="1">
      <c r="A131" s="109" t="s">
        <v>945</v>
      </c>
    </row>
    <row r="132" spans="1:1" s="20" customFormat="1" ht="15.9" customHeight="1">
      <c r="A132" s="109" t="s">
        <v>1129</v>
      </c>
    </row>
    <row r="133" spans="1:1" s="20" customFormat="1" ht="15.9" customHeight="1">
      <c r="A133" s="109" t="s">
        <v>947</v>
      </c>
    </row>
    <row r="134" spans="1:1" s="20" customFormat="1" ht="15.9" customHeight="1">
      <c r="A134" s="109" t="s">
        <v>948</v>
      </c>
    </row>
    <row r="135" spans="1:1" s="20" customFormat="1" ht="15.9" customHeight="1">
      <c r="A135" s="109" t="s">
        <v>949</v>
      </c>
    </row>
    <row r="136" spans="1:1" s="20" customFormat="1" ht="15.9" customHeight="1">
      <c r="A136" s="109" t="s">
        <v>950</v>
      </c>
    </row>
    <row r="137" spans="1:1" s="20" customFormat="1" ht="15.9" customHeight="1">
      <c r="A137" s="109" t="s">
        <v>1030</v>
      </c>
    </row>
    <row r="138" spans="1:1" s="20" customFormat="1" ht="15.9" customHeight="1">
      <c r="A138" s="109" t="s">
        <v>1031</v>
      </c>
    </row>
    <row r="139" spans="1:1" s="20" customFormat="1" ht="15.9" customHeight="1">
      <c r="A139" s="109" t="s">
        <v>951</v>
      </c>
    </row>
    <row r="140" spans="1:1" s="20" customFormat="1" ht="15.9" customHeight="1">
      <c r="A140" s="109" t="s">
        <v>952</v>
      </c>
    </row>
    <row r="141" spans="1:1" s="20" customFormat="1" ht="15.9" customHeight="1">
      <c r="A141" s="109" t="s">
        <v>1032</v>
      </c>
    </row>
    <row r="142" spans="1:1" s="20" customFormat="1" ht="15.9" customHeight="1">
      <c r="A142" s="109" t="s">
        <v>902</v>
      </c>
    </row>
    <row r="143" spans="1:1" s="20" customFormat="1" ht="15.9" customHeight="1">
      <c r="A143" s="109" t="s">
        <v>953</v>
      </c>
    </row>
    <row r="144" spans="1:1" s="20" customFormat="1" ht="15.9" customHeight="1">
      <c r="A144" s="109" t="s">
        <v>954</v>
      </c>
    </row>
    <row r="145" spans="1:1" s="20" customFormat="1" ht="15.9" customHeight="1">
      <c r="A145" s="109" t="s">
        <v>1033</v>
      </c>
    </row>
    <row r="146" spans="1:1" s="20" customFormat="1" ht="15.9" customHeight="1">
      <c r="A146" s="109" t="s">
        <v>955</v>
      </c>
    </row>
    <row r="147" spans="1:1" s="20" customFormat="1" ht="15.9" customHeight="1">
      <c r="A147" s="109" t="s">
        <v>1034</v>
      </c>
    </row>
    <row r="148" spans="1:1" s="20" customFormat="1" ht="15.9" customHeight="1">
      <c r="A148" s="109" t="s">
        <v>1079</v>
      </c>
    </row>
    <row r="149" spans="1:1" s="20" customFormat="1" ht="15.9" customHeight="1">
      <c r="A149" s="109" t="s">
        <v>1035</v>
      </c>
    </row>
    <row r="150" spans="1:1" s="20" customFormat="1" ht="15.9" customHeight="1">
      <c r="A150" s="109" t="s">
        <v>1037</v>
      </c>
    </row>
    <row r="151" spans="1:1" s="20" customFormat="1" ht="15.9" customHeight="1">
      <c r="A151" s="109" t="s">
        <v>1039</v>
      </c>
    </row>
    <row r="152" spans="1:1" s="20" customFormat="1" ht="15.9" customHeight="1">
      <c r="A152" s="109" t="s">
        <v>1036</v>
      </c>
    </row>
    <row r="153" spans="1:1" s="20" customFormat="1" ht="15.9" customHeight="1">
      <c r="A153" s="109" t="s">
        <v>1038</v>
      </c>
    </row>
    <row r="154" spans="1:1" s="20" customFormat="1" ht="15.9" customHeight="1">
      <c r="A154" s="109" t="s">
        <v>1040</v>
      </c>
    </row>
    <row r="155" spans="1:1" s="20" customFormat="1" ht="15.9" customHeight="1">
      <c r="A155" s="109" t="s">
        <v>1041</v>
      </c>
    </row>
    <row r="156" spans="1:1" s="20" customFormat="1" ht="15.9" customHeight="1">
      <c r="A156" s="109" t="s">
        <v>1042</v>
      </c>
    </row>
    <row r="157" spans="1:1" s="20" customFormat="1" ht="15.9" customHeight="1">
      <c r="A157" s="109" t="s">
        <v>956</v>
      </c>
    </row>
    <row r="158" spans="1:1" s="20" customFormat="1" ht="15.9" customHeight="1">
      <c r="A158" s="109" t="s">
        <v>1043</v>
      </c>
    </row>
    <row r="159" spans="1:1" s="20" customFormat="1" ht="15.9" customHeight="1">
      <c r="A159" s="109" t="s">
        <v>1044</v>
      </c>
    </row>
    <row r="160" spans="1:1" s="20" customFormat="1" ht="15.9" customHeight="1">
      <c r="A160" s="109" t="s">
        <v>1046</v>
      </c>
    </row>
    <row r="161" spans="1:1" s="20" customFormat="1" ht="15.9" customHeight="1">
      <c r="A161" s="109" t="s">
        <v>1045</v>
      </c>
    </row>
    <row r="162" spans="1:1" s="20" customFormat="1" ht="15.9" customHeight="1">
      <c r="A162" s="109" t="s">
        <v>1047</v>
      </c>
    </row>
    <row r="163" spans="1:1" s="20" customFormat="1" ht="15.9" customHeight="1">
      <c r="A163" s="109" t="s">
        <v>1048</v>
      </c>
    </row>
    <row r="164" spans="1:1" s="20" customFormat="1" ht="15.9" customHeight="1">
      <c r="A164" s="109" t="s">
        <v>1049</v>
      </c>
    </row>
    <row r="165" spans="1:1" s="20" customFormat="1" ht="15.9" customHeight="1">
      <c r="A165" s="109" t="s">
        <v>1050</v>
      </c>
    </row>
    <row r="166" spans="1:1" s="20" customFormat="1" ht="15.9" customHeight="1">
      <c r="A166" s="109" t="s">
        <v>831</v>
      </c>
    </row>
    <row r="167" spans="1:1" s="20" customFormat="1" ht="15.9" customHeight="1">
      <c r="A167" s="109" t="s">
        <v>957</v>
      </c>
    </row>
    <row r="168" spans="1:1" s="20" customFormat="1" ht="15.9" customHeight="1">
      <c r="A168" s="109" t="s">
        <v>1051</v>
      </c>
    </row>
    <row r="169" spans="1:1" s="20" customFormat="1" ht="15.9" customHeight="1">
      <c r="A169" s="109" t="s">
        <v>1052</v>
      </c>
    </row>
    <row r="170" spans="1:1" s="20" customFormat="1" ht="15.9" customHeight="1">
      <c r="A170" s="109" t="s">
        <v>1054</v>
      </c>
    </row>
    <row r="171" spans="1:1" s="20" customFormat="1" ht="15.9" customHeight="1">
      <c r="A171" s="109" t="s">
        <v>1053</v>
      </c>
    </row>
    <row r="172" spans="1:1" s="20" customFormat="1" ht="15.9" customHeight="1">
      <c r="A172" s="109" t="s">
        <v>1055</v>
      </c>
    </row>
    <row r="173" spans="1:1" s="20" customFormat="1" ht="15.9" customHeight="1">
      <c r="A173" s="109" t="s">
        <v>1056</v>
      </c>
    </row>
    <row r="174" spans="1:1" s="20" customFormat="1" ht="15.9" customHeight="1">
      <c r="A174" s="109" t="s">
        <v>1057</v>
      </c>
    </row>
    <row r="175" spans="1:1" s="20" customFormat="1" ht="15.9" customHeight="1">
      <c r="A175" s="109" t="s">
        <v>1078</v>
      </c>
    </row>
    <row r="176" spans="1:1" s="20" customFormat="1" ht="15.9" customHeight="1">
      <c r="A176" s="109" t="s">
        <v>1058</v>
      </c>
    </row>
    <row r="177" spans="1:1" s="20" customFormat="1" ht="15.9" customHeight="1">
      <c r="A177" s="109" t="s">
        <v>958</v>
      </c>
    </row>
    <row r="178" spans="1:1" s="20" customFormat="1" ht="15.9" customHeight="1">
      <c r="A178" s="109" t="s">
        <v>1059</v>
      </c>
    </row>
    <row r="179" spans="1:1" s="20" customFormat="1" ht="15.9" customHeight="1">
      <c r="A179" s="109" t="s">
        <v>1060</v>
      </c>
    </row>
    <row r="180" spans="1:1" s="20" customFormat="1" ht="15.9" customHeight="1">
      <c r="A180" s="109" t="s">
        <v>959</v>
      </c>
    </row>
    <row r="181" spans="1:1" s="20" customFormat="1" ht="15.9" customHeight="1">
      <c r="A181" s="109" t="s">
        <v>1061</v>
      </c>
    </row>
    <row r="182" spans="1:1" s="20" customFormat="1" ht="15.9" customHeight="1">
      <c r="A182" s="109" t="s">
        <v>1062</v>
      </c>
    </row>
    <row r="183" spans="1:1" s="20" customFormat="1" ht="15.9" customHeight="1">
      <c r="A183" s="109" t="s">
        <v>1063</v>
      </c>
    </row>
    <row r="184" spans="1:1" s="20" customFormat="1" ht="15.9" customHeight="1">
      <c r="A184" s="109" t="s">
        <v>1064</v>
      </c>
    </row>
    <row r="185" spans="1:1" s="20" customFormat="1" ht="15.9" customHeight="1">
      <c r="A185" s="109" t="s">
        <v>960</v>
      </c>
    </row>
    <row r="186" spans="1:1" s="20" customFormat="1" ht="15.9" customHeight="1">
      <c r="A186" s="109" t="s">
        <v>1065</v>
      </c>
    </row>
    <row r="187" spans="1:1" s="20" customFormat="1" ht="15.9" customHeight="1">
      <c r="A187" s="109" t="s">
        <v>1066</v>
      </c>
    </row>
    <row r="188" spans="1:1" s="20" customFormat="1" ht="15.9" customHeight="1">
      <c r="A188" s="109" t="s">
        <v>1067</v>
      </c>
    </row>
    <row r="189" spans="1:1" s="20" customFormat="1" ht="15.9" customHeight="1">
      <c r="A189" s="109" t="s">
        <v>961</v>
      </c>
    </row>
    <row r="190" spans="1:1" s="20" customFormat="1" ht="15.9" customHeight="1">
      <c r="A190" s="109" t="s">
        <v>1068</v>
      </c>
    </row>
    <row r="191" spans="1:1" s="20" customFormat="1" ht="15.9" customHeight="1">
      <c r="A191" s="109" t="s">
        <v>1069</v>
      </c>
    </row>
    <row r="192" spans="1:1" s="20" customFormat="1" ht="15.9" customHeight="1">
      <c r="A192" s="109" t="s">
        <v>1070</v>
      </c>
    </row>
    <row r="193" spans="1:1" s="20" customFormat="1" ht="15.9" customHeight="1">
      <c r="A193" s="109" t="s">
        <v>1071</v>
      </c>
    </row>
    <row r="194" spans="1:1" s="20" customFormat="1" ht="15.9" customHeight="1">
      <c r="A194" s="109" t="s">
        <v>962</v>
      </c>
    </row>
    <row r="195" spans="1:1" s="20" customFormat="1" ht="15.9" customHeight="1">
      <c r="A195" s="109" t="s">
        <v>963</v>
      </c>
    </row>
    <row r="196" spans="1:1" s="20" customFormat="1" ht="15.9" customHeight="1">
      <c r="A196" s="109" t="s">
        <v>1072</v>
      </c>
    </row>
    <row r="197" spans="1:1" s="20" customFormat="1" ht="15.9" customHeight="1">
      <c r="A197" s="109" t="s">
        <v>1073</v>
      </c>
    </row>
    <row r="198" spans="1:1" s="20" customFormat="1" ht="15.9" customHeight="1">
      <c r="A198" s="109" t="s">
        <v>1074</v>
      </c>
    </row>
    <row r="199" spans="1:1" s="20" customFormat="1" ht="15.9" customHeight="1">
      <c r="A199" s="109" t="s">
        <v>1075</v>
      </c>
    </row>
    <row r="200" spans="1:1" s="20" customFormat="1" ht="15.9" customHeight="1">
      <c r="A200" s="109" t="s">
        <v>1076</v>
      </c>
    </row>
    <row r="201" spans="1:1" ht="15.9" customHeight="1">
      <c r="A201" s="109" t="s">
        <v>1077</v>
      </c>
    </row>
  </sheetData>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E1044"/>
  <sheetViews>
    <sheetView tabSelected="1" zoomScaleNormal="100" workbookViewId="0">
      <pane ySplit="3" topLeftCell="A4" activePane="bottomLeft" state="frozen"/>
      <selection pane="bottomLeft" activeCell="B1" sqref="B1"/>
    </sheetView>
  </sheetViews>
  <sheetFormatPr defaultColWidth="9.109375" defaultRowHeight="13.2"/>
  <cols>
    <col min="1" max="1" width="24.109375" style="25" customWidth="1"/>
    <col min="2" max="2" width="11.5546875" style="25" customWidth="1"/>
    <col min="3" max="3" width="7" style="25" bestFit="1" customWidth="1"/>
    <col min="4" max="4" width="5.44140625" style="25" customWidth="1"/>
    <col min="5" max="6" width="6" style="25" customWidth="1"/>
    <col min="7" max="7" width="7" style="25" bestFit="1" customWidth="1"/>
    <col min="8" max="8" width="8.44140625" style="25" bestFit="1" customWidth="1"/>
    <col min="9" max="9" width="9.109375" style="25" bestFit="1" customWidth="1"/>
    <col min="10" max="10" width="10.33203125" style="25" customWidth="1"/>
    <col min="11" max="11" width="11.33203125" style="25" bestFit="1" customWidth="1"/>
    <col min="12" max="13" width="8.6640625" style="25" bestFit="1" customWidth="1"/>
    <col min="14" max="14" width="9" style="25" bestFit="1" customWidth="1"/>
    <col min="15" max="15" width="8.6640625" style="25" bestFit="1" customWidth="1"/>
    <col min="16" max="16" width="9" style="25" customWidth="1"/>
    <col min="17" max="17" width="33.44140625" style="25" customWidth="1"/>
    <col min="18" max="18" width="3.6640625" style="25" customWidth="1"/>
    <col min="19" max="19" width="18" style="25" bestFit="1" customWidth="1"/>
    <col min="20" max="20" width="10" style="45" customWidth="1"/>
    <col min="21" max="21" width="5.5546875" style="25" customWidth="1"/>
    <col min="22" max="22" width="5.33203125" style="25" customWidth="1"/>
    <col min="23" max="23" width="6.5546875" style="25" bestFit="1" customWidth="1"/>
    <col min="24" max="24" width="6.109375" style="25" bestFit="1" customWidth="1"/>
    <col min="25" max="25" width="6.109375" style="25" customWidth="1"/>
    <col min="26" max="26" width="8.33203125" style="25" bestFit="1" customWidth="1"/>
    <col min="27" max="27" width="9" style="25" bestFit="1" customWidth="1"/>
    <col min="28" max="28" width="10.33203125" style="25" customWidth="1"/>
    <col min="29" max="29" width="11.33203125" style="25" bestFit="1" customWidth="1"/>
    <col min="30" max="30" width="8.6640625" style="25" bestFit="1" customWidth="1"/>
    <col min="31" max="31" width="9" style="25" bestFit="1" customWidth="1"/>
    <col min="32" max="32" width="6" style="25" bestFit="1" customWidth="1"/>
    <col min="33" max="33" width="3.6640625" style="25" customWidth="1"/>
    <col min="34" max="34" width="23.88671875" style="25" customWidth="1"/>
    <col min="35" max="35" width="11.5546875" style="45" customWidth="1"/>
    <col min="36" max="36" width="7" style="25" bestFit="1" customWidth="1"/>
    <col min="37" max="37" width="5.33203125" style="25" customWidth="1"/>
    <col min="38" max="38" width="5.88671875" style="25" customWidth="1"/>
    <col min="39" max="39" width="6.5546875" style="25" bestFit="1" customWidth="1"/>
    <col min="40" max="40" width="6.5546875" style="25" customWidth="1"/>
    <col min="41" max="41" width="8.33203125" style="25" bestFit="1" customWidth="1"/>
    <col min="42" max="42" width="9" style="25" bestFit="1" customWidth="1"/>
    <col min="43" max="43" width="10.33203125" style="25" bestFit="1" customWidth="1"/>
    <col min="44" max="44" width="11.33203125" style="25" bestFit="1" customWidth="1"/>
    <col min="45" max="45" width="8.6640625" style="25" bestFit="1" customWidth="1"/>
    <col min="46" max="46" width="8.33203125" style="25" bestFit="1" customWidth="1"/>
    <col min="47" max="47" width="9" style="25" bestFit="1" customWidth="1"/>
    <col min="48" max="48" width="15.44140625" style="25" customWidth="1"/>
    <col min="49" max="49" width="22.5546875" style="25" customWidth="1"/>
    <col min="50" max="50" width="3.6640625" style="25" customWidth="1"/>
    <col min="51" max="51" width="22.33203125" style="25" bestFit="1" customWidth="1"/>
    <col min="52" max="52" width="11" style="25" bestFit="1" customWidth="1"/>
    <col min="53" max="53" width="5.5546875" style="25" bestFit="1" customWidth="1"/>
    <col min="54" max="54" width="4.5546875" style="25" bestFit="1" customWidth="1"/>
    <col min="55" max="55" width="6.5546875" style="25" bestFit="1" customWidth="1"/>
    <col min="56" max="56" width="15.6640625" style="25" bestFit="1" customWidth="1"/>
    <col min="57" max="57" width="6.5546875" style="25" customWidth="1"/>
    <col min="58" max="58" width="8.33203125" style="25" bestFit="1" customWidth="1"/>
    <col min="59" max="59" width="9" style="25" bestFit="1" customWidth="1"/>
    <col min="60" max="60" width="10.33203125" style="25" bestFit="1" customWidth="1"/>
    <col min="61" max="61" width="11.33203125" style="25" bestFit="1" customWidth="1"/>
    <col min="62" max="62" width="8.6640625" style="25" bestFit="1" customWidth="1"/>
    <col min="63" max="63" width="9" style="25" bestFit="1" customWidth="1"/>
    <col min="64" max="64" width="7.109375" style="25" customWidth="1"/>
    <col min="65" max="65" width="3.44140625" style="25" customWidth="1"/>
    <col min="66" max="66" width="19" style="25" bestFit="1" customWidth="1"/>
    <col min="67" max="67" width="11.5546875" style="45" customWidth="1"/>
    <col min="68" max="68" width="5.5546875" style="25" bestFit="1" customWidth="1"/>
    <col min="69" max="69" width="5.6640625" style="25" customWidth="1"/>
    <col min="70" max="70" width="6" style="25" customWidth="1"/>
    <col min="71" max="71" width="6.109375" style="25" bestFit="1" customWidth="1"/>
    <col min="72" max="72" width="6.109375" style="25" customWidth="1"/>
    <col min="73" max="73" width="8.33203125" style="25" bestFit="1" customWidth="1"/>
    <col min="74" max="74" width="9" style="25" bestFit="1" customWidth="1"/>
    <col min="75" max="75" width="10.33203125" style="25" bestFit="1" customWidth="1"/>
    <col min="76" max="76" width="11.33203125" style="25" bestFit="1" customWidth="1"/>
    <col min="77" max="77" width="8.6640625" style="25" bestFit="1" customWidth="1"/>
    <col min="78" max="78" width="9" style="25" bestFit="1" customWidth="1"/>
    <col min="79" max="79" width="7.109375" style="25" customWidth="1"/>
    <col min="80" max="80" width="3.6640625" style="25" customWidth="1"/>
    <col min="81" max="16384" width="9.109375" style="25"/>
  </cols>
  <sheetData>
    <row r="1" spans="1:83" s="39" customFormat="1" ht="15.6">
      <c r="A1" s="27" t="s">
        <v>509</v>
      </c>
      <c r="B1" s="12"/>
      <c r="C1" s="17"/>
      <c r="D1" s="17" t="s">
        <v>43</v>
      </c>
      <c r="E1" s="56">
        <f>COUNT(C4:C992)</f>
        <v>737</v>
      </c>
      <c r="F1" s="57"/>
      <c r="G1" s="57"/>
      <c r="H1" s="57"/>
      <c r="I1" s="57"/>
      <c r="J1" s="57"/>
      <c r="K1" s="57"/>
      <c r="L1" s="33" t="s">
        <v>83</v>
      </c>
      <c r="M1" s="33" t="s">
        <v>83</v>
      </c>
      <c r="N1" s="33" t="s">
        <v>83</v>
      </c>
      <c r="O1" s="33" t="s">
        <v>83</v>
      </c>
      <c r="P1" s="57"/>
      <c r="Q1" s="57"/>
      <c r="R1" s="39" t="s">
        <v>13</v>
      </c>
      <c r="S1" s="27" t="s">
        <v>1130</v>
      </c>
      <c r="T1" s="41"/>
      <c r="U1" s="17"/>
      <c r="V1" s="17" t="s">
        <v>43</v>
      </c>
      <c r="W1" s="56">
        <f>COUNT(U4:U1002)</f>
        <v>584</v>
      </c>
      <c r="X1" s="84"/>
      <c r="Y1" s="84"/>
      <c r="Z1" s="84"/>
      <c r="AA1" s="84"/>
      <c r="AB1" s="84"/>
      <c r="AC1" s="84"/>
      <c r="AD1" s="33" t="s">
        <v>83</v>
      </c>
      <c r="AE1" s="33" t="s">
        <v>83</v>
      </c>
      <c r="AF1" s="84"/>
      <c r="AH1" s="27" t="s">
        <v>317</v>
      </c>
      <c r="AI1" s="41"/>
      <c r="AJ1" s="12"/>
      <c r="AK1" s="17" t="s">
        <v>43</v>
      </c>
      <c r="AL1" s="56">
        <f>COUNT(AJ4:AJ1000)</f>
        <v>380</v>
      </c>
      <c r="AM1" s="57"/>
      <c r="AN1" s="57"/>
      <c r="AO1" s="57"/>
      <c r="AP1" s="57"/>
      <c r="AQ1" s="57"/>
      <c r="AR1" s="57"/>
      <c r="AS1" s="33" t="s">
        <v>83</v>
      </c>
      <c r="AT1" s="12" t="s">
        <v>83</v>
      </c>
      <c r="AU1" s="12" t="s">
        <v>83</v>
      </c>
      <c r="AV1" s="12"/>
      <c r="AW1" s="57"/>
      <c r="AY1" s="27" t="s">
        <v>510</v>
      </c>
      <c r="AZ1" s="57"/>
      <c r="BA1" s="57"/>
      <c r="BB1" s="17" t="s">
        <v>43</v>
      </c>
      <c r="BC1" s="56">
        <f>COUNT(BA4:BA1069)</f>
        <v>503</v>
      </c>
      <c r="BD1" s="84"/>
      <c r="BE1" s="84"/>
      <c r="BF1" s="57"/>
      <c r="BG1" s="57"/>
      <c r="BH1" s="57"/>
      <c r="BI1" s="57"/>
      <c r="BJ1" s="12" t="s">
        <v>83</v>
      </c>
      <c r="BK1" s="12" t="s">
        <v>83</v>
      </c>
      <c r="BL1" s="57"/>
      <c r="BN1" s="27" t="s">
        <v>511</v>
      </c>
      <c r="BO1" s="41"/>
      <c r="BP1" s="17"/>
      <c r="BQ1" s="17" t="s">
        <v>43</v>
      </c>
      <c r="BR1" s="56">
        <f>COUNT(BP4:BP502)</f>
        <v>15</v>
      </c>
      <c r="BS1" s="57"/>
      <c r="BT1" s="57"/>
      <c r="BU1" s="57"/>
      <c r="BV1" s="57"/>
      <c r="BW1" s="57"/>
      <c r="BX1" s="57"/>
      <c r="BY1" s="12" t="s">
        <v>83</v>
      </c>
      <c r="BZ1" s="12" t="s">
        <v>83</v>
      </c>
      <c r="CA1" s="57"/>
      <c r="CD1" s="18" t="s">
        <v>44</v>
      </c>
      <c r="CE1" s="19">
        <f>SUM(BR1,BC1,AL1,W1,E1)</f>
        <v>2219</v>
      </c>
    </row>
    <row r="2" spans="1:83" s="58" customFormat="1" ht="15.6">
      <c r="A2" s="1" t="s">
        <v>12</v>
      </c>
      <c r="B2" s="1" t="s">
        <v>19</v>
      </c>
      <c r="C2" s="2" t="s">
        <v>19</v>
      </c>
      <c r="D2" s="1" t="s">
        <v>19</v>
      </c>
      <c r="E2" s="1" t="s">
        <v>19</v>
      </c>
      <c r="F2" s="2" t="s">
        <v>28</v>
      </c>
      <c r="G2" s="2" t="s">
        <v>388</v>
      </c>
      <c r="H2" s="2" t="s">
        <v>29</v>
      </c>
      <c r="I2" s="2" t="s">
        <v>30</v>
      </c>
      <c r="J2" s="2" t="s">
        <v>326</v>
      </c>
      <c r="K2" s="2" t="s">
        <v>325</v>
      </c>
      <c r="L2" s="2" t="s">
        <v>28</v>
      </c>
      <c r="M2" s="2" t="s">
        <v>29</v>
      </c>
      <c r="N2" s="2" t="s">
        <v>30</v>
      </c>
      <c r="O2" s="2" t="s">
        <v>84</v>
      </c>
      <c r="P2" s="2" t="s">
        <v>82</v>
      </c>
      <c r="Q2" s="2" t="s">
        <v>74</v>
      </c>
      <c r="S2" s="1" t="s">
        <v>12</v>
      </c>
      <c r="T2" s="42" t="s">
        <v>19</v>
      </c>
      <c r="U2" s="2" t="s">
        <v>19</v>
      </c>
      <c r="V2" s="1" t="s">
        <v>19</v>
      </c>
      <c r="W2" s="1" t="s">
        <v>19</v>
      </c>
      <c r="X2" s="2" t="s">
        <v>28</v>
      </c>
      <c r="Y2" s="2" t="s">
        <v>388</v>
      </c>
      <c r="Z2" s="2" t="s">
        <v>29</v>
      </c>
      <c r="AA2" s="2" t="s">
        <v>30</v>
      </c>
      <c r="AB2" s="2" t="s">
        <v>326</v>
      </c>
      <c r="AC2" s="2" t="s">
        <v>325</v>
      </c>
      <c r="AD2" s="2" t="s">
        <v>29</v>
      </c>
      <c r="AE2" s="2" t="s">
        <v>30</v>
      </c>
      <c r="AF2" s="2" t="s">
        <v>74</v>
      </c>
      <c r="AG2" s="3"/>
      <c r="AH2" s="1" t="s">
        <v>12</v>
      </c>
      <c r="AI2" s="42" t="s">
        <v>19</v>
      </c>
      <c r="AJ2" s="2" t="s">
        <v>19</v>
      </c>
      <c r="AK2" s="1" t="s">
        <v>19</v>
      </c>
      <c r="AL2" s="1" t="s">
        <v>19</v>
      </c>
      <c r="AM2" s="2" t="s">
        <v>28</v>
      </c>
      <c r="AN2" s="2" t="s">
        <v>388</v>
      </c>
      <c r="AO2" s="2" t="s">
        <v>29</v>
      </c>
      <c r="AP2" s="2" t="s">
        <v>30</v>
      </c>
      <c r="AQ2" s="2" t="s">
        <v>326</v>
      </c>
      <c r="AR2" s="2" t="s">
        <v>325</v>
      </c>
      <c r="AS2" s="2" t="s">
        <v>28</v>
      </c>
      <c r="AT2" s="2" t="s">
        <v>29</v>
      </c>
      <c r="AU2" s="2" t="s">
        <v>30</v>
      </c>
      <c r="AV2" s="2" t="s">
        <v>739</v>
      </c>
      <c r="AW2" s="2" t="s">
        <v>74</v>
      </c>
      <c r="AY2" s="1" t="s">
        <v>12</v>
      </c>
      <c r="AZ2" s="42" t="s">
        <v>19</v>
      </c>
      <c r="BA2" s="2" t="s">
        <v>19</v>
      </c>
      <c r="BB2" s="1" t="s">
        <v>19</v>
      </c>
      <c r="BC2" s="1" t="s">
        <v>19</v>
      </c>
      <c r="BD2" s="2" t="s">
        <v>28</v>
      </c>
      <c r="BE2" s="2" t="s">
        <v>388</v>
      </c>
      <c r="BF2" s="2" t="s">
        <v>29</v>
      </c>
      <c r="BG2" s="2" t="s">
        <v>30</v>
      </c>
      <c r="BH2" s="2" t="s">
        <v>326</v>
      </c>
      <c r="BI2" s="2" t="s">
        <v>325</v>
      </c>
      <c r="BJ2" s="2" t="s">
        <v>29</v>
      </c>
      <c r="BK2" s="2" t="s">
        <v>30</v>
      </c>
      <c r="BL2" s="2" t="s">
        <v>74</v>
      </c>
      <c r="BN2" s="1" t="s">
        <v>12</v>
      </c>
      <c r="BO2" s="42" t="s">
        <v>19</v>
      </c>
      <c r="BP2" s="2" t="s">
        <v>19</v>
      </c>
      <c r="BQ2" s="1" t="s">
        <v>19</v>
      </c>
      <c r="BR2" s="1" t="s">
        <v>19</v>
      </c>
      <c r="BS2" s="2" t="s">
        <v>28</v>
      </c>
      <c r="BT2" s="2" t="s">
        <v>388</v>
      </c>
      <c r="BU2" s="2" t="s">
        <v>29</v>
      </c>
      <c r="BV2" s="2" t="s">
        <v>30</v>
      </c>
      <c r="BW2" s="2" t="s">
        <v>326</v>
      </c>
      <c r="BX2" s="2" t="s">
        <v>325</v>
      </c>
      <c r="BY2" s="2" t="s">
        <v>29</v>
      </c>
      <c r="BZ2" s="2" t="s">
        <v>30</v>
      </c>
      <c r="CA2" s="2" t="s">
        <v>74</v>
      </c>
    </row>
    <row r="3" spans="1:83" s="58" customFormat="1">
      <c r="A3" s="1"/>
      <c r="B3" s="1" t="s">
        <v>286</v>
      </c>
      <c r="C3" s="2" t="s">
        <v>20</v>
      </c>
      <c r="D3" s="2" t="s">
        <v>33</v>
      </c>
      <c r="E3" s="2" t="s">
        <v>35</v>
      </c>
      <c r="F3" s="2" t="s">
        <v>21</v>
      </c>
      <c r="G3" s="2"/>
      <c r="H3" s="2" t="s">
        <v>21</v>
      </c>
      <c r="I3" s="2" t="s">
        <v>21</v>
      </c>
      <c r="J3" s="2"/>
      <c r="K3" s="2"/>
      <c r="L3" s="2" t="s">
        <v>21</v>
      </c>
      <c r="M3" s="2" t="s">
        <v>21</v>
      </c>
      <c r="N3" s="2" t="s">
        <v>21</v>
      </c>
      <c r="O3" s="2" t="s">
        <v>21</v>
      </c>
      <c r="P3" s="2" t="s">
        <v>21</v>
      </c>
      <c r="Q3" s="2"/>
      <c r="S3" s="1"/>
      <c r="T3" s="42" t="s">
        <v>286</v>
      </c>
      <c r="U3" s="2" t="s">
        <v>20</v>
      </c>
      <c r="V3" s="2" t="s">
        <v>33</v>
      </c>
      <c r="W3" s="2" t="s">
        <v>35</v>
      </c>
      <c r="X3" s="2" t="s">
        <v>21</v>
      </c>
      <c r="Y3" s="2"/>
      <c r="Z3" s="2" t="s">
        <v>21</v>
      </c>
      <c r="AA3" s="2" t="s">
        <v>21</v>
      </c>
      <c r="AB3" s="2"/>
      <c r="AC3" s="2"/>
      <c r="AD3" s="2" t="s">
        <v>21</v>
      </c>
      <c r="AE3" s="2" t="s">
        <v>21</v>
      </c>
      <c r="AF3" s="2"/>
      <c r="AG3" s="3"/>
      <c r="AH3" s="1"/>
      <c r="AI3" s="1" t="s">
        <v>286</v>
      </c>
      <c r="AJ3" s="2" t="s">
        <v>20</v>
      </c>
      <c r="AK3" s="2" t="s">
        <v>33</v>
      </c>
      <c r="AL3" s="2" t="s">
        <v>35</v>
      </c>
      <c r="AM3" s="2" t="s">
        <v>21</v>
      </c>
      <c r="AN3" s="2"/>
      <c r="AO3" s="2" t="s">
        <v>21</v>
      </c>
      <c r="AP3" s="2" t="s">
        <v>21</v>
      </c>
      <c r="AQ3" s="2"/>
      <c r="AR3" s="2"/>
      <c r="AS3" s="2" t="s">
        <v>21</v>
      </c>
      <c r="AT3" s="2" t="s">
        <v>21</v>
      </c>
      <c r="AU3" s="2" t="s">
        <v>21</v>
      </c>
      <c r="AV3" s="2"/>
      <c r="AW3" s="2"/>
      <c r="AY3" s="1"/>
      <c r="AZ3" s="1" t="s">
        <v>286</v>
      </c>
      <c r="BA3" s="2" t="s">
        <v>20</v>
      </c>
      <c r="BB3" s="2" t="s">
        <v>33</v>
      </c>
      <c r="BC3" s="2" t="s">
        <v>35</v>
      </c>
      <c r="BD3" s="2" t="s">
        <v>21</v>
      </c>
      <c r="BE3" s="2"/>
      <c r="BF3" s="2" t="s">
        <v>21</v>
      </c>
      <c r="BG3" s="2" t="s">
        <v>21</v>
      </c>
      <c r="BH3" s="2"/>
      <c r="BI3" s="2"/>
      <c r="BJ3" s="2" t="s">
        <v>21</v>
      </c>
      <c r="BK3" s="2" t="s">
        <v>21</v>
      </c>
      <c r="BL3" s="2"/>
      <c r="BN3" s="1"/>
      <c r="BO3" s="1" t="s">
        <v>286</v>
      </c>
      <c r="BP3" s="2" t="s">
        <v>20</v>
      </c>
      <c r="BQ3" s="2" t="s">
        <v>33</v>
      </c>
      <c r="BR3" s="2" t="s">
        <v>35</v>
      </c>
      <c r="BS3" s="2" t="s">
        <v>21</v>
      </c>
      <c r="BT3" s="2"/>
      <c r="BU3" s="2" t="s">
        <v>21</v>
      </c>
      <c r="BV3" s="2" t="s">
        <v>21</v>
      </c>
      <c r="BW3" s="2"/>
      <c r="BX3" s="2"/>
      <c r="BY3" s="2" t="s">
        <v>21</v>
      </c>
      <c r="BZ3" s="2" t="s">
        <v>21</v>
      </c>
      <c r="CA3" s="2"/>
    </row>
    <row r="4" spans="1:83">
      <c r="A4" s="13" t="s">
        <v>86</v>
      </c>
      <c r="B4" s="36" t="s">
        <v>240</v>
      </c>
      <c r="C4" s="59">
        <f>AVERAGE(D4:E4)</f>
        <v>196.05</v>
      </c>
      <c r="D4" s="60">
        <v>201.3</v>
      </c>
      <c r="E4" s="60">
        <v>190.8</v>
      </c>
      <c r="F4" s="23">
        <f>L4*$P4/$O4</f>
        <v>1204</v>
      </c>
      <c r="G4" s="23" t="s">
        <v>389</v>
      </c>
      <c r="H4" s="23">
        <f>F4*0.5</f>
        <v>602</v>
      </c>
      <c r="I4" s="23">
        <f>F4*2</f>
        <v>2408</v>
      </c>
      <c r="J4" s="23" t="s">
        <v>480</v>
      </c>
      <c r="K4" s="23" t="s">
        <v>400</v>
      </c>
      <c r="L4" s="34">
        <v>3010</v>
      </c>
      <c r="M4" s="34">
        <v>2600</v>
      </c>
      <c r="N4" s="29">
        <v>3550</v>
      </c>
      <c r="O4" s="29">
        <v>5000</v>
      </c>
      <c r="P4" s="23">
        <v>2000</v>
      </c>
      <c r="Q4" s="23"/>
      <c r="R4" s="26" t="s">
        <v>13</v>
      </c>
      <c r="S4" s="6" t="s">
        <v>73</v>
      </c>
      <c r="T4" s="44"/>
      <c r="U4" s="61">
        <v>0.19989999999999999</v>
      </c>
      <c r="V4" s="62"/>
      <c r="W4" s="62"/>
      <c r="X4" s="26">
        <f t="shared" ref="X4:X37" si="0">AVERAGE(AD4:AE4)</f>
        <v>288.8761688330415</v>
      </c>
      <c r="Y4" s="26" t="s">
        <v>389</v>
      </c>
      <c r="Z4" s="26">
        <f t="shared" ref="Z4:AA35" si="1">AD4</f>
        <v>262.90842585122499</v>
      </c>
      <c r="AA4" s="26">
        <f t="shared" si="1"/>
        <v>314.84391181485802</v>
      </c>
      <c r="AB4" s="64" t="s">
        <v>427</v>
      </c>
      <c r="AC4" s="64" t="s">
        <v>398</v>
      </c>
      <c r="AD4" s="63">
        <v>262.90842585122499</v>
      </c>
      <c r="AE4" s="64">
        <v>314.84391181485802</v>
      </c>
      <c r="AF4" s="64" t="s">
        <v>394</v>
      </c>
      <c r="AG4" s="25" t="s">
        <v>13</v>
      </c>
      <c r="AH4" s="5" t="s">
        <v>238</v>
      </c>
      <c r="AI4" s="43" t="s">
        <v>660</v>
      </c>
      <c r="AJ4" s="65">
        <f>AVERAGE(AK4:AL4)</f>
        <v>2.15</v>
      </c>
      <c r="AK4" s="65">
        <v>2.5499999999999998</v>
      </c>
      <c r="AL4" s="65">
        <v>1.75</v>
      </c>
      <c r="AM4" s="66">
        <f t="shared" ref="AM4:AM9" si="2">AVERAGE(AT4:AU4)</f>
        <v>357.5</v>
      </c>
      <c r="AN4" s="26" t="s">
        <v>389</v>
      </c>
      <c r="AO4" s="66">
        <f t="shared" ref="AO4:AO9" si="3">AM4*0.7</f>
        <v>250.24999999999997</v>
      </c>
      <c r="AP4" s="100">
        <f t="shared" ref="AP4:AP9" si="4">AM4*1.65</f>
        <v>589.875</v>
      </c>
      <c r="AQ4" s="29" t="s">
        <v>512</v>
      </c>
      <c r="AR4" s="23" t="s">
        <v>424</v>
      </c>
      <c r="AS4" s="23">
        <f>AVERAGE(AT4:AU4)</f>
        <v>357.5</v>
      </c>
      <c r="AT4" s="34">
        <v>340</v>
      </c>
      <c r="AU4" s="29">
        <v>375</v>
      </c>
      <c r="AV4" s="23" t="s">
        <v>236</v>
      </c>
      <c r="AW4" s="23"/>
      <c r="AX4" s="29" t="s">
        <v>13</v>
      </c>
      <c r="AY4" s="6" t="s">
        <v>877</v>
      </c>
      <c r="AZ4" s="67" t="s">
        <v>13</v>
      </c>
      <c r="BA4" s="67">
        <v>32.982999999999997</v>
      </c>
      <c r="BB4" s="62"/>
      <c r="BC4" s="62"/>
      <c r="BD4" s="22">
        <v>573.28179238461803</v>
      </c>
      <c r="BE4" s="26" t="s">
        <v>239</v>
      </c>
      <c r="BF4" s="26">
        <f t="shared" ref="BF4:BF11" si="5">BD4-0.5*(BD4-BJ4)</f>
        <v>526.66975605179402</v>
      </c>
      <c r="BG4" s="26">
        <f t="shared" ref="BG4:BG12" si="6">BD4+0.5*(BK4-BD4)</f>
        <v>632.57435828205394</v>
      </c>
      <c r="BH4" s="83" t="s">
        <v>738</v>
      </c>
      <c r="BI4" s="22" t="s">
        <v>430</v>
      </c>
      <c r="BJ4" s="22">
        <v>480.05771971897002</v>
      </c>
      <c r="BK4" s="22">
        <v>691.86692417948996</v>
      </c>
      <c r="BL4" s="22" t="s">
        <v>399</v>
      </c>
      <c r="BM4" s="25" t="s">
        <v>13</v>
      </c>
      <c r="BN4" s="16" t="s">
        <v>42</v>
      </c>
      <c r="BO4" s="43" t="s">
        <v>222</v>
      </c>
      <c r="BP4" s="86">
        <f>AVERAGE(BQ4:BR4)</f>
        <v>51.9</v>
      </c>
      <c r="BQ4" s="86">
        <v>56</v>
      </c>
      <c r="BR4" s="86">
        <v>47.8</v>
      </c>
      <c r="BS4" s="29">
        <v>1867.6415</v>
      </c>
      <c r="BT4" s="29" t="s">
        <v>389</v>
      </c>
      <c r="BU4" s="29">
        <f t="shared" ref="BU4:BU17" si="7">BS4-0.608*(BS4-BY4)</f>
        <v>1396.262444</v>
      </c>
      <c r="BV4" s="29">
        <f t="shared" ref="BV4:BV17" si="8">BS4+0.608*(BZ4-BS4)</f>
        <v>2860.8876279999999</v>
      </c>
      <c r="BW4" s="29" t="s">
        <v>431</v>
      </c>
      <c r="BX4" s="26" t="s">
        <v>400</v>
      </c>
      <c r="BY4" s="29">
        <v>1092.347</v>
      </c>
      <c r="BZ4" s="29">
        <v>3501.27</v>
      </c>
      <c r="CA4" s="25" t="s">
        <v>439</v>
      </c>
      <c r="CB4" s="25" t="s">
        <v>13</v>
      </c>
      <c r="CC4" s="25" t="s">
        <v>13</v>
      </c>
    </row>
    <row r="5" spans="1:83">
      <c r="A5" s="13" t="s">
        <v>86</v>
      </c>
      <c r="B5" s="36" t="s">
        <v>267</v>
      </c>
      <c r="C5" s="60">
        <v>211.9</v>
      </c>
      <c r="D5" s="60">
        <f>C5+2.1</f>
        <v>214</v>
      </c>
      <c r="E5" s="60">
        <f>C5-2.1</f>
        <v>209.8</v>
      </c>
      <c r="F5" s="23">
        <f t="shared" ref="F5:F68" si="9">L5*$P5/$O5</f>
        <v>1264</v>
      </c>
      <c r="G5" s="23" t="s">
        <v>389</v>
      </c>
      <c r="H5" s="23">
        <f t="shared" ref="H5:H68" si="10">F5*0.5</f>
        <v>632</v>
      </c>
      <c r="I5" s="23">
        <f t="shared" ref="I5:I68" si="11">F5*2</f>
        <v>2528</v>
      </c>
      <c r="J5" s="23" t="s">
        <v>480</v>
      </c>
      <c r="K5" s="23" t="s">
        <v>400</v>
      </c>
      <c r="L5" s="34">
        <v>3160</v>
      </c>
      <c r="M5" s="34">
        <v>1800</v>
      </c>
      <c r="N5" s="29">
        <v>5400</v>
      </c>
      <c r="O5" s="29">
        <v>5000</v>
      </c>
      <c r="P5" s="23">
        <v>2000</v>
      </c>
      <c r="Q5" s="23"/>
      <c r="R5" s="26" t="s">
        <v>13</v>
      </c>
      <c r="S5" s="6" t="s">
        <v>73</v>
      </c>
      <c r="T5" s="44"/>
      <c r="U5" s="61">
        <v>0.25345000000000001</v>
      </c>
      <c r="V5" s="62"/>
      <c r="W5" s="62"/>
      <c r="X5" s="26">
        <f t="shared" si="0"/>
        <v>245.76859434115937</v>
      </c>
      <c r="Y5" s="26" t="s">
        <v>389</v>
      </c>
      <c r="Z5" s="26">
        <f t="shared" si="1"/>
        <v>223.67589034056712</v>
      </c>
      <c r="AA5" s="26">
        <f t="shared" si="1"/>
        <v>267.86129834175165</v>
      </c>
      <c r="AB5" s="64" t="s">
        <v>427</v>
      </c>
      <c r="AC5" s="64" t="s">
        <v>398</v>
      </c>
      <c r="AD5" s="63">
        <v>223.67589034056712</v>
      </c>
      <c r="AE5" s="64">
        <v>267.86129834175165</v>
      </c>
      <c r="AF5" s="64" t="s">
        <v>394</v>
      </c>
      <c r="AG5" s="25" t="s">
        <v>13</v>
      </c>
      <c r="AH5" s="5" t="s">
        <v>238</v>
      </c>
      <c r="AI5" s="43" t="s">
        <v>664</v>
      </c>
      <c r="AJ5" s="62">
        <v>5.0999999999999996</v>
      </c>
      <c r="AK5" s="62"/>
      <c r="AL5" s="62"/>
      <c r="AM5" s="66">
        <f t="shared" si="2"/>
        <v>357.5</v>
      </c>
      <c r="AN5" s="26" t="s">
        <v>389</v>
      </c>
      <c r="AO5" s="66">
        <f t="shared" si="3"/>
        <v>250.24999999999997</v>
      </c>
      <c r="AP5" s="100">
        <f t="shared" si="4"/>
        <v>589.875</v>
      </c>
      <c r="AQ5" s="29" t="s">
        <v>512</v>
      </c>
      <c r="AR5" s="23" t="s">
        <v>424</v>
      </c>
      <c r="AS5" s="23">
        <f t="shared" ref="AS5:AS12" si="12">AVERAGE(AT5:AU5)</f>
        <v>357.5</v>
      </c>
      <c r="AT5" s="29">
        <v>340</v>
      </c>
      <c r="AU5" s="29">
        <v>375</v>
      </c>
      <c r="AV5" s="23" t="s">
        <v>236</v>
      </c>
      <c r="AW5" s="23"/>
      <c r="AX5" s="29" t="s">
        <v>13</v>
      </c>
      <c r="AY5" s="6" t="s">
        <v>877</v>
      </c>
      <c r="AZ5" s="67" t="s">
        <v>13</v>
      </c>
      <c r="BA5" s="67">
        <v>33.172699999999999</v>
      </c>
      <c r="BB5" s="62"/>
      <c r="BC5" s="62"/>
      <c r="BD5" s="22">
        <v>734.17211009026698</v>
      </c>
      <c r="BE5" s="26" t="s">
        <v>239</v>
      </c>
      <c r="BF5" s="26">
        <f t="shared" si="5"/>
        <v>675.92101519428343</v>
      </c>
      <c r="BG5" s="26">
        <f t="shared" si="6"/>
        <v>811.85340680976992</v>
      </c>
      <c r="BH5" s="83" t="s">
        <v>738</v>
      </c>
      <c r="BI5" s="22" t="s">
        <v>430</v>
      </c>
      <c r="BJ5" s="22">
        <v>617.66992029829999</v>
      </c>
      <c r="BK5" s="22">
        <v>889.53470352927297</v>
      </c>
      <c r="BL5" s="22" t="s">
        <v>399</v>
      </c>
      <c r="BM5" s="25" t="s">
        <v>13</v>
      </c>
      <c r="BN5" s="16" t="s">
        <v>42</v>
      </c>
      <c r="BO5" s="43" t="s">
        <v>223</v>
      </c>
      <c r="BP5" s="86">
        <f>AVERAGE(BQ5:BR5)</f>
        <v>58.8</v>
      </c>
      <c r="BQ5" s="86">
        <v>61.6</v>
      </c>
      <c r="BR5" s="86">
        <v>56</v>
      </c>
      <c r="BS5" s="29">
        <v>583.04639999999995</v>
      </c>
      <c r="BT5" s="29" t="s">
        <v>389</v>
      </c>
      <c r="BU5" s="29">
        <f t="shared" si="7"/>
        <v>401.15383679999997</v>
      </c>
      <c r="BV5" s="29">
        <f t="shared" si="8"/>
        <v>818.41396159999999</v>
      </c>
      <c r="BW5" s="29" t="s">
        <v>431</v>
      </c>
      <c r="BX5" s="26" t="s">
        <v>400</v>
      </c>
      <c r="BY5" s="29">
        <v>283.88099999999997</v>
      </c>
      <c r="BZ5" s="29">
        <v>970.16409999999996</v>
      </c>
      <c r="CA5" s="25" t="s">
        <v>439</v>
      </c>
      <c r="CB5" s="25" t="s">
        <v>13</v>
      </c>
      <c r="CC5" s="25" t="s">
        <v>13</v>
      </c>
    </row>
    <row r="6" spans="1:83">
      <c r="A6" s="13" t="s">
        <v>86</v>
      </c>
      <c r="B6" s="36" t="s">
        <v>85</v>
      </c>
      <c r="C6" s="59">
        <f>AVERAGE(D6:E6)</f>
        <v>223.25</v>
      </c>
      <c r="D6" s="60">
        <v>237</v>
      </c>
      <c r="E6" s="60">
        <v>209.5</v>
      </c>
      <c r="F6" s="23">
        <f t="shared" si="9"/>
        <v>800</v>
      </c>
      <c r="G6" s="23" t="s">
        <v>389</v>
      </c>
      <c r="H6" s="23">
        <f t="shared" si="10"/>
        <v>400</v>
      </c>
      <c r="I6" s="23">
        <f t="shared" si="11"/>
        <v>1600</v>
      </c>
      <c r="J6" s="23" t="s">
        <v>480</v>
      </c>
      <c r="K6" s="23" t="s">
        <v>400</v>
      </c>
      <c r="L6" s="34">
        <v>2000</v>
      </c>
      <c r="M6" s="34">
        <v>1600</v>
      </c>
      <c r="N6" s="29">
        <v>2400</v>
      </c>
      <c r="O6" s="29">
        <v>5000</v>
      </c>
      <c r="P6" s="23">
        <v>2000</v>
      </c>
      <c r="Q6" s="23"/>
      <c r="R6" s="26" t="s">
        <v>13</v>
      </c>
      <c r="S6" s="6" t="s">
        <v>73</v>
      </c>
      <c r="T6" s="44"/>
      <c r="U6" s="61">
        <v>0.45630000000000004</v>
      </c>
      <c r="V6" s="62"/>
      <c r="W6" s="62"/>
      <c r="X6" s="26">
        <f t="shared" si="0"/>
        <v>255.07990268379805</v>
      </c>
      <c r="Y6" s="26" t="s">
        <v>389</v>
      </c>
      <c r="Z6" s="26">
        <f t="shared" si="1"/>
        <v>232.15018376832774</v>
      </c>
      <c r="AA6" s="26">
        <f t="shared" si="1"/>
        <v>278.00962159926837</v>
      </c>
      <c r="AB6" s="64" t="s">
        <v>427</v>
      </c>
      <c r="AC6" s="64" t="s">
        <v>398</v>
      </c>
      <c r="AD6" s="63">
        <v>232.15018376832774</v>
      </c>
      <c r="AE6" s="64">
        <v>278.00962159926837</v>
      </c>
      <c r="AF6" s="64" t="s">
        <v>394</v>
      </c>
      <c r="AG6" s="25" t="s">
        <v>13</v>
      </c>
      <c r="AH6" s="5" t="s">
        <v>238</v>
      </c>
      <c r="AI6" s="43" t="s">
        <v>663</v>
      </c>
      <c r="AJ6" s="62">
        <v>6.5</v>
      </c>
      <c r="AK6" s="62"/>
      <c r="AL6" s="62"/>
      <c r="AM6" s="66">
        <f t="shared" si="2"/>
        <v>270</v>
      </c>
      <c r="AN6" s="26" t="s">
        <v>389</v>
      </c>
      <c r="AO6" s="66">
        <f t="shared" si="3"/>
        <v>189</v>
      </c>
      <c r="AP6" s="100">
        <f t="shared" si="4"/>
        <v>445.5</v>
      </c>
      <c r="AQ6" s="29" t="s">
        <v>512</v>
      </c>
      <c r="AR6" s="23" t="s">
        <v>424</v>
      </c>
      <c r="AS6" s="23">
        <f t="shared" si="12"/>
        <v>270</v>
      </c>
      <c r="AT6" s="29">
        <v>255</v>
      </c>
      <c r="AU6" s="29">
        <v>285</v>
      </c>
      <c r="AV6" s="23" t="s">
        <v>236</v>
      </c>
      <c r="AW6" s="23"/>
      <c r="AX6" s="29" t="s">
        <v>13</v>
      </c>
      <c r="AY6" s="6" t="s">
        <v>877</v>
      </c>
      <c r="AZ6" s="67" t="s">
        <v>13</v>
      </c>
      <c r="BA6" s="67">
        <v>33.3324</v>
      </c>
      <c r="BB6" s="62"/>
      <c r="BC6" s="62"/>
      <c r="BD6" s="22">
        <v>931.03723324817497</v>
      </c>
      <c r="BE6" s="26" t="s">
        <v>239</v>
      </c>
      <c r="BF6" s="26">
        <f t="shared" si="5"/>
        <v>848.67681867899296</v>
      </c>
      <c r="BG6" s="26">
        <f t="shared" si="6"/>
        <v>1024.8038100876224</v>
      </c>
      <c r="BH6" s="83" t="s">
        <v>738</v>
      </c>
      <c r="BI6" s="22" t="s">
        <v>430</v>
      </c>
      <c r="BJ6" s="22">
        <v>766.31640410981095</v>
      </c>
      <c r="BK6" s="22">
        <v>1118.5703869270699</v>
      </c>
      <c r="BL6" s="22" t="s">
        <v>399</v>
      </c>
      <c r="BM6" s="25" t="s">
        <v>13</v>
      </c>
      <c r="BN6" s="16" t="s">
        <v>42</v>
      </c>
      <c r="BO6" s="43" t="s">
        <v>224</v>
      </c>
      <c r="BP6" s="86">
        <f>AVERAGE(BQ6:BR6)</f>
        <v>70</v>
      </c>
      <c r="BQ6" s="86">
        <v>71</v>
      </c>
      <c r="BR6" s="86">
        <v>69</v>
      </c>
      <c r="BS6" s="29">
        <v>670.32270000000005</v>
      </c>
      <c r="BT6" s="29" t="s">
        <v>389</v>
      </c>
      <c r="BU6" s="29">
        <f t="shared" si="7"/>
        <v>459.48222320000002</v>
      </c>
      <c r="BV6" s="29">
        <f t="shared" si="8"/>
        <v>930.79616239999996</v>
      </c>
      <c r="BW6" s="29" t="s">
        <v>431</v>
      </c>
      <c r="BX6" s="26" t="s">
        <v>400</v>
      </c>
      <c r="BY6" s="29">
        <v>323.54559999999998</v>
      </c>
      <c r="BZ6" s="29">
        <v>1098.7329999999999</v>
      </c>
      <c r="CA6" s="25" t="s">
        <v>440</v>
      </c>
      <c r="CB6" s="25" t="s">
        <v>13</v>
      </c>
      <c r="CC6" s="25" t="s">
        <v>13</v>
      </c>
    </row>
    <row r="7" spans="1:83">
      <c r="A7" s="13" t="s">
        <v>87</v>
      </c>
      <c r="B7" s="36" t="s">
        <v>88</v>
      </c>
      <c r="C7" s="59">
        <f>AVERAGE(D7:E7)</f>
        <v>142.19999999999999</v>
      </c>
      <c r="D7" s="60">
        <v>145</v>
      </c>
      <c r="E7" s="60">
        <v>139.4</v>
      </c>
      <c r="F7" s="23">
        <f t="shared" si="9"/>
        <v>560</v>
      </c>
      <c r="G7" s="23" t="s">
        <v>389</v>
      </c>
      <c r="H7" s="23">
        <f t="shared" si="10"/>
        <v>280</v>
      </c>
      <c r="I7" s="23">
        <f t="shared" si="11"/>
        <v>1120</v>
      </c>
      <c r="J7" s="23" t="s">
        <v>480</v>
      </c>
      <c r="K7" s="23" t="s">
        <v>400</v>
      </c>
      <c r="L7" s="34">
        <v>2100</v>
      </c>
      <c r="M7" s="34">
        <v>1600</v>
      </c>
      <c r="N7" s="29">
        <v>2600</v>
      </c>
      <c r="O7" s="29">
        <v>7500</v>
      </c>
      <c r="P7" s="23">
        <v>2000</v>
      </c>
      <c r="Q7" s="23"/>
      <c r="R7" s="26" t="s">
        <v>13</v>
      </c>
      <c r="S7" s="6" t="s">
        <v>73</v>
      </c>
      <c r="T7" s="44"/>
      <c r="U7" s="61">
        <v>0.9</v>
      </c>
      <c r="V7" s="62"/>
      <c r="W7" s="62"/>
      <c r="X7" s="26">
        <f t="shared" si="0"/>
        <v>242.58702586848085</v>
      </c>
      <c r="Y7" s="26" t="s">
        <v>389</v>
      </c>
      <c r="Z7" s="26">
        <f t="shared" si="1"/>
        <v>220.78032037275423</v>
      </c>
      <c r="AA7" s="26">
        <f t="shared" si="1"/>
        <v>264.3937313642075</v>
      </c>
      <c r="AB7" s="64" t="s">
        <v>427</v>
      </c>
      <c r="AC7" s="64" t="s">
        <v>398</v>
      </c>
      <c r="AD7" s="63">
        <v>220.78032037275423</v>
      </c>
      <c r="AE7" s="64">
        <v>264.3937313642075</v>
      </c>
      <c r="AF7" s="64" t="s">
        <v>394</v>
      </c>
      <c r="AG7" s="25" t="s">
        <v>13</v>
      </c>
      <c r="AH7" s="5" t="s">
        <v>238</v>
      </c>
      <c r="AI7" s="43" t="s">
        <v>662</v>
      </c>
      <c r="AJ7" s="62">
        <v>8.1999999999999993</v>
      </c>
      <c r="AK7" s="62"/>
      <c r="AL7" s="62"/>
      <c r="AM7" s="66">
        <f t="shared" si="2"/>
        <v>350</v>
      </c>
      <c r="AN7" s="26" t="s">
        <v>389</v>
      </c>
      <c r="AO7" s="66">
        <f t="shared" si="3"/>
        <v>244.99999999999997</v>
      </c>
      <c r="AP7" s="100">
        <f t="shared" si="4"/>
        <v>577.5</v>
      </c>
      <c r="AQ7" s="29" t="s">
        <v>512</v>
      </c>
      <c r="AR7" s="23" t="s">
        <v>424</v>
      </c>
      <c r="AS7" s="23">
        <f t="shared" si="12"/>
        <v>350</v>
      </c>
      <c r="AT7" s="29">
        <v>340</v>
      </c>
      <c r="AU7" s="29">
        <v>360</v>
      </c>
      <c r="AV7" s="23" t="s">
        <v>236</v>
      </c>
      <c r="AW7" s="23"/>
      <c r="AX7" s="29" t="s">
        <v>13</v>
      </c>
      <c r="AY7" s="6" t="s">
        <v>877</v>
      </c>
      <c r="AZ7" s="67" t="s">
        <v>13</v>
      </c>
      <c r="BA7" s="67">
        <v>33.470500000000001</v>
      </c>
      <c r="BB7" s="62"/>
      <c r="BC7" s="62"/>
      <c r="BD7" s="22">
        <v>964.47147446284396</v>
      </c>
      <c r="BE7" s="26" t="s">
        <v>239</v>
      </c>
      <c r="BF7" s="26">
        <f t="shared" si="5"/>
        <v>881.12299072374003</v>
      </c>
      <c r="BG7" s="26">
        <f t="shared" si="6"/>
        <v>1077.9077527812769</v>
      </c>
      <c r="BH7" s="83" t="s">
        <v>738</v>
      </c>
      <c r="BI7" s="22" t="s">
        <v>430</v>
      </c>
      <c r="BJ7" s="22">
        <v>797.77450698463599</v>
      </c>
      <c r="BK7" s="22">
        <v>1191.34403109971</v>
      </c>
      <c r="BL7" s="22" t="s">
        <v>399</v>
      </c>
      <c r="BM7" s="25" t="s">
        <v>13</v>
      </c>
      <c r="BN7" s="16" t="s">
        <v>42</v>
      </c>
      <c r="BO7" s="43" t="s">
        <v>225</v>
      </c>
      <c r="BP7" s="86">
        <f>AVERAGE(BQ7:BR7)</f>
        <v>100.75</v>
      </c>
      <c r="BQ7" s="86">
        <v>107.6</v>
      </c>
      <c r="BR7" s="86">
        <v>93.9</v>
      </c>
      <c r="BS7" s="29">
        <v>797.16150000000005</v>
      </c>
      <c r="BT7" s="29" t="s">
        <v>389</v>
      </c>
      <c r="BU7" s="29">
        <f t="shared" si="7"/>
        <v>543.42023919999997</v>
      </c>
      <c r="BV7" s="29">
        <f t="shared" si="8"/>
        <v>1085.142828</v>
      </c>
      <c r="BW7" s="29" t="s">
        <v>431</v>
      </c>
      <c r="BX7" s="26" t="s">
        <v>400</v>
      </c>
      <c r="BY7" s="29">
        <v>379.82389999999998</v>
      </c>
      <c r="BZ7" s="29">
        <v>1270.8150000000001</v>
      </c>
      <c r="CA7" s="25" t="s">
        <v>440</v>
      </c>
      <c r="CB7" s="25" t="s">
        <v>13</v>
      </c>
      <c r="CC7" s="25" t="s">
        <v>13</v>
      </c>
    </row>
    <row r="8" spans="1:83">
      <c r="A8" s="47" t="s">
        <v>107</v>
      </c>
      <c r="B8" s="40" t="s">
        <v>106</v>
      </c>
      <c r="C8" s="59">
        <f>AVERAGE(D8:E8)</f>
        <v>242.05</v>
      </c>
      <c r="D8" s="60">
        <v>247.1</v>
      </c>
      <c r="E8" s="60">
        <v>237</v>
      </c>
      <c r="F8" s="23">
        <f t="shared" si="9"/>
        <v>284</v>
      </c>
      <c r="G8" s="23" t="s">
        <v>389</v>
      </c>
      <c r="H8" s="23">
        <f t="shared" si="10"/>
        <v>142</v>
      </c>
      <c r="I8" s="23">
        <f t="shared" si="11"/>
        <v>568</v>
      </c>
      <c r="J8" s="23" t="s">
        <v>480</v>
      </c>
      <c r="K8" s="23" t="s">
        <v>400</v>
      </c>
      <c r="L8" s="34">
        <v>710</v>
      </c>
      <c r="M8" s="34">
        <v>400</v>
      </c>
      <c r="N8" s="29">
        <v>1000</v>
      </c>
      <c r="O8" s="29">
        <v>5000</v>
      </c>
      <c r="P8" s="23">
        <v>2000</v>
      </c>
      <c r="Q8" s="23"/>
      <c r="R8" s="26" t="s">
        <v>13</v>
      </c>
      <c r="S8" s="6" t="s">
        <v>73</v>
      </c>
      <c r="T8" s="44"/>
      <c r="U8" s="61">
        <v>1</v>
      </c>
      <c r="V8" s="62"/>
      <c r="W8" s="62"/>
      <c r="X8" s="26">
        <f t="shared" si="0"/>
        <v>252.31987422726274</v>
      </c>
      <c r="Y8" s="26" t="s">
        <v>389</v>
      </c>
      <c r="Z8" s="26">
        <f t="shared" si="1"/>
        <v>229.6382606154294</v>
      </c>
      <c r="AA8" s="26">
        <f t="shared" si="1"/>
        <v>275.00148783909606</v>
      </c>
      <c r="AB8" s="64" t="s">
        <v>427</v>
      </c>
      <c r="AC8" s="64" t="s">
        <v>398</v>
      </c>
      <c r="AD8" s="63">
        <v>229.6382606154294</v>
      </c>
      <c r="AE8" s="64">
        <v>275.00148783909606</v>
      </c>
      <c r="AF8" s="64" t="s">
        <v>394</v>
      </c>
      <c r="AG8" s="25" t="s">
        <v>13</v>
      </c>
      <c r="AH8" s="5" t="s">
        <v>238</v>
      </c>
      <c r="AI8" s="43" t="s">
        <v>661</v>
      </c>
      <c r="AJ8" s="62">
        <v>10.5</v>
      </c>
      <c r="AK8" s="62"/>
      <c r="AL8" s="62"/>
      <c r="AM8" s="66">
        <f t="shared" si="2"/>
        <v>370</v>
      </c>
      <c r="AN8" s="26" t="s">
        <v>389</v>
      </c>
      <c r="AO8" s="66">
        <f t="shared" si="3"/>
        <v>259</v>
      </c>
      <c r="AP8" s="100">
        <f t="shared" si="4"/>
        <v>610.5</v>
      </c>
      <c r="AQ8" s="29" t="s">
        <v>512</v>
      </c>
      <c r="AR8" s="23" t="s">
        <v>424</v>
      </c>
      <c r="AS8" s="23">
        <f t="shared" si="12"/>
        <v>370</v>
      </c>
      <c r="AT8" s="29">
        <v>350</v>
      </c>
      <c r="AU8" s="29">
        <v>390</v>
      </c>
      <c r="AV8" s="23" t="s">
        <v>236</v>
      </c>
      <c r="AW8" s="23"/>
      <c r="AX8" s="29" t="s">
        <v>13</v>
      </c>
      <c r="AY8" s="6" t="s">
        <v>877</v>
      </c>
      <c r="AZ8" s="67" t="s">
        <v>13</v>
      </c>
      <c r="BA8" s="67">
        <v>33.590299999999999</v>
      </c>
      <c r="BB8" s="62"/>
      <c r="BC8" s="62"/>
      <c r="BD8" s="22">
        <v>722.47237610190905</v>
      </c>
      <c r="BE8" s="26" t="s">
        <v>239</v>
      </c>
      <c r="BF8" s="26">
        <f t="shared" si="5"/>
        <v>662.67360533372903</v>
      </c>
      <c r="BG8" s="26">
        <f t="shared" si="6"/>
        <v>788.33828472464597</v>
      </c>
      <c r="BH8" s="83" t="s">
        <v>738</v>
      </c>
      <c r="BI8" s="22" t="s">
        <v>430</v>
      </c>
      <c r="BJ8" s="22">
        <v>602.87483456554901</v>
      </c>
      <c r="BK8" s="22">
        <v>854.20419334738301</v>
      </c>
      <c r="BL8" s="22" t="s">
        <v>399</v>
      </c>
      <c r="BM8" s="25" t="s">
        <v>13</v>
      </c>
      <c r="BN8" s="16" t="s">
        <v>42</v>
      </c>
      <c r="BO8" s="43" t="s">
        <v>205</v>
      </c>
      <c r="BP8" s="86">
        <f>AVERAGE(BQ8:BR8)</f>
        <v>104.05</v>
      </c>
      <c r="BQ8" s="86">
        <v>107.6</v>
      </c>
      <c r="BR8" s="86">
        <v>100.5</v>
      </c>
      <c r="BS8" s="29">
        <v>829.80754999999999</v>
      </c>
      <c r="BT8" s="29" t="s">
        <v>389</v>
      </c>
      <c r="BU8" s="29">
        <f t="shared" si="7"/>
        <v>583.59323800000004</v>
      </c>
      <c r="BV8" s="29">
        <f t="shared" si="8"/>
        <v>1105.6203355999999</v>
      </c>
      <c r="BW8" s="29" t="s">
        <v>431</v>
      </c>
      <c r="BX8" s="26" t="s">
        <v>400</v>
      </c>
      <c r="BY8" s="29">
        <v>424.84980000000002</v>
      </c>
      <c r="BZ8" s="29">
        <v>1283.4469999999999</v>
      </c>
      <c r="CA8" s="25" t="s">
        <v>440</v>
      </c>
      <c r="CB8" s="25" t="s">
        <v>13</v>
      </c>
      <c r="CC8" s="25" t="s">
        <v>13</v>
      </c>
    </row>
    <row r="9" spans="1:83">
      <c r="A9" s="13" t="s">
        <v>5</v>
      </c>
      <c r="B9" s="36" t="s">
        <v>267</v>
      </c>
      <c r="C9" s="60">
        <v>211.9</v>
      </c>
      <c r="D9" s="60">
        <f>C9+2.1</f>
        <v>214</v>
      </c>
      <c r="E9" s="60">
        <f>C9-2.1</f>
        <v>209.8</v>
      </c>
      <c r="F9" s="23">
        <f t="shared" si="9"/>
        <v>666.66666666666663</v>
      </c>
      <c r="G9" s="23" t="s">
        <v>389</v>
      </c>
      <c r="H9" s="23">
        <f t="shared" si="10"/>
        <v>333.33333333333331</v>
      </c>
      <c r="I9" s="23">
        <f t="shared" si="11"/>
        <v>1333.3333333333333</v>
      </c>
      <c r="J9" s="23" t="s">
        <v>480</v>
      </c>
      <c r="K9" s="23" t="s">
        <v>400</v>
      </c>
      <c r="L9" s="34">
        <v>2500</v>
      </c>
      <c r="M9" s="34">
        <v>2000</v>
      </c>
      <c r="N9" s="29">
        <v>3000</v>
      </c>
      <c r="O9" s="29">
        <v>7500</v>
      </c>
      <c r="P9" s="23">
        <v>2000</v>
      </c>
      <c r="Q9" s="23"/>
      <c r="R9" s="26" t="s">
        <v>13</v>
      </c>
      <c r="S9" s="6" t="s">
        <v>73</v>
      </c>
      <c r="T9" s="44"/>
      <c r="U9" s="61">
        <v>1.2</v>
      </c>
      <c r="V9" s="62"/>
      <c r="W9" s="62"/>
      <c r="X9" s="26">
        <f t="shared" si="0"/>
        <v>266.49840141928865</v>
      </c>
      <c r="Y9" s="26" t="s">
        <v>389</v>
      </c>
      <c r="Z9" s="26">
        <f t="shared" si="1"/>
        <v>242.54224739981089</v>
      </c>
      <c r="AA9" s="26">
        <f t="shared" si="1"/>
        <v>290.45455543876642</v>
      </c>
      <c r="AB9" s="64" t="s">
        <v>427</v>
      </c>
      <c r="AC9" s="64" t="s">
        <v>398</v>
      </c>
      <c r="AD9" s="63">
        <v>242.54224739981089</v>
      </c>
      <c r="AE9" s="64">
        <v>290.45455543876642</v>
      </c>
      <c r="AF9" s="64" t="s">
        <v>394</v>
      </c>
      <c r="AG9" s="25" t="s">
        <v>13</v>
      </c>
      <c r="AH9" s="5" t="s">
        <v>237</v>
      </c>
      <c r="AI9" s="43" t="s">
        <v>668</v>
      </c>
      <c r="AJ9" s="65">
        <v>2.7749999999999999</v>
      </c>
      <c r="AK9" s="68"/>
      <c r="AL9" s="68"/>
      <c r="AM9" s="66">
        <f t="shared" si="2"/>
        <v>276</v>
      </c>
      <c r="AN9" s="26" t="s">
        <v>389</v>
      </c>
      <c r="AO9" s="66">
        <f t="shared" si="3"/>
        <v>193.2</v>
      </c>
      <c r="AP9" s="100">
        <f t="shared" si="4"/>
        <v>455.4</v>
      </c>
      <c r="AQ9" s="29" t="s">
        <v>512</v>
      </c>
      <c r="AR9" s="23" t="s">
        <v>424</v>
      </c>
      <c r="AS9" s="23">
        <f t="shared" si="12"/>
        <v>276</v>
      </c>
      <c r="AT9" s="34">
        <v>260</v>
      </c>
      <c r="AU9" s="29">
        <v>292</v>
      </c>
      <c r="AV9" s="23" t="s">
        <v>236</v>
      </c>
      <c r="AW9" s="23"/>
      <c r="AX9" s="29" t="s">
        <v>13</v>
      </c>
      <c r="AY9" s="6" t="s">
        <v>877</v>
      </c>
      <c r="AZ9" s="67" t="s">
        <v>13</v>
      </c>
      <c r="BA9" s="67">
        <v>33.958100000000002</v>
      </c>
      <c r="BB9" s="62"/>
      <c r="BC9" s="62"/>
      <c r="BD9" s="22">
        <v>952.24550038964901</v>
      </c>
      <c r="BE9" s="26" t="s">
        <v>239</v>
      </c>
      <c r="BF9" s="26">
        <f t="shared" si="5"/>
        <v>864.67960178180942</v>
      </c>
      <c r="BG9" s="26">
        <f t="shared" si="6"/>
        <v>1048.5854445058844</v>
      </c>
      <c r="BH9" s="83" t="s">
        <v>738</v>
      </c>
      <c r="BI9" s="22" t="s">
        <v>430</v>
      </c>
      <c r="BJ9" s="22">
        <v>777.11370317396995</v>
      </c>
      <c r="BK9" s="22">
        <v>1144.92538862212</v>
      </c>
      <c r="BL9" s="22" t="s">
        <v>399</v>
      </c>
      <c r="BM9" s="25" t="s">
        <v>13</v>
      </c>
      <c r="BN9" s="16" t="s">
        <v>42</v>
      </c>
      <c r="BO9" s="43" t="s">
        <v>205</v>
      </c>
      <c r="BP9" s="86">
        <f t="shared" ref="BP9:BP17" si="13">AVERAGE(BQ9:BR9)</f>
        <v>104.05</v>
      </c>
      <c r="BQ9" s="86">
        <v>107.6</v>
      </c>
      <c r="BR9" s="86">
        <v>100.5</v>
      </c>
      <c r="BS9" s="29">
        <v>977.19449999999995</v>
      </c>
      <c r="BT9" s="29" t="s">
        <v>389</v>
      </c>
      <c r="BU9" s="29">
        <f t="shared" si="7"/>
        <v>652.93423759999996</v>
      </c>
      <c r="BV9" s="29">
        <f t="shared" si="8"/>
        <v>1340.201204</v>
      </c>
      <c r="BW9" s="29" t="s">
        <v>431</v>
      </c>
      <c r="BX9" s="26" t="s">
        <v>400</v>
      </c>
      <c r="BY9" s="29">
        <v>443.87169999999998</v>
      </c>
      <c r="BZ9" s="29">
        <v>1574.2449999999999</v>
      </c>
      <c r="CA9" s="25" t="s">
        <v>440</v>
      </c>
      <c r="CB9" s="25" t="s">
        <v>13</v>
      </c>
      <c r="CC9" s="25" t="s">
        <v>13</v>
      </c>
    </row>
    <row r="10" spans="1:83">
      <c r="A10" s="13" t="s">
        <v>4</v>
      </c>
      <c r="B10" s="36" t="s">
        <v>91</v>
      </c>
      <c r="C10" s="59">
        <f>AVERAGE(D10:E10)</f>
        <v>3.96</v>
      </c>
      <c r="D10" s="69">
        <v>5.33</v>
      </c>
      <c r="E10" s="69">
        <v>2.59</v>
      </c>
      <c r="F10" s="23">
        <f t="shared" si="9"/>
        <v>80</v>
      </c>
      <c r="G10" s="23" t="s">
        <v>389</v>
      </c>
      <c r="H10" s="23">
        <f t="shared" si="10"/>
        <v>40</v>
      </c>
      <c r="I10" s="23">
        <f t="shared" si="11"/>
        <v>160</v>
      </c>
      <c r="J10" s="23" t="s">
        <v>480</v>
      </c>
      <c r="K10" s="23" t="s">
        <v>400</v>
      </c>
      <c r="L10" s="35">
        <v>300</v>
      </c>
      <c r="M10" s="35">
        <v>0</v>
      </c>
      <c r="N10" s="29">
        <v>1000</v>
      </c>
      <c r="O10" s="29">
        <v>7500</v>
      </c>
      <c r="P10" s="23">
        <v>2000</v>
      </c>
      <c r="Q10" s="23"/>
      <c r="R10" s="26" t="s">
        <v>13</v>
      </c>
      <c r="S10" s="6" t="s">
        <v>73</v>
      </c>
      <c r="T10" s="44"/>
      <c r="U10" s="61">
        <v>1.3</v>
      </c>
      <c r="V10" s="62"/>
      <c r="W10" s="62"/>
      <c r="X10" s="26">
        <f t="shared" si="0"/>
        <v>270.64050477245382</v>
      </c>
      <c r="Y10" s="26" t="s">
        <v>389</v>
      </c>
      <c r="Z10" s="26">
        <f t="shared" si="1"/>
        <v>246.31200755930374</v>
      </c>
      <c r="AA10" s="26">
        <f t="shared" si="1"/>
        <v>294.96900198560388</v>
      </c>
      <c r="AB10" s="64" t="s">
        <v>427</v>
      </c>
      <c r="AC10" s="64" t="s">
        <v>398</v>
      </c>
      <c r="AD10" s="63">
        <v>246.31200755930374</v>
      </c>
      <c r="AE10" s="64">
        <v>294.96900198560388</v>
      </c>
      <c r="AF10" s="64" t="s">
        <v>394</v>
      </c>
      <c r="AG10" s="25" t="s">
        <v>13</v>
      </c>
      <c r="AH10" s="5" t="s">
        <v>237</v>
      </c>
      <c r="AI10" s="43" t="s">
        <v>667</v>
      </c>
      <c r="AJ10" s="62">
        <v>3.4</v>
      </c>
      <c r="AK10" s="62"/>
      <c r="AL10" s="62"/>
      <c r="AM10" s="66">
        <v>330</v>
      </c>
      <c r="AN10" s="66" t="s">
        <v>239</v>
      </c>
      <c r="AO10" s="66">
        <f>AT10</f>
        <v>315</v>
      </c>
      <c r="AP10" s="100">
        <f>AU10</f>
        <v>349</v>
      </c>
      <c r="AQ10" s="23" t="s">
        <v>421</v>
      </c>
      <c r="AR10" s="23" t="s">
        <v>424</v>
      </c>
      <c r="AS10" s="23">
        <f t="shared" si="12"/>
        <v>332</v>
      </c>
      <c r="AT10" s="29">
        <v>315</v>
      </c>
      <c r="AU10" s="29">
        <v>349</v>
      </c>
      <c r="AV10" s="23" t="s">
        <v>236</v>
      </c>
      <c r="AW10" s="23"/>
      <c r="AX10" s="29" t="s">
        <v>13</v>
      </c>
      <c r="AY10" s="6" t="s">
        <v>877</v>
      </c>
      <c r="AZ10" s="67" t="s">
        <v>13</v>
      </c>
      <c r="BA10" s="67">
        <v>34.207700000000003</v>
      </c>
      <c r="BB10" s="62"/>
      <c r="BC10" s="62"/>
      <c r="BD10" s="22">
        <v>1007.8548212353799</v>
      </c>
      <c r="BE10" s="26" t="s">
        <v>239</v>
      </c>
      <c r="BF10" s="26">
        <f t="shared" si="5"/>
        <v>922.33833334897395</v>
      </c>
      <c r="BG10" s="26">
        <f t="shared" si="6"/>
        <v>1117.954176736095</v>
      </c>
      <c r="BH10" s="83" t="s">
        <v>738</v>
      </c>
      <c r="BI10" s="22" t="s">
        <v>430</v>
      </c>
      <c r="BJ10" s="22">
        <v>836.82184546256792</v>
      </c>
      <c r="BK10" s="22">
        <v>1228.05353223681</v>
      </c>
      <c r="BL10" s="22" t="s">
        <v>399</v>
      </c>
      <c r="BM10" s="25" t="s">
        <v>13</v>
      </c>
      <c r="BN10" s="16" t="s">
        <v>42</v>
      </c>
      <c r="BO10" s="43" t="s">
        <v>205</v>
      </c>
      <c r="BP10" s="86">
        <f t="shared" si="13"/>
        <v>104.05</v>
      </c>
      <c r="BQ10" s="86">
        <v>107.6</v>
      </c>
      <c r="BR10" s="86">
        <v>100.5</v>
      </c>
      <c r="BS10" s="29">
        <v>1000.8842</v>
      </c>
      <c r="BT10" s="29" t="s">
        <v>389</v>
      </c>
      <c r="BU10" s="29">
        <f t="shared" si="7"/>
        <v>648.80003360000001</v>
      </c>
      <c r="BV10" s="29">
        <f t="shared" si="8"/>
        <v>1414.5855184</v>
      </c>
      <c r="BW10" s="29" t="s">
        <v>431</v>
      </c>
      <c r="BX10" s="26" t="s">
        <v>400</v>
      </c>
      <c r="BY10" s="29">
        <v>421.79840000000002</v>
      </c>
      <c r="BZ10" s="29">
        <v>1681.3140000000001</v>
      </c>
      <c r="CA10" s="25" t="s">
        <v>440</v>
      </c>
      <c r="CB10" s="25" t="s">
        <v>13</v>
      </c>
      <c r="CC10" s="25" t="s">
        <v>13</v>
      </c>
    </row>
    <row r="11" spans="1:83">
      <c r="A11" s="13" t="s">
        <v>4</v>
      </c>
      <c r="B11" s="36" t="s">
        <v>89</v>
      </c>
      <c r="C11" s="59">
        <f>AVERAGE(D11:E11)</f>
        <v>8.3650000000000002</v>
      </c>
      <c r="D11" s="69">
        <v>11.4</v>
      </c>
      <c r="E11" s="69">
        <v>5.33</v>
      </c>
      <c r="F11" s="23">
        <f t="shared" si="9"/>
        <v>133.33333333333334</v>
      </c>
      <c r="G11" s="23" t="s">
        <v>389</v>
      </c>
      <c r="H11" s="23">
        <f t="shared" si="10"/>
        <v>66.666666666666671</v>
      </c>
      <c r="I11" s="23">
        <f t="shared" si="11"/>
        <v>266.66666666666669</v>
      </c>
      <c r="J11" s="23" t="s">
        <v>480</v>
      </c>
      <c r="K11" s="23" t="s">
        <v>400</v>
      </c>
      <c r="L11" s="35">
        <v>500</v>
      </c>
      <c r="M11" s="35">
        <v>0</v>
      </c>
      <c r="N11" s="29">
        <v>1000</v>
      </c>
      <c r="O11" s="29">
        <v>7500</v>
      </c>
      <c r="P11" s="23">
        <v>2000</v>
      </c>
      <c r="Q11" s="23"/>
      <c r="R11" s="26" t="s">
        <v>13</v>
      </c>
      <c r="S11" s="6" t="s">
        <v>73</v>
      </c>
      <c r="T11" s="44"/>
      <c r="U11" s="61">
        <v>1.5</v>
      </c>
      <c r="V11" s="62"/>
      <c r="W11" s="62"/>
      <c r="X11" s="26">
        <f t="shared" si="0"/>
        <v>276.66210544309149</v>
      </c>
      <c r="Y11" s="26" t="s">
        <v>389</v>
      </c>
      <c r="Z11" s="26">
        <f t="shared" si="1"/>
        <v>251.79231270118282</v>
      </c>
      <c r="AA11" s="26">
        <f t="shared" si="1"/>
        <v>301.53189818500016</v>
      </c>
      <c r="AB11" s="64" t="s">
        <v>427</v>
      </c>
      <c r="AC11" s="64" t="s">
        <v>398</v>
      </c>
      <c r="AD11" s="63">
        <v>251.79231270118282</v>
      </c>
      <c r="AE11" s="64">
        <v>301.53189818500016</v>
      </c>
      <c r="AF11" s="64" t="s">
        <v>394</v>
      </c>
      <c r="AG11" s="25" t="s">
        <v>13</v>
      </c>
      <c r="AH11" s="5" t="s">
        <v>237</v>
      </c>
      <c r="AI11" s="43" t="s">
        <v>666</v>
      </c>
      <c r="AJ11" s="62">
        <v>3.6</v>
      </c>
      <c r="AK11" s="62"/>
      <c r="AL11" s="62"/>
      <c r="AM11" s="66">
        <f>AVERAGE(AT11:AU11)</f>
        <v>362.5</v>
      </c>
      <c r="AN11" s="26" t="s">
        <v>389</v>
      </c>
      <c r="AO11" s="66">
        <f>AM11*0.7</f>
        <v>253.74999999999997</v>
      </c>
      <c r="AP11" s="100">
        <f>AM11*1.65</f>
        <v>598.125</v>
      </c>
      <c r="AQ11" s="29" t="s">
        <v>512</v>
      </c>
      <c r="AR11" s="23" t="s">
        <v>424</v>
      </c>
      <c r="AS11" s="23">
        <f t="shared" si="12"/>
        <v>362.5</v>
      </c>
      <c r="AT11" s="29">
        <v>345</v>
      </c>
      <c r="AU11" s="29">
        <v>380</v>
      </c>
      <c r="AV11" s="23" t="s">
        <v>236</v>
      </c>
      <c r="AW11" s="23"/>
      <c r="AX11" s="29" t="s">
        <v>13</v>
      </c>
      <c r="AY11" s="6" t="s">
        <v>877</v>
      </c>
      <c r="AZ11" s="67" t="s">
        <v>13</v>
      </c>
      <c r="BA11" s="67">
        <v>34.417299999999997</v>
      </c>
      <c r="BB11" s="62"/>
      <c r="BC11" s="62"/>
      <c r="BD11" s="22">
        <v>989.6238469090689</v>
      </c>
      <c r="BE11" s="26" t="s">
        <v>239</v>
      </c>
      <c r="BF11" s="26">
        <f t="shared" si="5"/>
        <v>887.31094281761648</v>
      </c>
      <c r="BG11" s="26">
        <f t="shared" si="6"/>
        <v>1126.6151177800095</v>
      </c>
      <c r="BH11" s="83" t="s">
        <v>738</v>
      </c>
      <c r="BI11" s="22" t="s">
        <v>430</v>
      </c>
      <c r="BJ11" s="22">
        <v>784.99803872616394</v>
      </c>
      <c r="BK11" s="22">
        <v>1263.6063886509501</v>
      </c>
      <c r="BL11" s="22" t="s">
        <v>399</v>
      </c>
      <c r="BM11" s="25" t="s">
        <v>13</v>
      </c>
      <c r="BN11" s="16" t="s">
        <v>42</v>
      </c>
      <c r="BO11" s="43" t="s">
        <v>226</v>
      </c>
      <c r="BP11" s="86">
        <f t="shared" si="13"/>
        <v>111.875</v>
      </c>
      <c r="BQ11" s="86">
        <v>113</v>
      </c>
      <c r="BR11" s="86">
        <v>110.75</v>
      </c>
      <c r="BS11" s="29">
        <v>653.50930000000005</v>
      </c>
      <c r="BT11" s="29" t="s">
        <v>389</v>
      </c>
      <c r="BU11" s="29">
        <f t="shared" si="7"/>
        <v>447.88005199999998</v>
      </c>
      <c r="BV11" s="29">
        <f t="shared" si="8"/>
        <v>887.27052559999993</v>
      </c>
      <c r="BW11" s="29" t="s">
        <v>431</v>
      </c>
      <c r="BX11" s="26" t="s">
        <v>400</v>
      </c>
      <c r="BY11" s="29">
        <v>315.30329999999998</v>
      </c>
      <c r="BZ11" s="29">
        <v>1037.9849999999999</v>
      </c>
      <c r="CA11" s="25" t="s">
        <v>440</v>
      </c>
      <c r="CB11" s="25" t="s">
        <v>13</v>
      </c>
      <c r="CC11" s="25" t="s">
        <v>13</v>
      </c>
    </row>
    <row r="12" spans="1:83">
      <c r="A12" s="13" t="s">
        <v>4</v>
      </c>
      <c r="B12" s="36" t="s">
        <v>90</v>
      </c>
      <c r="C12" s="59">
        <f>AVERAGE(D12:E12)</f>
        <v>13.7</v>
      </c>
      <c r="D12" s="69">
        <v>16</v>
      </c>
      <c r="E12" s="69">
        <v>11.4</v>
      </c>
      <c r="F12" s="23">
        <f t="shared" si="9"/>
        <v>133.33333333333334</v>
      </c>
      <c r="G12" s="23" t="s">
        <v>389</v>
      </c>
      <c r="H12" s="23">
        <f t="shared" si="10"/>
        <v>66.666666666666671</v>
      </c>
      <c r="I12" s="23">
        <f t="shared" si="11"/>
        <v>266.66666666666669</v>
      </c>
      <c r="J12" s="23" t="s">
        <v>480</v>
      </c>
      <c r="K12" s="23" t="s">
        <v>400</v>
      </c>
      <c r="L12" s="35">
        <v>500</v>
      </c>
      <c r="M12" s="35">
        <v>0</v>
      </c>
      <c r="N12" s="29">
        <v>1000</v>
      </c>
      <c r="O12" s="29">
        <v>7500</v>
      </c>
      <c r="P12" s="23">
        <v>2000</v>
      </c>
      <c r="Q12" s="23"/>
      <c r="R12" s="26" t="s">
        <v>13</v>
      </c>
      <c r="S12" s="6" t="s">
        <v>73</v>
      </c>
      <c r="T12" s="44"/>
      <c r="U12" s="61">
        <v>1.7519</v>
      </c>
      <c r="V12" s="62"/>
      <c r="W12" s="62"/>
      <c r="X12" s="26">
        <f t="shared" si="0"/>
        <v>270.33281752090164</v>
      </c>
      <c r="Y12" s="26" t="s">
        <v>389</v>
      </c>
      <c r="Z12" s="26">
        <f t="shared" si="1"/>
        <v>246.03197902220799</v>
      </c>
      <c r="AA12" s="26">
        <f t="shared" si="1"/>
        <v>294.63365601959526</v>
      </c>
      <c r="AB12" s="64" t="s">
        <v>427</v>
      </c>
      <c r="AC12" s="64" t="s">
        <v>398</v>
      </c>
      <c r="AD12" s="63">
        <v>246.03197902220799</v>
      </c>
      <c r="AE12" s="64">
        <v>294.63365601959526</v>
      </c>
      <c r="AF12" s="64" t="s">
        <v>394</v>
      </c>
      <c r="AG12" s="25" t="s">
        <v>13</v>
      </c>
      <c r="AH12" s="5" t="s">
        <v>237</v>
      </c>
      <c r="AI12" s="43" t="s">
        <v>665</v>
      </c>
      <c r="AJ12" s="68">
        <v>4.5</v>
      </c>
      <c r="AK12" s="68"/>
      <c r="AL12" s="68"/>
      <c r="AM12" s="66">
        <f>AVERAGE(AT12:AU12)</f>
        <v>270</v>
      </c>
      <c r="AN12" s="26" t="s">
        <v>389</v>
      </c>
      <c r="AO12" s="66">
        <f>AM12*0.7</f>
        <v>189</v>
      </c>
      <c r="AP12" s="100">
        <f>AM12*1.65</f>
        <v>445.5</v>
      </c>
      <c r="AQ12" s="29" t="s">
        <v>512</v>
      </c>
      <c r="AR12" s="23" t="s">
        <v>424</v>
      </c>
      <c r="AS12" s="23">
        <f t="shared" si="12"/>
        <v>270</v>
      </c>
      <c r="AT12" s="34">
        <v>255</v>
      </c>
      <c r="AU12" s="29">
        <v>285</v>
      </c>
      <c r="AV12" s="23" t="s">
        <v>236</v>
      </c>
      <c r="AW12" s="23"/>
      <c r="AX12" s="29" t="s">
        <v>13</v>
      </c>
      <c r="AY12" s="6" t="s">
        <v>877</v>
      </c>
      <c r="AZ12" s="67" t="s">
        <v>13</v>
      </c>
      <c r="BA12" s="67">
        <v>34.625300000000003</v>
      </c>
      <c r="BB12" s="62"/>
      <c r="BC12" s="62"/>
      <c r="BD12" s="22">
        <v>837.45270392310897</v>
      </c>
      <c r="BE12" s="26" t="s">
        <v>239</v>
      </c>
      <c r="BF12" s="26">
        <f>BD12-0.5*(BD12-BJ12)</f>
        <v>749.21214888912596</v>
      </c>
      <c r="BG12" s="26">
        <f t="shared" si="6"/>
        <v>957.11198036468454</v>
      </c>
      <c r="BH12" s="83" t="s">
        <v>738</v>
      </c>
      <c r="BI12" s="22" t="s">
        <v>430</v>
      </c>
      <c r="BJ12" s="22">
        <v>660.97159385514306</v>
      </c>
      <c r="BK12" s="22">
        <v>1076.77125680626</v>
      </c>
      <c r="BL12" s="22" t="s">
        <v>399</v>
      </c>
      <c r="BM12" s="25" t="s">
        <v>13</v>
      </c>
      <c r="BN12" s="16" t="s">
        <v>42</v>
      </c>
      <c r="BO12" s="43" t="s">
        <v>227</v>
      </c>
      <c r="BP12" s="86">
        <f t="shared" si="13"/>
        <v>121.9</v>
      </c>
      <c r="BQ12" s="86">
        <v>130.80000000000001</v>
      </c>
      <c r="BR12" s="86">
        <v>113</v>
      </c>
      <c r="BS12" s="26">
        <v>1050.5419999999999</v>
      </c>
      <c r="BT12" s="29" t="s">
        <v>389</v>
      </c>
      <c r="BU12" s="29">
        <f t="shared" si="7"/>
        <v>818.7272256</v>
      </c>
      <c r="BV12" s="29">
        <f t="shared" si="8"/>
        <v>1292.3162399999999</v>
      </c>
      <c r="BW12" s="29" t="s">
        <v>431</v>
      </c>
      <c r="BX12" s="26" t="s">
        <v>400</v>
      </c>
      <c r="BY12" s="26">
        <v>669.26769999999999</v>
      </c>
      <c r="BZ12" s="26">
        <v>1448.1969999999999</v>
      </c>
      <c r="CA12" s="25" t="s">
        <v>440</v>
      </c>
      <c r="CB12" s="25" t="s">
        <v>13</v>
      </c>
      <c r="CC12" s="25" t="s">
        <v>13</v>
      </c>
    </row>
    <row r="13" spans="1:83">
      <c r="A13" s="13" t="s">
        <v>4</v>
      </c>
      <c r="B13" s="36" t="s">
        <v>268</v>
      </c>
      <c r="C13" s="59">
        <f>AVERAGE(D13:E13)</f>
        <v>53.5</v>
      </c>
      <c r="D13" s="69">
        <v>55</v>
      </c>
      <c r="E13" s="69">
        <v>52</v>
      </c>
      <c r="F13" s="23">
        <f t="shared" si="9"/>
        <v>80</v>
      </c>
      <c r="G13" s="23" t="s">
        <v>389</v>
      </c>
      <c r="H13" s="23">
        <f t="shared" si="10"/>
        <v>40</v>
      </c>
      <c r="I13" s="23">
        <f t="shared" si="11"/>
        <v>160</v>
      </c>
      <c r="J13" s="23" t="s">
        <v>480</v>
      </c>
      <c r="K13" s="23" t="s">
        <v>400</v>
      </c>
      <c r="L13" s="35">
        <v>300</v>
      </c>
      <c r="M13" s="35">
        <v>0</v>
      </c>
      <c r="N13" s="29">
        <v>1000</v>
      </c>
      <c r="O13" s="29">
        <v>7500</v>
      </c>
      <c r="P13" s="23">
        <v>2000</v>
      </c>
      <c r="Q13" s="23"/>
      <c r="R13" s="26" t="s">
        <v>13</v>
      </c>
      <c r="S13" s="6" t="s">
        <v>73</v>
      </c>
      <c r="T13" s="44"/>
      <c r="U13" s="61">
        <v>2.109</v>
      </c>
      <c r="V13" s="62"/>
      <c r="W13" s="62"/>
      <c r="X13" s="26">
        <f t="shared" si="0"/>
        <v>254.29580744676804</v>
      </c>
      <c r="Y13" s="26" t="s">
        <v>389</v>
      </c>
      <c r="Z13" s="26">
        <f t="shared" si="1"/>
        <v>231.43657265489543</v>
      </c>
      <c r="AA13" s="26">
        <f t="shared" si="1"/>
        <v>277.15504223864065</v>
      </c>
      <c r="AB13" s="64" t="s">
        <v>427</v>
      </c>
      <c r="AC13" s="64" t="s">
        <v>398</v>
      </c>
      <c r="AD13" s="63">
        <v>231.43657265489543</v>
      </c>
      <c r="AE13" s="64">
        <v>277.15504223864065</v>
      </c>
      <c r="AF13" s="64" t="s">
        <v>394</v>
      </c>
      <c r="AG13" s="25" t="s">
        <v>13</v>
      </c>
      <c r="AH13" s="5" t="s">
        <v>2</v>
      </c>
      <c r="AI13" s="43" t="s">
        <v>162</v>
      </c>
      <c r="AJ13" s="62">
        <f t="shared" ref="AJ13:AJ22" si="14">AVERAGE(AK13:AL13)</f>
        <v>168.8</v>
      </c>
      <c r="AK13" s="62">
        <v>174.1</v>
      </c>
      <c r="AL13" s="62">
        <v>163.5</v>
      </c>
      <c r="AM13" s="66">
        <f>AVERAGE(AO13:AP13)</f>
        <v>879.24107142857156</v>
      </c>
      <c r="AN13" s="26" t="s">
        <v>389</v>
      </c>
      <c r="AO13" s="66">
        <v>586.16071428571433</v>
      </c>
      <c r="AP13" s="100">
        <v>1172.3214285714287</v>
      </c>
      <c r="AQ13" s="29" t="s">
        <v>426</v>
      </c>
      <c r="AR13" s="26" t="s">
        <v>422</v>
      </c>
      <c r="AS13" s="29"/>
      <c r="AT13" s="29"/>
      <c r="AU13" s="29"/>
      <c r="AV13" s="29" t="s">
        <v>60</v>
      </c>
      <c r="AW13" s="29" t="s">
        <v>818</v>
      </c>
      <c r="AX13" s="29" t="s">
        <v>13</v>
      </c>
      <c r="AY13" s="16" t="s">
        <v>833</v>
      </c>
      <c r="AZ13" s="98" t="s">
        <v>13</v>
      </c>
      <c r="BA13" s="71">
        <v>1.66E-3</v>
      </c>
      <c r="BB13" s="59"/>
      <c r="BC13" s="59"/>
      <c r="BD13" s="29">
        <v>318.49649999999997</v>
      </c>
      <c r="BE13" s="29" t="s">
        <v>239</v>
      </c>
      <c r="BF13" s="29">
        <f t="shared" ref="BF13:BG20" si="15">BJ13</f>
        <v>291.1397</v>
      </c>
      <c r="BG13" s="29">
        <f t="shared" si="15"/>
        <v>345.5487</v>
      </c>
      <c r="BH13" s="29" t="s">
        <v>542</v>
      </c>
      <c r="BI13" s="23" t="s">
        <v>419</v>
      </c>
      <c r="BJ13" s="29">
        <v>291.1397</v>
      </c>
      <c r="BK13" s="29">
        <v>345.5487</v>
      </c>
      <c r="BL13" s="29" t="s">
        <v>834</v>
      </c>
      <c r="BM13" s="39" t="s">
        <v>13</v>
      </c>
      <c r="BN13" s="16" t="s">
        <v>42</v>
      </c>
      <c r="BO13" s="43" t="s">
        <v>228</v>
      </c>
      <c r="BP13" s="86">
        <f t="shared" si="13"/>
        <v>139.25</v>
      </c>
      <c r="BQ13" s="86">
        <v>142</v>
      </c>
      <c r="BR13" s="86">
        <v>136.5</v>
      </c>
      <c r="BS13" s="26">
        <v>982.02599999999995</v>
      </c>
      <c r="BT13" s="29" t="s">
        <v>389</v>
      </c>
      <c r="BU13" s="29">
        <f t="shared" si="7"/>
        <v>754.76794240000004</v>
      </c>
      <c r="BV13" s="29">
        <f t="shared" si="8"/>
        <v>1239.1352160000001</v>
      </c>
      <c r="BW13" s="29" t="s">
        <v>431</v>
      </c>
      <c r="BX13" s="26" t="s">
        <v>400</v>
      </c>
      <c r="BY13" s="26">
        <v>608.24630000000002</v>
      </c>
      <c r="BZ13" s="26">
        <v>1404.903</v>
      </c>
      <c r="CA13" s="25" t="s">
        <v>440</v>
      </c>
      <c r="CB13" s="25" t="s">
        <v>13</v>
      </c>
      <c r="CC13" s="25" t="s">
        <v>13</v>
      </c>
    </row>
    <row r="14" spans="1:83">
      <c r="A14" s="13" t="s">
        <v>4</v>
      </c>
      <c r="B14" s="36" t="s">
        <v>101</v>
      </c>
      <c r="C14" s="59">
        <f>AVERAGE(D14:E14)</f>
        <v>106.75</v>
      </c>
      <c r="D14" s="60">
        <v>113</v>
      </c>
      <c r="E14" s="60">
        <v>100.5</v>
      </c>
      <c r="F14" s="23">
        <f t="shared" si="9"/>
        <v>600</v>
      </c>
      <c r="G14" s="23" t="s">
        <v>389</v>
      </c>
      <c r="H14" s="23">
        <f t="shared" si="10"/>
        <v>300</v>
      </c>
      <c r="I14" s="23">
        <f t="shared" si="11"/>
        <v>1200</v>
      </c>
      <c r="J14" s="23" t="s">
        <v>480</v>
      </c>
      <c r="K14" s="23" t="s">
        <v>400</v>
      </c>
      <c r="L14" s="34">
        <v>2250</v>
      </c>
      <c r="M14" s="34">
        <v>1500</v>
      </c>
      <c r="N14" s="29">
        <v>3000</v>
      </c>
      <c r="O14" s="29">
        <v>7500</v>
      </c>
      <c r="P14" s="23">
        <v>2000</v>
      </c>
      <c r="Q14" s="23"/>
      <c r="R14" s="26" t="s">
        <v>13</v>
      </c>
      <c r="S14" s="6" t="s">
        <v>73</v>
      </c>
      <c r="T14" s="44"/>
      <c r="U14" s="61">
        <v>2.3091999999999997</v>
      </c>
      <c r="V14" s="62"/>
      <c r="W14" s="62"/>
      <c r="X14" s="26">
        <f t="shared" si="0"/>
        <v>273.42672697080525</v>
      </c>
      <c r="Y14" s="26" t="s">
        <v>389</v>
      </c>
      <c r="Z14" s="26">
        <f t="shared" si="1"/>
        <v>248.84776983834337</v>
      </c>
      <c r="AA14" s="26">
        <f t="shared" si="1"/>
        <v>298.00568410326707</v>
      </c>
      <c r="AB14" s="64" t="s">
        <v>427</v>
      </c>
      <c r="AC14" s="64" t="s">
        <v>398</v>
      </c>
      <c r="AD14" s="63">
        <v>248.84776983834337</v>
      </c>
      <c r="AE14" s="64">
        <v>298.00568410326707</v>
      </c>
      <c r="AF14" s="64" t="s">
        <v>394</v>
      </c>
      <c r="AG14" s="25" t="s">
        <v>13</v>
      </c>
      <c r="AH14" s="5" t="s">
        <v>2</v>
      </c>
      <c r="AI14" s="43" t="s">
        <v>194</v>
      </c>
      <c r="AJ14" s="62">
        <f t="shared" si="14"/>
        <v>200.3</v>
      </c>
      <c r="AK14" s="62">
        <v>201.3</v>
      </c>
      <c r="AL14" s="62">
        <v>199.3</v>
      </c>
      <c r="AM14" s="66">
        <f t="shared" ref="AM14:AM28" si="16">AVERAGE(AO14:AP14)</f>
        <v>863.81578947368416</v>
      </c>
      <c r="AN14" s="26" t="s">
        <v>389</v>
      </c>
      <c r="AO14" s="66">
        <v>575.87719298245611</v>
      </c>
      <c r="AP14" s="100">
        <v>1151.7543859649122</v>
      </c>
      <c r="AQ14" s="29" t="s">
        <v>426</v>
      </c>
      <c r="AR14" s="26" t="s">
        <v>422</v>
      </c>
      <c r="AS14" s="29"/>
      <c r="AT14" s="29"/>
      <c r="AU14" s="29"/>
      <c r="AV14" s="29" t="s">
        <v>60</v>
      </c>
      <c r="AW14" s="29" t="s">
        <v>818</v>
      </c>
      <c r="AX14" s="29" t="s">
        <v>13</v>
      </c>
      <c r="AY14" s="16" t="s">
        <v>833</v>
      </c>
      <c r="AZ14" s="98" t="s">
        <v>13</v>
      </c>
      <c r="BA14" s="71">
        <v>0.93047120000000005</v>
      </c>
      <c r="BB14" s="59"/>
      <c r="BC14" s="59"/>
      <c r="BD14" s="29">
        <v>317.04829999999998</v>
      </c>
      <c r="BE14" s="29" t="s">
        <v>239</v>
      </c>
      <c r="BF14" s="29">
        <f t="shared" si="15"/>
        <v>288.88889999999998</v>
      </c>
      <c r="BG14" s="29">
        <f t="shared" si="15"/>
        <v>344.48410000000001</v>
      </c>
      <c r="BH14" s="29" t="s">
        <v>542</v>
      </c>
      <c r="BI14" s="23" t="s">
        <v>419</v>
      </c>
      <c r="BJ14" s="29">
        <v>288.88889999999998</v>
      </c>
      <c r="BK14" s="29">
        <v>344.48410000000001</v>
      </c>
      <c r="BL14" s="29" t="s">
        <v>834</v>
      </c>
      <c r="BM14" s="39" t="s">
        <v>13</v>
      </c>
      <c r="BN14" s="16" t="s">
        <v>42</v>
      </c>
      <c r="BO14" s="43" t="s">
        <v>229</v>
      </c>
      <c r="BP14" s="86">
        <f t="shared" si="13"/>
        <v>161.69999999999999</v>
      </c>
      <c r="BQ14" s="86">
        <v>166.1</v>
      </c>
      <c r="BR14" s="86">
        <v>157.30000000000001</v>
      </c>
      <c r="BS14" s="26">
        <v>697.91020000000003</v>
      </c>
      <c r="BT14" s="29" t="s">
        <v>389</v>
      </c>
      <c r="BU14" s="29">
        <f t="shared" si="7"/>
        <v>513.62673760000007</v>
      </c>
      <c r="BV14" s="29">
        <f t="shared" si="8"/>
        <v>933.19391840000003</v>
      </c>
      <c r="BW14" s="29" t="s">
        <v>431</v>
      </c>
      <c r="BX14" s="26" t="s">
        <v>400</v>
      </c>
      <c r="BY14" s="26">
        <v>394.81240000000003</v>
      </c>
      <c r="BZ14" s="26">
        <v>1084.8900000000001</v>
      </c>
      <c r="CA14" s="25" t="s">
        <v>440</v>
      </c>
      <c r="CB14" s="25" t="s">
        <v>13</v>
      </c>
      <c r="CC14" s="25" t="s">
        <v>13</v>
      </c>
    </row>
    <row r="15" spans="1:83">
      <c r="A15" s="13" t="s">
        <v>7</v>
      </c>
      <c r="B15" s="36" t="s">
        <v>92</v>
      </c>
      <c r="C15" s="60">
        <v>55.5</v>
      </c>
      <c r="D15" s="60">
        <v>56</v>
      </c>
      <c r="E15" s="60">
        <v>55</v>
      </c>
      <c r="F15" s="23">
        <f t="shared" si="9"/>
        <v>328</v>
      </c>
      <c r="G15" s="23" t="s">
        <v>389</v>
      </c>
      <c r="H15" s="23">
        <f t="shared" si="10"/>
        <v>164</v>
      </c>
      <c r="I15" s="23">
        <f t="shared" si="11"/>
        <v>656</v>
      </c>
      <c r="J15" s="23" t="s">
        <v>480</v>
      </c>
      <c r="K15" s="23" t="s">
        <v>400</v>
      </c>
      <c r="L15" s="34">
        <v>820</v>
      </c>
      <c r="M15" s="34">
        <v>500</v>
      </c>
      <c r="N15" s="29">
        <v>1150</v>
      </c>
      <c r="O15" s="29">
        <v>5000</v>
      </c>
      <c r="P15" s="23">
        <v>2000</v>
      </c>
      <c r="Q15" s="23"/>
      <c r="R15" s="26" t="s">
        <v>13</v>
      </c>
      <c r="S15" s="6" t="s">
        <v>73</v>
      </c>
      <c r="T15" s="44"/>
      <c r="U15" s="61">
        <v>2.5920000000000001</v>
      </c>
      <c r="V15" s="62"/>
      <c r="W15" s="62"/>
      <c r="X15" s="26">
        <f t="shared" si="0"/>
        <v>267.39782951168388</v>
      </c>
      <c r="Y15" s="26" t="s">
        <v>389</v>
      </c>
      <c r="Z15" s="26">
        <f t="shared" si="1"/>
        <v>243.36082383307382</v>
      </c>
      <c r="AA15" s="26">
        <f t="shared" si="1"/>
        <v>291.434835190294</v>
      </c>
      <c r="AB15" s="64" t="s">
        <v>427</v>
      </c>
      <c r="AC15" s="64" t="s">
        <v>398</v>
      </c>
      <c r="AD15" s="63">
        <v>243.36082383307382</v>
      </c>
      <c r="AE15" s="64">
        <v>291.434835190294</v>
      </c>
      <c r="AF15" s="64" t="s">
        <v>394</v>
      </c>
      <c r="AG15" s="25" t="s">
        <v>13</v>
      </c>
      <c r="AH15" s="5" t="s">
        <v>2</v>
      </c>
      <c r="AI15" s="43" t="s">
        <v>195</v>
      </c>
      <c r="AJ15" s="62">
        <f t="shared" si="14"/>
        <v>205.4</v>
      </c>
      <c r="AK15" s="62">
        <v>209.5</v>
      </c>
      <c r="AL15" s="62">
        <v>201.3</v>
      </c>
      <c r="AM15" s="66">
        <f t="shared" si="16"/>
        <v>757.5</v>
      </c>
      <c r="AN15" s="26" t="s">
        <v>389</v>
      </c>
      <c r="AO15" s="66">
        <v>505</v>
      </c>
      <c r="AP15" s="100">
        <v>1010</v>
      </c>
      <c r="AQ15" s="29" t="s">
        <v>426</v>
      </c>
      <c r="AR15" s="26" t="s">
        <v>422</v>
      </c>
      <c r="AS15" s="29"/>
      <c r="AT15" s="29"/>
      <c r="AU15" s="29"/>
      <c r="AV15" s="29" t="s">
        <v>60</v>
      </c>
      <c r="AW15" s="29" t="s">
        <v>818</v>
      </c>
      <c r="AX15" s="29" t="s">
        <v>13</v>
      </c>
      <c r="AY15" s="16" t="s">
        <v>833</v>
      </c>
      <c r="AZ15" s="98" t="s">
        <v>13</v>
      </c>
      <c r="BA15" s="71">
        <v>1.4262649999999999</v>
      </c>
      <c r="BB15" s="59"/>
      <c r="BC15" s="59"/>
      <c r="BD15" s="29">
        <v>288.91970000000003</v>
      </c>
      <c r="BE15" s="29" t="s">
        <v>239</v>
      </c>
      <c r="BF15" s="29">
        <f t="shared" si="15"/>
        <v>263.93039999999996</v>
      </c>
      <c r="BG15" s="29">
        <f t="shared" si="15"/>
        <v>315.04269999999997</v>
      </c>
      <c r="BH15" s="29" t="s">
        <v>542</v>
      </c>
      <c r="BI15" s="23" t="s">
        <v>419</v>
      </c>
      <c r="BJ15" s="29">
        <v>263.93039999999996</v>
      </c>
      <c r="BK15" s="29">
        <v>315.04269999999997</v>
      </c>
      <c r="BL15" s="29" t="s">
        <v>834</v>
      </c>
      <c r="BM15" s="39" t="s">
        <v>13</v>
      </c>
      <c r="BN15" s="16" t="s">
        <v>42</v>
      </c>
      <c r="BO15" s="43" t="s">
        <v>230</v>
      </c>
      <c r="BP15" s="86">
        <f t="shared" si="13"/>
        <v>169.5</v>
      </c>
      <c r="BQ15" s="86">
        <v>170</v>
      </c>
      <c r="BR15" s="86">
        <v>169</v>
      </c>
      <c r="BS15" s="26">
        <v>636.71275000000003</v>
      </c>
      <c r="BT15" s="29" t="s">
        <v>389</v>
      </c>
      <c r="BU15" s="29">
        <f t="shared" si="7"/>
        <v>459.28907800000002</v>
      </c>
      <c r="BV15" s="29">
        <f t="shared" si="8"/>
        <v>898.980998</v>
      </c>
      <c r="BW15" s="29" t="s">
        <v>431</v>
      </c>
      <c r="BX15" s="26" t="s">
        <v>400</v>
      </c>
      <c r="BY15" s="26">
        <v>344.89749999999998</v>
      </c>
      <c r="BZ15" s="26">
        <v>1068.075</v>
      </c>
      <c r="CA15" s="25" t="s">
        <v>440</v>
      </c>
      <c r="CB15" s="25" t="s">
        <v>13</v>
      </c>
      <c r="CC15" s="25" t="s">
        <v>13</v>
      </c>
    </row>
    <row r="16" spans="1:83">
      <c r="A16" s="13" t="s">
        <v>7</v>
      </c>
      <c r="B16" s="36" t="s">
        <v>93</v>
      </c>
      <c r="C16" s="60">
        <v>56.5</v>
      </c>
      <c r="D16" s="60">
        <v>57</v>
      </c>
      <c r="E16" s="60">
        <v>56</v>
      </c>
      <c r="F16" s="23">
        <f t="shared" si="9"/>
        <v>428</v>
      </c>
      <c r="G16" s="23" t="s">
        <v>389</v>
      </c>
      <c r="H16" s="23">
        <f t="shared" si="10"/>
        <v>214</v>
      </c>
      <c r="I16" s="23">
        <f t="shared" si="11"/>
        <v>856</v>
      </c>
      <c r="J16" s="23" t="s">
        <v>480</v>
      </c>
      <c r="K16" s="23" t="s">
        <v>400</v>
      </c>
      <c r="L16" s="34">
        <v>1070</v>
      </c>
      <c r="M16" s="34">
        <v>500</v>
      </c>
      <c r="N16" s="34">
        <v>1700</v>
      </c>
      <c r="O16" s="34">
        <v>5000</v>
      </c>
      <c r="P16" s="23">
        <v>2000</v>
      </c>
      <c r="Q16" s="23"/>
      <c r="R16" s="26" t="s">
        <v>13</v>
      </c>
      <c r="S16" s="6" t="s">
        <v>73</v>
      </c>
      <c r="T16" s="44"/>
      <c r="U16" s="61">
        <v>2.7850000000000001</v>
      </c>
      <c r="V16" s="62"/>
      <c r="W16" s="62"/>
      <c r="X16" s="26">
        <f t="shared" si="0"/>
        <v>298.83555484726975</v>
      </c>
      <c r="Y16" s="26" t="s">
        <v>389</v>
      </c>
      <c r="Z16" s="26">
        <f t="shared" si="1"/>
        <v>271.97253975865789</v>
      </c>
      <c r="AA16" s="26">
        <f t="shared" si="1"/>
        <v>325.69856993588161</v>
      </c>
      <c r="AB16" s="64" t="s">
        <v>427</v>
      </c>
      <c r="AC16" s="64" t="s">
        <v>398</v>
      </c>
      <c r="AD16" s="63">
        <v>271.97253975865789</v>
      </c>
      <c r="AE16" s="64">
        <v>325.69856993588161</v>
      </c>
      <c r="AF16" s="64" t="s">
        <v>394</v>
      </c>
      <c r="AG16" s="25" t="s">
        <v>13</v>
      </c>
      <c r="AH16" s="5" t="s">
        <v>2</v>
      </c>
      <c r="AI16" s="43" t="s">
        <v>195</v>
      </c>
      <c r="AJ16" s="62">
        <f t="shared" si="14"/>
        <v>205.4</v>
      </c>
      <c r="AK16" s="62">
        <v>209.5</v>
      </c>
      <c r="AL16" s="62">
        <v>201.3</v>
      </c>
      <c r="AM16" s="66">
        <f t="shared" si="16"/>
        <v>834.53389830508468</v>
      </c>
      <c r="AN16" s="26" t="s">
        <v>389</v>
      </c>
      <c r="AO16" s="66">
        <v>556.35593220338978</v>
      </c>
      <c r="AP16" s="100">
        <v>1112.7118644067796</v>
      </c>
      <c r="AQ16" s="29" t="s">
        <v>426</v>
      </c>
      <c r="AR16" s="26" t="s">
        <v>422</v>
      </c>
      <c r="AS16" s="29"/>
      <c r="AT16" s="29"/>
      <c r="AU16" s="29"/>
      <c r="AV16" s="29" t="s">
        <v>60</v>
      </c>
      <c r="AW16" s="29" t="s">
        <v>818</v>
      </c>
      <c r="AX16" s="29" t="s">
        <v>13</v>
      </c>
      <c r="AY16" s="16" t="s">
        <v>833</v>
      </c>
      <c r="AZ16" s="98" t="s">
        <v>13</v>
      </c>
      <c r="BA16" s="71">
        <v>2.019288</v>
      </c>
      <c r="BB16" s="59"/>
      <c r="BC16" s="59"/>
      <c r="BD16" s="29">
        <v>461.7792</v>
      </c>
      <c r="BE16" s="29" t="s">
        <v>239</v>
      </c>
      <c r="BF16" s="29">
        <f t="shared" si="15"/>
        <v>420.65379999999999</v>
      </c>
      <c r="BG16" s="29">
        <f t="shared" si="15"/>
        <v>504.08690000000001</v>
      </c>
      <c r="BH16" s="29" t="s">
        <v>542</v>
      </c>
      <c r="BI16" s="23" t="s">
        <v>419</v>
      </c>
      <c r="BJ16" s="29">
        <v>420.65379999999999</v>
      </c>
      <c r="BK16" s="29">
        <v>504.08690000000001</v>
      </c>
      <c r="BL16" s="29" t="s">
        <v>834</v>
      </c>
      <c r="BM16" s="39" t="s">
        <v>13</v>
      </c>
      <c r="BN16" s="16" t="s">
        <v>42</v>
      </c>
      <c r="BO16" s="43" t="s">
        <v>231</v>
      </c>
      <c r="BP16" s="86">
        <f t="shared" si="13"/>
        <v>187.7</v>
      </c>
      <c r="BQ16" s="86">
        <v>201.3</v>
      </c>
      <c r="BR16" s="86">
        <v>174.1</v>
      </c>
      <c r="BS16" s="26">
        <v>919.22140000000002</v>
      </c>
      <c r="BT16" s="29" t="s">
        <v>389</v>
      </c>
      <c r="BU16" s="29">
        <f t="shared" si="7"/>
        <v>685.34690399999999</v>
      </c>
      <c r="BV16" s="29">
        <f t="shared" si="8"/>
        <v>1208.0393967999998</v>
      </c>
      <c r="BW16" s="29" t="s">
        <v>431</v>
      </c>
      <c r="BX16" s="26" t="s">
        <v>400</v>
      </c>
      <c r="BY16" s="26">
        <v>534.55939999999998</v>
      </c>
      <c r="BZ16" s="26">
        <v>1394.251</v>
      </c>
      <c r="CA16" s="25" t="s">
        <v>440</v>
      </c>
      <c r="CB16" s="25" t="s">
        <v>13</v>
      </c>
      <c r="CC16" s="25" t="s">
        <v>13</v>
      </c>
    </row>
    <row r="17" spans="1:81" s="39" customFormat="1">
      <c r="A17" s="47" t="s">
        <v>111</v>
      </c>
      <c r="B17" s="40" t="s">
        <v>110</v>
      </c>
      <c r="C17" s="59">
        <f>AVERAGE(D17:E17)</f>
        <v>302.95</v>
      </c>
      <c r="D17" s="54">
        <v>307</v>
      </c>
      <c r="E17" s="54">
        <v>298.89999999999998</v>
      </c>
      <c r="F17" s="23">
        <f t="shared" si="9"/>
        <v>588</v>
      </c>
      <c r="G17" s="23" t="s">
        <v>389</v>
      </c>
      <c r="H17" s="23">
        <f t="shared" si="10"/>
        <v>294</v>
      </c>
      <c r="I17" s="23">
        <f t="shared" si="11"/>
        <v>1176</v>
      </c>
      <c r="J17" s="23" t="s">
        <v>480</v>
      </c>
      <c r="K17" s="23" t="s">
        <v>400</v>
      </c>
      <c r="L17" s="48">
        <v>1470</v>
      </c>
      <c r="M17" s="49">
        <v>850</v>
      </c>
      <c r="N17" s="50">
        <v>2050</v>
      </c>
      <c r="O17" s="29">
        <v>5000</v>
      </c>
      <c r="P17" s="23">
        <v>2000</v>
      </c>
      <c r="Q17" s="23"/>
      <c r="R17" s="26" t="s">
        <v>13</v>
      </c>
      <c r="S17" s="6" t="s">
        <v>73</v>
      </c>
      <c r="T17" s="44"/>
      <c r="U17" s="61">
        <v>2.8216999999999999</v>
      </c>
      <c r="V17" s="62"/>
      <c r="W17" s="62"/>
      <c r="X17" s="26">
        <f t="shared" si="0"/>
        <v>303.36913940017894</v>
      </c>
      <c r="Y17" s="26" t="s">
        <v>389</v>
      </c>
      <c r="Z17" s="26">
        <f t="shared" si="1"/>
        <v>276.09858997278155</v>
      </c>
      <c r="AA17" s="26">
        <f t="shared" si="1"/>
        <v>330.63968882757632</v>
      </c>
      <c r="AB17" s="64" t="s">
        <v>427</v>
      </c>
      <c r="AC17" s="64" t="s">
        <v>398</v>
      </c>
      <c r="AD17" s="63">
        <v>276.09858997278155</v>
      </c>
      <c r="AE17" s="64">
        <v>330.63968882757632</v>
      </c>
      <c r="AF17" s="64" t="s">
        <v>394</v>
      </c>
      <c r="AG17" s="25" t="s">
        <v>13</v>
      </c>
      <c r="AH17" s="51" t="s">
        <v>10</v>
      </c>
      <c r="AI17" s="52" t="s">
        <v>163</v>
      </c>
      <c r="AJ17" s="62">
        <f t="shared" si="14"/>
        <v>44.5</v>
      </c>
      <c r="AK17" s="59">
        <v>47.8</v>
      </c>
      <c r="AL17" s="59">
        <v>41.2</v>
      </c>
      <c r="AM17" s="66">
        <f t="shared" si="16"/>
        <v>1003.5</v>
      </c>
      <c r="AN17" s="26" t="s">
        <v>389</v>
      </c>
      <c r="AO17" s="100">
        <f>1.61*1*300</f>
        <v>483.00000000000006</v>
      </c>
      <c r="AP17" s="29">
        <f>2.54*2*300</f>
        <v>1524</v>
      </c>
      <c r="AQ17" s="29" t="s">
        <v>426</v>
      </c>
      <c r="AR17" s="26" t="s">
        <v>422</v>
      </c>
      <c r="AS17" s="29"/>
      <c r="AT17" s="29">
        <f>1.61*1.2*300</f>
        <v>579.6</v>
      </c>
      <c r="AU17" s="29">
        <f>2.54*1.2*300</f>
        <v>914.4</v>
      </c>
      <c r="AV17" s="29" t="s">
        <v>60</v>
      </c>
      <c r="AW17" s="29"/>
      <c r="AX17" s="29" t="s">
        <v>13</v>
      </c>
      <c r="AY17" s="16" t="s">
        <v>833</v>
      </c>
      <c r="AZ17" s="98" t="s">
        <v>13</v>
      </c>
      <c r="BA17" s="71">
        <v>2.9412229999999999</v>
      </c>
      <c r="BB17" s="59"/>
      <c r="BC17" s="59"/>
      <c r="BD17" s="29">
        <v>441.09370000000001</v>
      </c>
      <c r="BE17" s="29" t="s">
        <v>239</v>
      </c>
      <c r="BF17" s="29">
        <f t="shared" si="15"/>
        <v>401.4862</v>
      </c>
      <c r="BG17" s="29">
        <f t="shared" si="15"/>
        <v>481.85820000000001</v>
      </c>
      <c r="BH17" s="29" t="s">
        <v>542</v>
      </c>
      <c r="BI17" s="23" t="s">
        <v>419</v>
      </c>
      <c r="BJ17" s="29">
        <v>401.4862</v>
      </c>
      <c r="BK17" s="29">
        <v>481.85820000000001</v>
      </c>
      <c r="BL17" s="29" t="s">
        <v>834</v>
      </c>
      <c r="BM17" s="39" t="s">
        <v>13</v>
      </c>
      <c r="BN17" s="16" t="s">
        <v>42</v>
      </c>
      <c r="BO17" s="52" t="s">
        <v>232</v>
      </c>
      <c r="BP17" s="86">
        <f t="shared" si="13"/>
        <v>205.55</v>
      </c>
      <c r="BQ17" s="86">
        <v>237</v>
      </c>
      <c r="BR17" s="86">
        <v>174.1</v>
      </c>
      <c r="BS17" s="29">
        <v>387.82780000000002</v>
      </c>
      <c r="BT17" s="29" t="s">
        <v>389</v>
      </c>
      <c r="BU17" s="29">
        <f t="shared" si="7"/>
        <v>274.56761440000002</v>
      </c>
      <c r="BV17" s="29">
        <f t="shared" si="8"/>
        <v>549.07566240000006</v>
      </c>
      <c r="BW17" s="29" t="s">
        <v>431</v>
      </c>
      <c r="BX17" s="26" t="s">
        <v>400</v>
      </c>
      <c r="BY17" s="29">
        <v>201.5446</v>
      </c>
      <c r="BZ17" s="29">
        <v>653.03809999999999</v>
      </c>
      <c r="CA17" s="25" t="s">
        <v>440</v>
      </c>
      <c r="CB17" s="25" t="s">
        <v>13</v>
      </c>
      <c r="CC17" s="25" t="s">
        <v>13</v>
      </c>
    </row>
    <row r="18" spans="1:81">
      <c r="A18" s="13" t="s">
        <v>8</v>
      </c>
      <c r="B18" s="36" t="s">
        <v>94</v>
      </c>
      <c r="C18" s="59">
        <f>AVERAGE(D18:E18)</f>
        <v>344.85</v>
      </c>
      <c r="D18" s="60">
        <v>346.7</v>
      </c>
      <c r="E18" s="60">
        <v>343</v>
      </c>
      <c r="F18" s="23">
        <f t="shared" si="9"/>
        <v>524</v>
      </c>
      <c r="G18" s="23" t="s">
        <v>389</v>
      </c>
      <c r="H18" s="23">
        <f t="shared" si="10"/>
        <v>262</v>
      </c>
      <c r="I18" s="23">
        <f t="shared" si="11"/>
        <v>1048</v>
      </c>
      <c r="J18" s="23" t="s">
        <v>480</v>
      </c>
      <c r="K18" s="23" t="s">
        <v>400</v>
      </c>
      <c r="L18" s="34">
        <v>1310</v>
      </c>
      <c r="M18" s="34">
        <v>690</v>
      </c>
      <c r="N18" s="29">
        <v>1890</v>
      </c>
      <c r="O18" s="29">
        <v>5000</v>
      </c>
      <c r="P18" s="23">
        <v>2000</v>
      </c>
      <c r="Q18" s="23"/>
      <c r="R18" s="26" t="s">
        <v>13</v>
      </c>
      <c r="S18" s="6" t="s">
        <v>73</v>
      </c>
      <c r="T18" s="44"/>
      <c r="U18" s="61">
        <v>2.89</v>
      </c>
      <c r="V18" s="62"/>
      <c r="W18" s="62"/>
      <c r="X18" s="26">
        <f t="shared" si="0"/>
        <v>323.27906244441886</v>
      </c>
      <c r="Y18" s="26" t="s">
        <v>389</v>
      </c>
      <c r="Z18" s="26">
        <f t="shared" si="1"/>
        <v>294.21876425896664</v>
      </c>
      <c r="AA18" s="26">
        <f t="shared" si="1"/>
        <v>352.33936062987101</v>
      </c>
      <c r="AB18" s="64" t="s">
        <v>427</v>
      </c>
      <c r="AC18" s="64" t="s">
        <v>398</v>
      </c>
      <c r="AD18" s="63">
        <v>294.21876425896664</v>
      </c>
      <c r="AE18" s="64">
        <v>352.33936062987101</v>
      </c>
      <c r="AF18" s="64" t="s">
        <v>394</v>
      </c>
      <c r="AG18" s="25" t="s">
        <v>13</v>
      </c>
      <c r="AH18" s="5" t="s">
        <v>10</v>
      </c>
      <c r="AI18" s="43" t="s">
        <v>162</v>
      </c>
      <c r="AJ18" s="62">
        <f t="shared" si="14"/>
        <v>168.8</v>
      </c>
      <c r="AK18" s="62">
        <v>174.1</v>
      </c>
      <c r="AL18" s="62">
        <v>163.5</v>
      </c>
      <c r="AM18" s="66">
        <f t="shared" si="16"/>
        <v>1056.5999999999999</v>
      </c>
      <c r="AN18" s="26" t="s">
        <v>389</v>
      </c>
      <c r="AO18" s="100">
        <f>1.65*1*360</f>
        <v>594</v>
      </c>
      <c r="AP18" s="29">
        <f>2.11*2*360</f>
        <v>1519.1999999999998</v>
      </c>
      <c r="AQ18" s="29" t="s">
        <v>426</v>
      </c>
      <c r="AR18" s="26" t="s">
        <v>422</v>
      </c>
      <c r="AS18" s="29"/>
      <c r="AT18" s="29">
        <f>1.65*2*300</f>
        <v>990</v>
      </c>
      <c r="AU18" s="29">
        <f>2.11*2*300</f>
        <v>1266</v>
      </c>
      <c r="AV18" s="29" t="s">
        <v>60</v>
      </c>
      <c r="AW18" s="29"/>
      <c r="AX18" s="29" t="s">
        <v>13</v>
      </c>
      <c r="AY18" s="16" t="s">
        <v>833</v>
      </c>
      <c r="AZ18" s="98" t="s">
        <v>13</v>
      </c>
      <c r="BA18" s="71">
        <v>3.2044039999999998</v>
      </c>
      <c r="BB18" s="59"/>
      <c r="BC18" s="59"/>
      <c r="BD18" s="29">
        <v>456.97720000000004</v>
      </c>
      <c r="BE18" s="29" t="s">
        <v>239</v>
      </c>
      <c r="BF18" s="29">
        <f t="shared" si="15"/>
        <v>415.34960000000001</v>
      </c>
      <c r="BG18" s="29">
        <f t="shared" si="15"/>
        <v>500.54899999999998</v>
      </c>
      <c r="BH18" s="29" t="s">
        <v>542</v>
      </c>
      <c r="BI18" s="23" t="s">
        <v>419</v>
      </c>
      <c r="BJ18" s="29">
        <v>415.34960000000001</v>
      </c>
      <c r="BK18" s="29">
        <v>500.54899999999998</v>
      </c>
      <c r="BL18" s="29" t="s">
        <v>834</v>
      </c>
      <c r="BM18" s="39" t="s">
        <v>13</v>
      </c>
      <c r="BN18" s="14" t="s">
        <v>650</v>
      </c>
      <c r="BO18" s="39" t="s">
        <v>564</v>
      </c>
      <c r="BP18" s="59">
        <v>63.8</v>
      </c>
      <c r="BQ18" s="59">
        <f>BP18+0.2</f>
        <v>64</v>
      </c>
      <c r="BR18" s="59">
        <f>BP18-0.2</f>
        <v>63.599999999999994</v>
      </c>
      <c r="BS18" s="39">
        <v>813</v>
      </c>
      <c r="BT18" s="39" t="s">
        <v>239</v>
      </c>
      <c r="BU18" s="29">
        <f>BY18</f>
        <v>644</v>
      </c>
      <c r="BV18" s="29">
        <f>BZ18</f>
        <v>1054.6399999999994</v>
      </c>
      <c r="BW18" s="29" t="s">
        <v>543</v>
      </c>
      <c r="BX18" s="29" t="s">
        <v>400</v>
      </c>
      <c r="BY18" s="29">
        <v>644</v>
      </c>
      <c r="BZ18" s="29">
        <v>1054.6399999999994</v>
      </c>
      <c r="CA18" s="25" t="s">
        <v>13</v>
      </c>
      <c r="CB18" s="25" t="s">
        <v>13</v>
      </c>
      <c r="CC18" s="25" t="s">
        <v>13</v>
      </c>
    </row>
    <row r="19" spans="1:81">
      <c r="A19" s="47" t="s">
        <v>119</v>
      </c>
      <c r="B19" s="40" t="s">
        <v>269</v>
      </c>
      <c r="C19" s="60">
        <v>7.66</v>
      </c>
      <c r="D19" s="60">
        <f>C19+0.13</f>
        <v>7.79</v>
      </c>
      <c r="E19" s="60">
        <f>C19-0.13</f>
        <v>7.53</v>
      </c>
      <c r="F19" s="23">
        <f t="shared" si="9"/>
        <v>292</v>
      </c>
      <c r="G19" s="23" t="s">
        <v>389</v>
      </c>
      <c r="H19" s="23">
        <f t="shared" si="10"/>
        <v>146</v>
      </c>
      <c r="I19" s="23">
        <f t="shared" si="11"/>
        <v>584</v>
      </c>
      <c r="J19" s="23" t="s">
        <v>480</v>
      </c>
      <c r="K19" s="23" t="s">
        <v>400</v>
      </c>
      <c r="L19" s="34">
        <v>730</v>
      </c>
      <c r="M19" s="34">
        <v>330</v>
      </c>
      <c r="N19" s="29">
        <v>1130</v>
      </c>
      <c r="O19" s="29">
        <v>5000</v>
      </c>
      <c r="P19" s="23">
        <v>2000</v>
      </c>
      <c r="Q19" s="23"/>
      <c r="R19" s="26" t="s">
        <v>13</v>
      </c>
      <c r="S19" s="6" t="s">
        <v>73</v>
      </c>
      <c r="T19" s="44"/>
      <c r="U19" s="61">
        <v>2.9359999999999999</v>
      </c>
      <c r="V19" s="62"/>
      <c r="W19" s="62"/>
      <c r="X19" s="26">
        <f t="shared" si="0"/>
        <v>332.87623310279986</v>
      </c>
      <c r="Y19" s="26" t="s">
        <v>389</v>
      </c>
      <c r="Z19" s="26">
        <f t="shared" si="1"/>
        <v>302.95322318167138</v>
      </c>
      <c r="AA19" s="26">
        <f t="shared" si="1"/>
        <v>362.79924302392834</v>
      </c>
      <c r="AB19" s="64" t="s">
        <v>427</v>
      </c>
      <c r="AC19" s="64" t="s">
        <v>398</v>
      </c>
      <c r="AD19" s="63">
        <v>302.95322318167138</v>
      </c>
      <c r="AE19" s="64">
        <v>362.79924302392834</v>
      </c>
      <c r="AF19" s="64" t="s">
        <v>394</v>
      </c>
      <c r="AG19" s="25" t="s">
        <v>13</v>
      </c>
      <c r="AH19" s="5" t="s">
        <v>10</v>
      </c>
      <c r="AI19" s="43" t="s">
        <v>125</v>
      </c>
      <c r="AJ19" s="62">
        <f t="shared" si="14"/>
        <v>285.60000000000002</v>
      </c>
      <c r="AK19" s="68">
        <v>298.89999999999998</v>
      </c>
      <c r="AL19" s="68">
        <v>272.3</v>
      </c>
      <c r="AM19" s="66">
        <f t="shared" si="16"/>
        <v>426.6</v>
      </c>
      <c r="AN19" s="26" t="s">
        <v>389</v>
      </c>
      <c r="AO19" s="100">
        <f>0.79*1*360</f>
        <v>284.40000000000003</v>
      </c>
      <c r="AP19" s="29">
        <f>0.79*2*360</f>
        <v>568.80000000000007</v>
      </c>
      <c r="AQ19" s="29" t="s">
        <v>426</v>
      </c>
      <c r="AR19" s="26" t="s">
        <v>422</v>
      </c>
      <c r="AS19" s="29"/>
      <c r="AT19" s="29">
        <f>0.79*2*300</f>
        <v>474</v>
      </c>
      <c r="AU19" s="29">
        <f>0.79*2*300</f>
        <v>474</v>
      </c>
      <c r="AV19" s="29" t="s">
        <v>60</v>
      </c>
      <c r="AW19" s="29"/>
      <c r="AX19" s="29" t="s">
        <v>13</v>
      </c>
      <c r="AY19" s="16" t="s">
        <v>833</v>
      </c>
      <c r="AZ19" s="98" t="s">
        <v>13</v>
      </c>
      <c r="BA19" s="71">
        <v>4.003177</v>
      </c>
      <c r="BB19" s="59"/>
      <c r="BC19" s="59"/>
      <c r="BD19" s="29">
        <v>503.74529999999999</v>
      </c>
      <c r="BE19" s="29" t="s">
        <v>239</v>
      </c>
      <c r="BF19" s="29">
        <f t="shared" si="15"/>
        <v>455.87270000000001</v>
      </c>
      <c r="BG19" s="29">
        <f t="shared" si="15"/>
        <v>553.92009999999993</v>
      </c>
      <c r="BH19" s="29" t="s">
        <v>542</v>
      </c>
      <c r="BI19" s="23" t="s">
        <v>419</v>
      </c>
      <c r="BJ19" s="29">
        <v>455.87270000000001</v>
      </c>
      <c r="BK19" s="29">
        <v>553.92009999999993</v>
      </c>
      <c r="BL19" s="29" t="s">
        <v>834</v>
      </c>
      <c r="BM19" s="39" t="s">
        <v>13</v>
      </c>
      <c r="BO19" s="43"/>
      <c r="CA19" s="25" t="s">
        <v>13</v>
      </c>
      <c r="CB19" s="25" t="s">
        <v>13</v>
      </c>
      <c r="CC19" s="25" t="s">
        <v>13</v>
      </c>
    </row>
    <row r="20" spans="1:81">
      <c r="A20" s="47" t="s">
        <v>119</v>
      </c>
      <c r="B20" s="40" t="s">
        <v>118</v>
      </c>
      <c r="C20" s="59">
        <f>AVERAGE(D20:E20)</f>
        <v>10.55</v>
      </c>
      <c r="D20" s="60">
        <v>11.2</v>
      </c>
      <c r="E20" s="60">
        <v>9.9</v>
      </c>
      <c r="F20" s="23">
        <f t="shared" si="9"/>
        <v>448</v>
      </c>
      <c r="G20" s="23" t="s">
        <v>389</v>
      </c>
      <c r="H20" s="23">
        <f t="shared" si="10"/>
        <v>224</v>
      </c>
      <c r="I20" s="23">
        <f t="shared" si="11"/>
        <v>896</v>
      </c>
      <c r="J20" s="23" t="s">
        <v>480</v>
      </c>
      <c r="K20" s="23" t="s">
        <v>400</v>
      </c>
      <c r="L20" s="34">
        <v>1120</v>
      </c>
      <c r="M20" s="34">
        <v>720</v>
      </c>
      <c r="N20" s="29">
        <v>1520</v>
      </c>
      <c r="O20" s="29">
        <v>5000</v>
      </c>
      <c r="P20" s="23">
        <v>2000</v>
      </c>
      <c r="Q20" s="23"/>
      <c r="R20" s="26" t="s">
        <v>13</v>
      </c>
      <c r="S20" s="6" t="s">
        <v>73</v>
      </c>
      <c r="T20" s="44"/>
      <c r="U20" s="61">
        <v>2.9849999999999999</v>
      </c>
      <c r="V20" s="62"/>
      <c r="W20" s="62"/>
      <c r="X20" s="26">
        <f t="shared" si="0"/>
        <v>371.64025025062898</v>
      </c>
      <c r="Y20" s="26" t="s">
        <v>389</v>
      </c>
      <c r="Z20" s="26">
        <f t="shared" si="1"/>
        <v>338.23265370435962</v>
      </c>
      <c r="AA20" s="26">
        <f t="shared" si="1"/>
        <v>405.04784679689834</v>
      </c>
      <c r="AB20" s="64" t="s">
        <v>427</v>
      </c>
      <c r="AC20" s="64" t="s">
        <v>398</v>
      </c>
      <c r="AD20" s="63">
        <v>338.23265370435962</v>
      </c>
      <c r="AE20" s="64">
        <v>405.04784679689834</v>
      </c>
      <c r="AF20" s="64" t="s">
        <v>394</v>
      </c>
      <c r="AG20" s="25" t="s">
        <v>13</v>
      </c>
      <c r="AH20" s="5" t="s">
        <v>10</v>
      </c>
      <c r="AI20" s="43" t="s">
        <v>165</v>
      </c>
      <c r="AJ20" s="62">
        <f t="shared" si="14"/>
        <v>316.60000000000002</v>
      </c>
      <c r="AK20" s="68">
        <v>318</v>
      </c>
      <c r="AL20" s="68">
        <v>315.2</v>
      </c>
      <c r="AM20" s="66">
        <f t="shared" si="16"/>
        <v>313.2</v>
      </c>
      <c r="AN20" s="26" t="s">
        <v>389</v>
      </c>
      <c r="AO20" s="29">
        <f>0.58*1*360</f>
        <v>208.79999999999998</v>
      </c>
      <c r="AP20" s="29">
        <f>0.58*2*360</f>
        <v>417.59999999999997</v>
      </c>
      <c r="AQ20" s="29" t="s">
        <v>426</v>
      </c>
      <c r="AR20" s="26" t="s">
        <v>422</v>
      </c>
      <c r="AS20" s="29"/>
      <c r="AT20" s="29">
        <f>0.58*2*300</f>
        <v>348</v>
      </c>
      <c r="AU20" s="29">
        <f>0.58*2*300</f>
        <v>348</v>
      </c>
      <c r="AV20" s="29" t="s">
        <v>60</v>
      </c>
      <c r="AW20" s="29"/>
      <c r="AX20" s="29" t="s">
        <v>13</v>
      </c>
      <c r="AY20" s="16" t="s">
        <v>833</v>
      </c>
      <c r="AZ20" s="98" t="s">
        <v>13</v>
      </c>
      <c r="BA20" s="71">
        <v>4.2257090000000002</v>
      </c>
      <c r="BB20" s="59"/>
      <c r="BC20" s="59"/>
      <c r="BD20" s="29">
        <v>480.03</v>
      </c>
      <c r="BE20" s="29" t="s">
        <v>239</v>
      </c>
      <c r="BF20" s="29">
        <f t="shared" si="15"/>
        <v>434.90859999999998</v>
      </c>
      <c r="BG20" s="29">
        <f t="shared" si="15"/>
        <v>526.42849999999999</v>
      </c>
      <c r="BH20" s="29" t="s">
        <v>542</v>
      </c>
      <c r="BI20" s="23" t="s">
        <v>419</v>
      </c>
      <c r="BJ20" s="29">
        <v>434.90859999999998</v>
      </c>
      <c r="BK20" s="29">
        <v>526.42849999999999</v>
      </c>
      <c r="BL20" s="29" t="s">
        <v>834</v>
      </c>
      <c r="BM20" s="39" t="s">
        <v>13</v>
      </c>
      <c r="BO20" s="43"/>
      <c r="CA20" s="25" t="s">
        <v>13</v>
      </c>
      <c r="CB20" s="25" t="s">
        <v>13</v>
      </c>
      <c r="CC20" s="25" t="s">
        <v>13</v>
      </c>
    </row>
    <row r="21" spans="1:81">
      <c r="A21" s="47" t="s">
        <v>119</v>
      </c>
      <c r="B21" s="40" t="s">
        <v>117</v>
      </c>
      <c r="C21" s="59">
        <f>AVERAGE(D21:E21)</f>
        <v>7.1</v>
      </c>
      <c r="D21" s="60">
        <v>8.9</v>
      </c>
      <c r="E21" s="60">
        <v>5.3</v>
      </c>
      <c r="F21" s="23">
        <f t="shared" si="9"/>
        <v>468</v>
      </c>
      <c r="G21" s="23" t="s">
        <v>389</v>
      </c>
      <c r="H21" s="23">
        <f t="shared" si="10"/>
        <v>234</v>
      </c>
      <c r="I21" s="23">
        <f t="shared" si="11"/>
        <v>936</v>
      </c>
      <c r="J21" s="23" t="s">
        <v>480</v>
      </c>
      <c r="K21" s="23" t="s">
        <v>400</v>
      </c>
      <c r="L21" s="34">
        <v>1170</v>
      </c>
      <c r="M21" s="34">
        <v>770</v>
      </c>
      <c r="N21" s="34">
        <v>1570</v>
      </c>
      <c r="O21" s="29">
        <v>5000</v>
      </c>
      <c r="P21" s="23">
        <v>2000</v>
      </c>
      <c r="Q21" s="23"/>
      <c r="R21" s="26" t="s">
        <v>13</v>
      </c>
      <c r="S21" s="6" t="s">
        <v>73</v>
      </c>
      <c r="T21" s="44"/>
      <c r="U21" s="61">
        <v>3.0670000000000002</v>
      </c>
      <c r="V21" s="62"/>
      <c r="W21" s="62"/>
      <c r="X21" s="26">
        <f t="shared" si="0"/>
        <v>352.95196275765227</v>
      </c>
      <c r="Y21" s="26" t="s">
        <v>389</v>
      </c>
      <c r="Z21" s="26">
        <f t="shared" si="1"/>
        <v>321.22429934102917</v>
      </c>
      <c r="AA21" s="26">
        <f t="shared" si="1"/>
        <v>384.67962617427531</v>
      </c>
      <c r="AB21" s="64" t="s">
        <v>427</v>
      </c>
      <c r="AC21" s="64" t="s">
        <v>398</v>
      </c>
      <c r="AD21" s="63">
        <v>321.22429934102917</v>
      </c>
      <c r="AE21" s="64">
        <v>384.67962617427531</v>
      </c>
      <c r="AF21" s="64" t="s">
        <v>394</v>
      </c>
      <c r="AG21" s="25" t="s">
        <v>13</v>
      </c>
      <c r="AH21" s="5" t="s">
        <v>10</v>
      </c>
      <c r="AI21" s="43" t="s">
        <v>164</v>
      </c>
      <c r="AJ21" s="62">
        <f t="shared" si="14"/>
        <v>400.45000000000005</v>
      </c>
      <c r="AK21" s="68">
        <v>407.6</v>
      </c>
      <c r="AL21" s="68">
        <v>393.3</v>
      </c>
      <c r="AM21" s="66">
        <f t="shared" si="16"/>
        <v>3096</v>
      </c>
      <c r="AN21" s="26" t="s">
        <v>389</v>
      </c>
      <c r="AO21" s="100">
        <f>4.8*1*360</f>
        <v>1728</v>
      </c>
      <c r="AP21" s="29">
        <f>6.2*2*360</f>
        <v>4464</v>
      </c>
      <c r="AQ21" s="29" t="s">
        <v>426</v>
      </c>
      <c r="AR21" s="26" t="s">
        <v>422</v>
      </c>
      <c r="AS21" s="29"/>
      <c r="AT21" s="29">
        <f>4.8*2*300</f>
        <v>2880</v>
      </c>
      <c r="AU21" s="29">
        <f>6.2*2*300</f>
        <v>3720</v>
      </c>
      <c r="AV21" s="29" t="s">
        <v>60</v>
      </c>
      <c r="AW21" s="29"/>
      <c r="AX21" s="29" t="s">
        <v>13</v>
      </c>
      <c r="AY21" s="16" t="s">
        <v>835</v>
      </c>
      <c r="AZ21" s="98" t="s">
        <v>13</v>
      </c>
      <c r="BA21" s="97">
        <v>1.9751300000000001</v>
      </c>
      <c r="BB21" s="59"/>
      <c r="BC21" s="59"/>
      <c r="BD21" s="29">
        <v>339.10210000000001</v>
      </c>
      <c r="BE21" s="29" t="s">
        <v>239</v>
      </c>
      <c r="BF21" s="29">
        <f>BJ21</f>
        <v>309.18079999999998</v>
      </c>
      <c r="BG21" s="29">
        <f>BK21</f>
        <v>370.57979999999998</v>
      </c>
      <c r="BH21" s="29" t="s">
        <v>542</v>
      </c>
      <c r="BI21" s="23" t="s">
        <v>419</v>
      </c>
      <c r="BJ21" s="29">
        <v>309.18079999999998</v>
      </c>
      <c r="BK21" s="29">
        <v>370.57979999999998</v>
      </c>
      <c r="BL21" s="29" t="s">
        <v>834</v>
      </c>
      <c r="BM21" s="39" t="s">
        <v>13</v>
      </c>
      <c r="BO21" s="43"/>
      <c r="CA21" s="25" t="s">
        <v>13</v>
      </c>
      <c r="CB21" s="25" t="s">
        <v>13</v>
      </c>
      <c r="CC21" s="25" t="s">
        <v>13</v>
      </c>
    </row>
    <row r="22" spans="1:81">
      <c r="A22" s="4" t="s">
        <v>25</v>
      </c>
      <c r="B22" s="37" t="s">
        <v>96</v>
      </c>
      <c r="C22" s="68">
        <v>55.5</v>
      </c>
      <c r="D22" s="68">
        <v>56</v>
      </c>
      <c r="E22" s="68">
        <v>55</v>
      </c>
      <c r="F22" s="23">
        <f t="shared" si="9"/>
        <v>100</v>
      </c>
      <c r="G22" s="23" t="s">
        <v>389</v>
      </c>
      <c r="H22" s="23">
        <f t="shared" si="10"/>
        <v>50</v>
      </c>
      <c r="I22" s="23">
        <f t="shared" si="11"/>
        <v>200</v>
      </c>
      <c r="J22" s="23" t="s">
        <v>480</v>
      </c>
      <c r="K22" s="23" t="s">
        <v>400</v>
      </c>
      <c r="L22" s="34">
        <v>500</v>
      </c>
      <c r="M22" s="28">
        <v>300</v>
      </c>
      <c r="N22" s="26">
        <v>700</v>
      </c>
      <c r="O22" s="26">
        <v>10000</v>
      </c>
      <c r="P22" s="22">
        <v>2000</v>
      </c>
      <c r="Q22" s="22" t="s">
        <v>327</v>
      </c>
      <c r="R22" s="26" t="s">
        <v>13</v>
      </c>
      <c r="S22" s="6" t="s">
        <v>73</v>
      </c>
      <c r="T22" s="44"/>
      <c r="U22" s="61">
        <v>3.1173000000000002</v>
      </c>
      <c r="V22" s="62"/>
      <c r="W22" s="62"/>
      <c r="X22" s="26">
        <f t="shared" si="0"/>
        <v>344.27854134921603</v>
      </c>
      <c r="Y22" s="26" t="s">
        <v>389</v>
      </c>
      <c r="Z22" s="26">
        <f t="shared" si="1"/>
        <v>313.33055172436713</v>
      </c>
      <c r="AA22" s="26">
        <f t="shared" si="1"/>
        <v>375.22653097406493</v>
      </c>
      <c r="AB22" s="64" t="s">
        <v>427</v>
      </c>
      <c r="AC22" s="64" t="s">
        <v>398</v>
      </c>
      <c r="AD22" s="63">
        <v>313.33055172436713</v>
      </c>
      <c r="AE22" s="64">
        <v>375.22653097406493</v>
      </c>
      <c r="AF22" s="64" t="s">
        <v>394</v>
      </c>
      <c r="AG22" s="25" t="s">
        <v>13</v>
      </c>
      <c r="AH22" s="6" t="s">
        <v>24</v>
      </c>
      <c r="AI22" s="44" t="s">
        <v>166</v>
      </c>
      <c r="AJ22" s="68">
        <f t="shared" si="14"/>
        <v>200.65</v>
      </c>
      <c r="AK22" s="68">
        <v>201.3</v>
      </c>
      <c r="AL22" s="68">
        <v>200</v>
      </c>
      <c r="AM22" s="66">
        <f t="shared" si="16"/>
        <v>895.50000000000023</v>
      </c>
      <c r="AN22" s="26" t="s">
        <v>389</v>
      </c>
      <c r="AO22" s="66">
        <f>AVERAGE(1.55,1.75,1.27,1.34,2.04,4.65,1.33)*1*300</f>
        <v>597.00000000000011</v>
      </c>
      <c r="AP22" s="100">
        <f>AVERAGE(1.55,1.75,1.27,1.34,2.04,4.65,1.33)*2*300</f>
        <v>1194.0000000000002</v>
      </c>
      <c r="AQ22" s="29" t="s">
        <v>426</v>
      </c>
      <c r="AR22" s="26" t="s">
        <v>422</v>
      </c>
      <c r="AS22" s="29"/>
      <c r="AT22" s="29">
        <f>1.27*2*300</f>
        <v>762</v>
      </c>
      <c r="AU22" s="29">
        <f>2.04*2*300</f>
        <v>1224</v>
      </c>
      <c r="AV22" s="29" t="s">
        <v>60</v>
      </c>
      <c r="AW22" s="29" t="s">
        <v>819</v>
      </c>
      <c r="AX22" s="29" t="s">
        <v>13</v>
      </c>
      <c r="AY22" s="16" t="s">
        <v>835</v>
      </c>
      <c r="AZ22" s="98" t="s">
        <v>13</v>
      </c>
      <c r="BA22" s="97">
        <v>2.0265399999999998</v>
      </c>
      <c r="BB22" s="59"/>
      <c r="BC22" s="59"/>
      <c r="BD22" s="29">
        <v>376.93440000000004</v>
      </c>
      <c r="BE22" s="29" t="s">
        <v>239</v>
      </c>
      <c r="BF22" s="29">
        <f t="shared" ref="BF22:BG69" si="17">BJ22</f>
        <v>342.64620000000002</v>
      </c>
      <c r="BG22" s="29">
        <f t="shared" si="17"/>
        <v>412.13440000000003</v>
      </c>
      <c r="BH22" s="29" t="s">
        <v>542</v>
      </c>
      <c r="BI22" s="23" t="s">
        <v>419</v>
      </c>
      <c r="BJ22" s="29">
        <v>342.64620000000002</v>
      </c>
      <c r="BK22" s="29">
        <v>412.13440000000003</v>
      </c>
      <c r="BL22" s="29" t="s">
        <v>834</v>
      </c>
      <c r="BM22" s="39" t="s">
        <v>13</v>
      </c>
      <c r="BO22" s="44"/>
      <c r="CA22" s="25" t="s">
        <v>13</v>
      </c>
      <c r="CB22" s="25" t="s">
        <v>13</v>
      </c>
      <c r="CC22" s="25" t="s">
        <v>13</v>
      </c>
    </row>
    <row r="23" spans="1:81">
      <c r="A23" s="4" t="s">
        <v>25</v>
      </c>
      <c r="B23" s="37" t="s">
        <v>95</v>
      </c>
      <c r="C23" s="68">
        <v>56.5</v>
      </c>
      <c r="D23" s="68">
        <v>57</v>
      </c>
      <c r="E23" s="68">
        <v>56</v>
      </c>
      <c r="F23" s="23">
        <f t="shared" si="9"/>
        <v>100</v>
      </c>
      <c r="G23" s="23" t="s">
        <v>389</v>
      </c>
      <c r="H23" s="23">
        <f t="shared" si="10"/>
        <v>50</v>
      </c>
      <c r="I23" s="23">
        <f t="shared" si="11"/>
        <v>200</v>
      </c>
      <c r="J23" s="23" t="s">
        <v>480</v>
      </c>
      <c r="K23" s="23" t="s">
        <v>400</v>
      </c>
      <c r="L23" s="34">
        <v>500</v>
      </c>
      <c r="M23" s="28">
        <v>300</v>
      </c>
      <c r="N23" s="28">
        <v>700</v>
      </c>
      <c r="O23" s="28">
        <v>10000</v>
      </c>
      <c r="P23" s="22">
        <v>2000</v>
      </c>
      <c r="Q23" s="22" t="s">
        <v>327</v>
      </c>
      <c r="R23" s="26" t="s">
        <v>13</v>
      </c>
      <c r="S23" s="6" t="s">
        <v>73</v>
      </c>
      <c r="T23" s="44"/>
      <c r="U23" s="61">
        <v>3.1720000000000002</v>
      </c>
      <c r="V23" s="62"/>
      <c r="W23" s="62"/>
      <c r="X23" s="26">
        <f t="shared" si="0"/>
        <v>334.92962724978076</v>
      </c>
      <c r="Y23" s="26" t="s">
        <v>389</v>
      </c>
      <c r="Z23" s="26">
        <f t="shared" si="1"/>
        <v>304.82203300774904</v>
      </c>
      <c r="AA23" s="26">
        <f t="shared" si="1"/>
        <v>365.03722149181243</v>
      </c>
      <c r="AB23" s="64" t="s">
        <v>427</v>
      </c>
      <c r="AC23" s="64" t="s">
        <v>398</v>
      </c>
      <c r="AD23" s="63">
        <v>304.82203300774904</v>
      </c>
      <c r="AE23" s="64">
        <v>365.03722149181243</v>
      </c>
      <c r="AF23" s="64" t="s">
        <v>394</v>
      </c>
      <c r="AG23" s="25" t="s">
        <v>13</v>
      </c>
      <c r="AH23" s="6" t="s">
        <v>24</v>
      </c>
      <c r="AI23" s="44" t="s">
        <v>167</v>
      </c>
      <c r="AJ23" s="68">
        <v>201.3</v>
      </c>
      <c r="AK23" s="62">
        <f>AJ23+0.5</f>
        <v>201.8</v>
      </c>
      <c r="AL23" s="62">
        <f>AJ23-0.5</f>
        <v>200.8</v>
      </c>
      <c r="AM23" s="66">
        <f t="shared" si="16"/>
        <v>1533.6</v>
      </c>
      <c r="AN23" s="26" t="s">
        <v>389</v>
      </c>
      <c r="AO23" s="66">
        <f>AVERAGE(3.3,3.89,3.43,2.97,3.45)*1*300</f>
        <v>1022.4</v>
      </c>
      <c r="AP23" s="100">
        <f>AVERAGE(3.3,3.89,3.43,2.97,3.45)*2*300</f>
        <v>2044.8</v>
      </c>
      <c r="AQ23" s="29" t="s">
        <v>426</v>
      </c>
      <c r="AR23" s="26" t="s">
        <v>422</v>
      </c>
      <c r="AS23" s="29"/>
      <c r="AT23" s="29">
        <f>2.97*2*300</f>
        <v>1782.0000000000002</v>
      </c>
      <c r="AU23" s="29">
        <f>3.89*2*300</f>
        <v>2334</v>
      </c>
      <c r="AV23" s="29" t="s">
        <v>60</v>
      </c>
      <c r="AW23" s="29" t="s">
        <v>820</v>
      </c>
      <c r="AX23" s="29" t="s">
        <v>13</v>
      </c>
      <c r="AY23" s="16" t="s">
        <v>835</v>
      </c>
      <c r="AZ23" s="67" t="s">
        <v>13</v>
      </c>
      <c r="BA23" s="97">
        <v>2.07809</v>
      </c>
      <c r="BB23" s="59"/>
      <c r="BC23" s="59"/>
      <c r="BD23" s="29">
        <v>347.64570000000003</v>
      </c>
      <c r="BE23" s="29" t="s">
        <v>239</v>
      </c>
      <c r="BF23" s="29">
        <f t="shared" si="17"/>
        <v>316.3546</v>
      </c>
      <c r="BG23" s="29">
        <f t="shared" si="17"/>
        <v>380.1456</v>
      </c>
      <c r="BH23" s="29" t="s">
        <v>542</v>
      </c>
      <c r="BI23" s="23" t="s">
        <v>419</v>
      </c>
      <c r="BJ23" s="29">
        <v>316.3546</v>
      </c>
      <c r="BK23" s="29">
        <v>380.1456</v>
      </c>
      <c r="BL23" s="29" t="s">
        <v>834</v>
      </c>
      <c r="BM23" s="25" t="s">
        <v>13</v>
      </c>
      <c r="BO23" s="44"/>
      <c r="CA23" s="25" t="s">
        <v>13</v>
      </c>
      <c r="CB23" s="25" t="s">
        <v>13</v>
      </c>
      <c r="CC23" s="25" t="s">
        <v>13</v>
      </c>
    </row>
    <row r="24" spans="1:81">
      <c r="A24" s="4" t="s">
        <v>23</v>
      </c>
      <c r="B24" s="37" t="s">
        <v>97</v>
      </c>
      <c r="C24" s="68">
        <f>AVERAGE(D24:E24)</f>
        <v>69.05</v>
      </c>
      <c r="D24" s="68">
        <v>72.099999999999994</v>
      </c>
      <c r="E24" s="68">
        <v>66</v>
      </c>
      <c r="F24" s="23">
        <f t="shared" si="9"/>
        <v>60</v>
      </c>
      <c r="G24" s="23" t="s">
        <v>389</v>
      </c>
      <c r="H24" s="23">
        <f t="shared" si="10"/>
        <v>30</v>
      </c>
      <c r="I24" s="23">
        <f t="shared" si="11"/>
        <v>120</v>
      </c>
      <c r="J24" s="23" t="s">
        <v>480</v>
      </c>
      <c r="K24" s="23" t="s">
        <v>400</v>
      </c>
      <c r="L24" s="28">
        <v>300</v>
      </c>
      <c r="M24" s="28">
        <v>0</v>
      </c>
      <c r="N24" s="26">
        <v>1300</v>
      </c>
      <c r="O24" s="26">
        <v>10000</v>
      </c>
      <c r="P24" s="22">
        <v>2000</v>
      </c>
      <c r="Q24" s="22"/>
      <c r="R24" s="26" t="s">
        <v>13</v>
      </c>
      <c r="S24" s="6" t="s">
        <v>73</v>
      </c>
      <c r="T24" s="44"/>
      <c r="U24" s="61">
        <v>3.2290000000000001</v>
      </c>
      <c r="V24" s="62"/>
      <c r="W24" s="62"/>
      <c r="X24" s="26">
        <f t="shared" si="0"/>
        <v>340.88392293755709</v>
      </c>
      <c r="Y24" s="26" t="s">
        <v>389</v>
      </c>
      <c r="Z24" s="26">
        <f t="shared" si="1"/>
        <v>310.24108336641945</v>
      </c>
      <c r="AA24" s="26">
        <f t="shared" si="1"/>
        <v>371.52676250869473</v>
      </c>
      <c r="AB24" s="64" t="s">
        <v>427</v>
      </c>
      <c r="AC24" s="64" t="s">
        <v>398</v>
      </c>
      <c r="AD24" s="63">
        <v>310.24108336641945</v>
      </c>
      <c r="AE24" s="64">
        <v>371.52676250869473</v>
      </c>
      <c r="AF24" s="64" t="s">
        <v>394</v>
      </c>
      <c r="AG24" s="25" t="s">
        <v>13</v>
      </c>
      <c r="AH24" s="6" t="s">
        <v>24</v>
      </c>
      <c r="AI24" s="44" t="s">
        <v>168</v>
      </c>
      <c r="AJ24" s="62">
        <f t="shared" ref="AJ24:AJ32" si="18">AVERAGE(AK24:AL24)</f>
        <v>201.55</v>
      </c>
      <c r="AK24" s="62">
        <v>201.8</v>
      </c>
      <c r="AL24" s="62">
        <v>201.3</v>
      </c>
      <c r="AM24" s="66">
        <f t="shared" si="16"/>
        <v>715.49999999999989</v>
      </c>
      <c r="AN24" s="26" t="s">
        <v>389</v>
      </c>
      <c r="AO24" s="66">
        <f>AVERAGE(1.13,1.69,1.95)*1*300</f>
        <v>476.99999999999994</v>
      </c>
      <c r="AP24" s="100">
        <f>AVERAGE(1.13,1.69,1.95)*2*300</f>
        <v>953.99999999999989</v>
      </c>
      <c r="AQ24" s="29" t="s">
        <v>426</v>
      </c>
      <c r="AR24" s="26" t="s">
        <v>422</v>
      </c>
      <c r="AS24" s="29"/>
      <c r="AT24" s="29">
        <f>1.13*2*300</f>
        <v>677.99999999999989</v>
      </c>
      <c r="AU24" s="29">
        <f>1.95*2*300</f>
        <v>1170</v>
      </c>
      <c r="AV24" s="29" t="s">
        <v>60</v>
      </c>
      <c r="AW24" s="29" t="s">
        <v>821</v>
      </c>
      <c r="AX24" s="29" t="s">
        <v>13</v>
      </c>
      <c r="AY24" s="16" t="s">
        <v>835</v>
      </c>
      <c r="AZ24" s="67" t="s">
        <v>13</v>
      </c>
      <c r="BA24" s="97">
        <v>2.1610100000000001</v>
      </c>
      <c r="BB24" s="59"/>
      <c r="BC24" s="59"/>
      <c r="BD24" s="29">
        <v>332.76479999999998</v>
      </c>
      <c r="BE24" s="29" t="s">
        <v>239</v>
      </c>
      <c r="BF24" s="29">
        <f t="shared" si="17"/>
        <v>301.62899999999996</v>
      </c>
      <c r="BG24" s="29">
        <f t="shared" si="17"/>
        <v>363.56170000000003</v>
      </c>
      <c r="BH24" s="29" t="s">
        <v>542</v>
      </c>
      <c r="BI24" s="23" t="s">
        <v>419</v>
      </c>
      <c r="BJ24" s="29">
        <v>301.62899999999996</v>
      </c>
      <c r="BK24" s="29">
        <v>363.56170000000003</v>
      </c>
      <c r="BL24" s="29" t="s">
        <v>834</v>
      </c>
      <c r="BM24" s="25" t="s">
        <v>13</v>
      </c>
      <c r="BO24" s="44"/>
      <c r="CA24" s="25" t="s">
        <v>13</v>
      </c>
      <c r="CB24" s="25" t="s">
        <v>13</v>
      </c>
      <c r="CC24" s="25" t="s">
        <v>13</v>
      </c>
    </row>
    <row r="25" spans="1:81">
      <c r="A25" s="9" t="s">
        <v>296</v>
      </c>
      <c r="B25" s="40" t="s">
        <v>285</v>
      </c>
      <c r="C25" s="68">
        <v>7</v>
      </c>
      <c r="D25" s="68">
        <v>9</v>
      </c>
      <c r="E25" s="68">
        <v>5</v>
      </c>
      <c r="F25" s="23">
        <f t="shared" si="9"/>
        <v>148</v>
      </c>
      <c r="G25" s="23" t="s">
        <v>389</v>
      </c>
      <c r="H25" s="23">
        <f t="shared" si="10"/>
        <v>74</v>
      </c>
      <c r="I25" s="23">
        <f t="shared" si="11"/>
        <v>296</v>
      </c>
      <c r="J25" s="23" t="s">
        <v>480</v>
      </c>
      <c r="K25" s="23" t="s">
        <v>400</v>
      </c>
      <c r="L25" s="28">
        <v>370</v>
      </c>
      <c r="M25" s="28">
        <v>0</v>
      </c>
      <c r="N25" s="26">
        <v>970</v>
      </c>
      <c r="O25" s="26">
        <v>5000</v>
      </c>
      <c r="P25" s="22">
        <v>2000</v>
      </c>
      <c r="Q25" s="22"/>
      <c r="R25" s="26" t="s">
        <v>13</v>
      </c>
      <c r="S25" s="6" t="s">
        <v>73</v>
      </c>
      <c r="T25" s="44"/>
      <c r="U25" s="61">
        <v>3.6249000000000002</v>
      </c>
      <c r="V25" s="62"/>
      <c r="W25" s="62"/>
      <c r="X25" s="26">
        <f t="shared" si="0"/>
        <v>362.00610796815101</v>
      </c>
      <c r="Y25" s="26" t="s">
        <v>389</v>
      </c>
      <c r="Z25" s="26">
        <f t="shared" si="1"/>
        <v>329.46454662185084</v>
      </c>
      <c r="AA25" s="26">
        <f t="shared" si="1"/>
        <v>394.54766931445124</v>
      </c>
      <c r="AB25" s="64" t="s">
        <v>427</v>
      </c>
      <c r="AC25" s="64" t="s">
        <v>398</v>
      </c>
      <c r="AD25" s="63">
        <v>329.46454662185084</v>
      </c>
      <c r="AE25" s="64">
        <v>394.54766931445124</v>
      </c>
      <c r="AF25" s="64" t="s">
        <v>394</v>
      </c>
      <c r="AG25" s="25" t="s">
        <v>13</v>
      </c>
      <c r="AH25" s="16" t="s">
        <v>3</v>
      </c>
      <c r="AI25" s="55" t="s">
        <v>196</v>
      </c>
      <c r="AJ25" s="59">
        <f t="shared" si="18"/>
        <v>135.10000000000002</v>
      </c>
      <c r="AK25" s="59">
        <v>139.4</v>
      </c>
      <c r="AL25" s="59">
        <v>130.80000000000001</v>
      </c>
      <c r="AM25" s="66">
        <f t="shared" si="16"/>
        <v>1501.6764705882356</v>
      </c>
      <c r="AN25" s="26" t="s">
        <v>389</v>
      </c>
      <c r="AO25" s="66">
        <f>(9.3/3.4)*1*366</f>
        <v>1001.1176470588238</v>
      </c>
      <c r="AP25" s="100">
        <f>(9.3/3.4)*2*366</f>
        <v>2002.2352941176475</v>
      </c>
      <c r="AQ25" s="29" t="s">
        <v>426</v>
      </c>
      <c r="AR25" s="26" t="s">
        <v>422</v>
      </c>
      <c r="AS25" s="29">
        <f>2.8*1.2*300</f>
        <v>1008</v>
      </c>
      <c r="AT25" s="29"/>
      <c r="AU25" s="29"/>
      <c r="AV25" s="29" t="s">
        <v>60</v>
      </c>
      <c r="AW25" s="97"/>
      <c r="AX25" s="29" t="s">
        <v>13</v>
      </c>
      <c r="AY25" s="16" t="s">
        <v>835</v>
      </c>
      <c r="AZ25" s="67" t="s">
        <v>13</v>
      </c>
      <c r="BA25" s="97">
        <v>2.1660400000000002</v>
      </c>
      <c r="BB25" s="59"/>
      <c r="BC25" s="59"/>
      <c r="BD25" s="29">
        <v>463.82960000000003</v>
      </c>
      <c r="BE25" s="29" t="s">
        <v>239</v>
      </c>
      <c r="BF25" s="29">
        <f t="shared" si="17"/>
        <v>420.35590000000002</v>
      </c>
      <c r="BG25" s="29">
        <f t="shared" si="17"/>
        <v>508.08760000000007</v>
      </c>
      <c r="BH25" s="29" t="s">
        <v>542</v>
      </c>
      <c r="BI25" s="23" t="s">
        <v>419</v>
      </c>
      <c r="BJ25" s="29">
        <v>420.35590000000002</v>
      </c>
      <c r="BK25" s="29">
        <v>508.08760000000007</v>
      </c>
      <c r="BL25" s="29" t="s">
        <v>834</v>
      </c>
      <c r="BM25" s="25" t="s">
        <v>13</v>
      </c>
      <c r="BO25" s="44"/>
      <c r="CA25" s="25" t="s">
        <v>13</v>
      </c>
      <c r="CB25" s="25" t="s">
        <v>13</v>
      </c>
      <c r="CC25" s="25" t="s">
        <v>13</v>
      </c>
    </row>
    <row r="26" spans="1:81">
      <c r="A26" s="9" t="s">
        <v>296</v>
      </c>
      <c r="B26" s="40" t="s">
        <v>285</v>
      </c>
      <c r="C26" s="68">
        <v>9</v>
      </c>
      <c r="D26" s="68">
        <v>11</v>
      </c>
      <c r="E26" s="68">
        <v>7</v>
      </c>
      <c r="F26" s="23">
        <f t="shared" si="9"/>
        <v>204</v>
      </c>
      <c r="G26" s="23" t="s">
        <v>389</v>
      </c>
      <c r="H26" s="23">
        <f t="shared" si="10"/>
        <v>102</v>
      </c>
      <c r="I26" s="23">
        <f t="shared" si="11"/>
        <v>408</v>
      </c>
      <c r="J26" s="23" t="s">
        <v>480</v>
      </c>
      <c r="K26" s="23" t="s">
        <v>400</v>
      </c>
      <c r="L26" s="28">
        <v>510</v>
      </c>
      <c r="M26" s="28">
        <v>110</v>
      </c>
      <c r="N26" s="26">
        <v>910</v>
      </c>
      <c r="O26" s="26">
        <v>5000</v>
      </c>
      <c r="P26" s="22">
        <v>2000</v>
      </c>
      <c r="Q26" s="22"/>
      <c r="R26" s="26" t="s">
        <v>13</v>
      </c>
      <c r="S26" s="6" t="s">
        <v>73</v>
      </c>
      <c r="T26" s="44"/>
      <c r="U26" s="61">
        <v>3.8461999999999996</v>
      </c>
      <c r="V26" s="62"/>
      <c r="W26" s="62"/>
      <c r="X26" s="26">
        <f t="shared" si="0"/>
        <v>356.93720184432556</v>
      </c>
      <c r="Y26" s="26" t="s">
        <v>389</v>
      </c>
      <c r="Z26" s="26">
        <f t="shared" si="1"/>
        <v>324.85129612359731</v>
      </c>
      <c r="AA26" s="26">
        <f t="shared" si="1"/>
        <v>389.02310756505381</v>
      </c>
      <c r="AB26" s="64" t="s">
        <v>427</v>
      </c>
      <c r="AC26" s="64" t="s">
        <v>398</v>
      </c>
      <c r="AD26" s="63">
        <v>324.85129612359731</v>
      </c>
      <c r="AE26" s="64">
        <v>389.02310756505381</v>
      </c>
      <c r="AF26" s="64" t="s">
        <v>394</v>
      </c>
      <c r="AG26" s="25" t="s">
        <v>13</v>
      </c>
      <c r="AH26" s="6" t="s">
        <v>3</v>
      </c>
      <c r="AI26" s="44" t="s">
        <v>275</v>
      </c>
      <c r="AJ26" s="68">
        <f t="shared" si="18"/>
        <v>172.2</v>
      </c>
      <c r="AK26" s="68">
        <v>174.1</v>
      </c>
      <c r="AL26" s="68">
        <v>170.3</v>
      </c>
      <c r="AM26" s="66">
        <f t="shared" si="16"/>
        <v>1963.7307692307693</v>
      </c>
      <c r="AN26" s="26" t="s">
        <v>389</v>
      </c>
      <c r="AO26" s="66">
        <f>(9.3/2.6)*1*366</f>
        <v>1309.1538461538462</v>
      </c>
      <c r="AP26" s="100">
        <f>(9.3/2.6)*2*366</f>
        <v>2618.3076923076924</v>
      </c>
      <c r="AQ26" s="29" t="s">
        <v>426</v>
      </c>
      <c r="AR26" s="26" t="s">
        <v>422</v>
      </c>
      <c r="AS26" s="29">
        <f>3.6*1.2*300</f>
        <v>1296</v>
      </c>
      <c r="AT26" s="29"/>
      <c r="AU26" s="29"/>
      <c r="AV26" s="29" t="s">
        <v>60</v>
      </c>
      <c r="AW26" s="29"/>
      <c r="AX26" s="29" t="s">
        <v>13</v>
      </c>
      <c r="AY26" s="16" t="s">
        <v>835</v>
      </c>
      <c r="AZ26" s="67" t="s">
        <v>13</v>
      </c>
      <c r="BA26" s="97">
        <v>2.2013400000000001</v>
      </c>
      <c r="BB26" s="59"/>
      <c r="BC26" s="59"/>
      <c r="BD26" s="29">
        <v>291.51069999999999</v>
      </c>
      <c r="BE26" s="29" t="s">
        <v>239</v>
      </c>
      <c r="BF26" s="29">
        <f t="shared" si="17"/>
        <v>265.55110000000002</v>
      </c>
      <c r="BG26" s="29">
        <f t="shared" si="17"/>
        <v>319.02319999999997</v>
      </c>
      <c r="BH26" s="29" t="s">
        <v>542</v>
      </c>
      <c r="BI26" s="23" t="s">
        <v>419</v>
      </c>
      <c r="BJ26" s="29">
        <v>265.55110000000002</v>
      </c>
      <c r="BK26" s="29">
        <v>319.02319999999997</v>
      </c>
      <c r="BL26" s="29" t="s">
        <v>834</v>
      </c>
      <c r="BM26" s="25" t="s">
        <v>13</v>
      </c>
      <c r="BO26" s="44"/>
      <c r="CA26" s="25" t="s">
        <v>13</v>
      </c>
      <c r="CB26" s="25" t="s">
        <v>13</v>
      </c>
      <c r="CC26" s="25" t="s">
        <v>13</v>
      </c>
    </row>
    <row r="27" spans="1:81">
      <c r="A27" s="9" t="s">
        <v>296</v>
      </c>
      <c r="B27" s="40" t="s">
        <v>285</v>
      </c>
      <c r="C27" s="68">
        <v>13</v>
      </c>
      <c r="D27" s="68">
        <v>15</v>
      </c>
      <c r="E27" s="68">
        <v>11</v>
      </c>
      <c r="F27" s="23">
        <f t="shared" si="9"/>
        <v>296</v>
      </c>
      <c r="G27" s="23" t="s">
        <v>389</v>
      </c>
      <c r="H27" s="23">
        <f t="shared" si="10"/>
        <v>148</v>
      </c>
      <c r="I27" s="23">
        <f t="shared" si="11"/>
        <v>592</v>
      </c>
      <c r="J27" s="23" t="s">
        <v>480</v>
      </c>
      <c r="K27" s="23" t="s">
        <v>400</v>
      </c>
      <c r="L27" s="28">
        <v>740</v>
      </c>
      <c r="M27" s="28">
        <v>440</v>
      </c>
      <c r="N27" s="26">
        <v>1040</v>
      </c>
      <c r="O27" s="26">
        <v>5000</v>
      </c>
      <c r="P27" s="22">
        <v>2000</v>
      </c>
      <c r="Q27" s="22"/>
      <c r="R27" s="26" t="s">
        <v>13</v>
      </c>
      <c r="S27" s="6" t="s">
        <v>73</v>
      </c>
      <c r="T27" s="44"/>
      <c r="U27" s="61">
        <v>3.9335</v>
      </c>
      <c r="V27" s="62"/>
      <c r="W27" s="62"/>
      <c r="X27" s="26">
        <f t="shared" si="0"/>
        <v>337.71161539321145</v>
      </c>
      <c r="Y27" s="26" t="s">
        <v>389</v>
      </c>
      <c r="Z27" s="26">
        <f t="shared" si="1"/>
        <v>307.35394184079945</v>
      </c>
      <c r="AA27" s="26">
        <f t="shared" si="1"/>
        <v>368.06928894562344</v>
      </c>
      <c r="AB27" s="64" t="s">
        <v>427</v>
      </c>
      <c r="AC27" s="64" t="s">
        <v>398</v>
      </c>
      <c r="AD27" s="63">
        <v>307.35394184079945</v>
      </c>
      <c r="AE27" s="64">
        <v>368.06928894562344</v>
      </c>
      <c r="AF27" s="64" t="s">
        <v>394</v>
      </c>
      <c r="AG27" s="25" t="s">
        <v>13</v>
      </c>
      <c r="AH27" s="6" t="s">
        <v>3</v>
      </c>
      <c r="AI27" s="44" t="s">
        <v>103</v>
      </c>
      <c r="AJ27" s="68">
        <f t="shared" si="18"/>
        <v>187.7</v>
      </c>
      <c r="AK27" s="68">
        <v>201.3</v>
      </c>
      <c r="AL27" s="68">
        <v>174.1</v>
      </c>
      <c r="AM27" s="66">
        <f t="shared" si="16"/>
        <v>762.04477611940297</v>
      </c>
      <c r="AN27" s="26" t="s">
        <v>389</v>
      </c>
      <c r="AO27" s="66">
        <f>(9.3/6.7)*1*366</f>
        <v>508.02985074626866</v>
      </c>
      <c r="AP27" s="100">
        <f>(9.3/6.7)*2*366</f>
        <v>1016.0597014925373</v>
      </c>
      <c r="AQ27" s="29" t="s">
        <v>426</v>
      </c>
      <c r="AR27" s="26" t="s">
        <v>422</v>
      </c>
      <c r="AS27" s="29">
        <f>1.4*1.2*300</f>
        <v>504</v>
      </c>
      <c r="AT27" s="29"/>
      <c r="AU27" s="29"/>
      <c r="AV27" s="29" t="s">
        <v>60</v>
      </c>
      <c r="AW27" s="29"/>
      <c r="AX27" s="29" t="s">
        <v>13</v>
      </c>
      <c r="AY27" s="16" t="s">
        <v>835</v>
      </c>
      <c r="AZ27" s="67" t="s">
        <v>13</v>
      </c>
      <c r="BA27" s="97">
        <v>2.2013400000000001</v>
      </c>
      <c r="BB27" s="59"/>
      <c r="BC27" s="59"/>
      <c r="BD27" s="29">
        <v>415.27359999999999</v>
      </c>
      <c r="BE27" s="29" t="s">
        <v>239</v>
      </c>
      <c r="BF27" s="29">
        <f t="shared" si="17"/>
        <v>377.96289999999999</v>
      </c>
      <c r="BG27" s="29">
        <f t="shared" si="17"/>
        <v>455.57799999999997</v>
      </c>
      <c r="BH27" s="29" t="s">
        <v>542</v>
      </c>
      <c r="BI27" s="23" t="s">
        <v>419</v>
      </c>
      <c r="BJ27" s="29">
        <v>377.96289999999999</v>
      </c>
      <c r="BK27" s="29">
        <v>455.57799999999997</v>
      </c>
      <c r="BL27" s="29" t="s">
        <v>834</v>
      </c>
      <c r="BM27" s="25" t="s">
        <v>13</v>
      </c>
      <c r="BO27" s="44"/>
      <c r="CA27" s="25" t="s">
        <v>13</v>
      </c>
      <c r="CB27" s="25" t="s">
        <v>13</v>
      </c>
      <c r="CC27" s="25" t="s">
        <v>13</v>
      </c>
    </row>
    <row r="28" spans="1:81">
      <c r="A28" s="9" t="s">
        <v>296</v>
      </c>
      <c r="B28" s="40" t="s">
        <v>285</v>
      </c>
      <c r="C28" s="68">
        <v>13</v>
      </c>
      <c r="D28" s="68">
        <v>15</v>
      </c>
      <c r="E28" s="68">
        <v>11</v>
      </c>
      <c r="F28" s="23">
        <f t="shared" si="9"/>
        <v>176</v>
      </c>
      <c r="G28" s="23" t="s">
        <v>389</v>
      </c>
      <c r="H28" s="23">
        <f t="shared" si="10"/>
        <v>88</v>
      </c>
      <c r="I28" s="23">
        <f t="shared" si="11"/>
        <v>352</v>
      </c>
      <c r="J28" s="23" t="s">
        <v>480</v>
      </c>
      <c r="K28" s="23" t="s">
        <v>400</v>
      </c>
      <c r="L28" s="28">
        <v>440</v>
      </c>
      <c r="M28" s="28">
        <v>140</v>
      </c>
      <c r="N28" s="26">
        <v>740</v>
      </c>
      <c r="O28" s="26">
        <v>5000</v>
      </c>
      <c r="P28" s="22">
        <v>2000</v>
      </c>
      <c r="Q28" s="22"/>
      <c r="R28" s="26" t="s">
        <v>13</v>
      </c>
      <c r="S28" s="6" t="s">
        <v>73</v>
      </c>
      <c r="T28" s="44"/>
      <c r="U28" s="61">
        <v>4.0279999999999996</v>
      </c>
      <c r="V28" s="62"/>
      <c r="W28" s="62"/>
      <c r="X28" s="26">
        <f t="shared" si="0"/>
        <v>329.41104829695638</v>
      </c>
      <c r="Y28" s="26" t="s">
        <v>389</v>
      </c>
      <c r="Z28" s="26">
        <f t="shared" si="1"/>
        <v>299.79953180495409</v>
      </c>
      <c r="AA28" s="26">
        <f t="shared" si="1"/>
        <v>359.02256478895868</v>
      </c>
      <c r="AB28" s="64" t="s">
        <v>427</v>
      </c>
      <c r="AC28" s="64" t="s">
        <v>398</v>
      </c>
      <c r="AD28" s="63">
        <v>299.79953180495409</v>
      </c>
      <c r="AE28" s="64">
        <v>359.02256478895868</v>
      </c>
      <c r="AF28" s="64" t="s">
        <v>394</v>
      </c>
      <c r="AG28" s="25" t="s">
        <v>13</v>
      </c>
      <c r="AH28" s="6" t="s">
        <v>11</v>
      </c>
      <c r="AI28" s="44" t="s">
        <v>245</v>
      </c>
      <c r="AJ28" s="62">
        <f t="shared" si="18"/>
        <v>44.5</v>
      </c>
      <c r="AK28" s="62">
        <v>47.8</v>
      </c>
      <c r="AL28" s="62">
        <v>41.2</v>
      </c>
      <c r="AM28" s="66">
        <f t="shared" si="16"/>
        <v>964.13414634146341</v>
      </c>
      <c r="AN28" s="26" t="s">
        <v>389</v>
      </c>
      <c r="AO28" s="66">
        <f>(14.6/8.2)*1*361</f>
        <v>642.7560975609756</v>
      </c>
      <c r="AP28" s="100">
        <f>(14.6/8.2)*2*361</f>
        <v>1285.5121951219512</v>
      </c>
      <c r="AQ28" s="29" t="s">
        <v>426</v>
      </c>
      <c r="AR28" s="26" t="s">
        <v>422</v>
      </c>
      <c r="AS28" s="29">
        <f>AVERAGE(AT28:AU28)</f>
        <v>485</v>
      </c>
      <c r="AT28" s="29">
        <v>460</v>
      </c>
      <c r="AU28" s="29">
        <v>510</v>
      </c>
      <c r="AV28" s="29" t="s">
        <v>60</v>
      </c>
      <c r="AW28" s="29" t="s">
        <v>822</v>
      </c>
      <c r="AX28" s="29" t="s">
        <v>13</v>
      </c>
      <c r="AY28" s="16" t="s">
        <v>835</v>
      </c>
      <c r="AZ28" s="67" t="s">
        <v>13</v>
      </c>
      <c r="BA28" s="97">
        <v>2.20194</v>
      </c>
      <c r="BB28" s="59"/>
      <c r="BC28" s="59"/>
      <c r="BD28" s="29">
        <v>472.77750000000003</v>
      </c>
      <c r="BE28" s="29" t="s">
        <v>239</v>
      </c>
      <c r="BF28" s="29">
        <f t="shared" si="17"/>
        <v>427.9796</v>
      </c>
      <c r="BG28" s="29">
        <f t="shared" si="17"/>
        <v>517.48239999999998</v>
      </c>
      <c r="BH28" s="29" t="s">
        <v>542</v>
      </c>
      <c r="BI28" s="23" t="s">
        <v>419</v>
      </c>
      <c r="BJ28" s="29">
        <v>427.9796</v>
      </c>
      <c r="BK28" s="29">
        <v>517.48239999999998</v>
      </c>
      <c r="BL28" s="29" t="s">
        <v>834</v>
      </c>
      <c r="BM28" s="25" t="s">
        <v>13</v>
      </c>
      <c r="BO28" s="44"/>
      <c r="CA28" s="25" t="s">
        <v>13</v>
      </c>
      <c r="CB28" s="25" t="s">
        <v>13</v>
      </c>
      <c r="CC28" s="25" t="s">
        <v>13</v>
      </c>
    </row>
    <row r="29" spans="1:81">
      <c r="A29" s="4" t="s">
        <v>22</v>
      </c>
      <c r="B29" s="37" t="s">
        <v>125</v>
      </c>
      <c r="C29" s="68">
        <f t="shared" ref="C29:C37" si="19">AVERAGE(D29:E29)</f>
        <v>285.60000000000002</v>
      </c>
      <c r="D29" s="68">
        <v>298.89999999999998</v>
      </c>
      <c r="E29" s="68">
        <v>272.3</v>
      </c>
      <c r="F29" s="23">
        <f t="shared" si="9"/>
        <v>70</v>
      </c>
      <c r="G29" s="23" t="s">
        <v>389</v>
      </c>
      <c r="H29" s="23">
        <f t="shared" si="10"/>
        <v>35</v>
      </c>
      <c r="I29" s="23">
        <f t="shared" si="11"/>
        <v>140</v>
      </c>
      <c r="J29" s="23" t="s">
        <v>480</v>
      </c>
      <c r="K29" s="23" t="s">
        <v>400</v>
      </c>
      <c r="L29" s="28">
        <v>175</v>
      </c>
      <c r="M29" s="28">
        <v>150</v>
      </c>
      <c r="N29" s="26">
        <v>200</v>
      </c>
      <c r="O29" s="26">
        <v>5000</v>
      </c>
      <c r="P29" s="22">
        <v>2000</v>
      </c>
      <c r="Q29" s="22" t="s">
        <v>328</v>
      </c>
      <c r="R29" s="26" t="s">
        <v>13</v>
      </c>
      <c r="S29" s="6" t="s">
        <v>73</v>
      </c>
      <c r="T29" s="44"/>
      <c r="U29" s="61">
        <v>4.1135000000000002</v>
      </c>
      <c r="V29" s="62"/>
      <c r="W29" s="62"/>
      <c r="X29" s="26">
        <f t="shared" si="0"/>
        <v>353.70350366820401</v>
      </c>
      <c r="Y29" s="26" t="s">
        <v>389</v>
      </c>
      <c r="Z29" s="26">
        <f t="shared" si="1"/>
        <v>321.90828251123713</v>
      </c>
      <c r="AA29" s="26">
        <f t="shared" si="1"/>
        <v>385.49872482517088</v>
      </c>
      <c r="AB29" s="64" t="s">
        <v>427</v>
      </c>
      <c r="AC29" s="64" t="s">
        <v>398</v>
      </c>
      <c r="AD29" s="63">
        <v>321.90828251123713</v>
      </c>
      <c r="AE29" s="64">
        <v>385.49872482517088</v>
      </c>
      <c r="AF29" s="64" t="s">
        <v>394</v>
      </c>
      <c r="AG29" s="25" t="s">
        <v>13</v>
      </c>
      <c r="AH29" s="6" t="s">
        <v>0</v>
      </c>
      <c r="AI29" s="44" t="s">
        <v>276</v>
      </c>
      <c r="AJ29" s="62">
        <f t="shared" si="18"/>
        <v>15.149999999999999</v>
      </c>
      <c r="AK29" s="62">
        <v>16.649999999999999</v>
      </c>
      <c r="AL29" s="62">
        <v>13.65</v>
      </c>
      <c r="AM29" s="21">
        <v>461</v>
      </c>
      <c r="AN29" s="21" t="s">
        <v>239</v>
      </c>
      <c r="AO29" s="22">
        <f>AM29-0.7*(AM29-AT29)</f>
        <v>354.6</v>
      </c>
      <c r="AP29" s="23" t="s">
        <v>773</v>
      </c>
      <c r="AQ29" s="89" t="s">
        <v>774</v>
      </c>
      <c r="AR29" s="23" t="s">
        <v>400</v>
      </c>
      <c r="AS29" s="23">
        <v>339</v>
      </c>
      <c r="AT29" s="89">
        <v>309</v>
      </c>
      <c r="AU29" s="89">
        <v>705</v>
      </c>
      <c r="AV29" s="23" t="s">
        <v>236</v>
      </c>
      <c r="AW29" s="23" t="s">
        <v>783</v>
      </c>
      <c r="AX29" s="29" t="s">
        <v>13</v>
      </c>
      <c r="AY29" s="16" t="s">
        <v>835</v>
      </c>
      <c r="AZ29" s="67" t="s">
        <v>13</v>
      </c>
      <c r="BA29" s="97">
        <v>2.3046700000000002</v>
      </c>
      <c r="BB29" s="59"/>
      <c r="BC29" s="59"/>
      <c r="BD29" s="29">
        <v>328.98419999999999</v>
      </c>
      <c r="BE29" s="29" t="s">
        <v>239</v>
      </c>
      <c r="BF29" s="29">
        <f t="shared" si="17"/>
        <v>299.35340000000002</v>
      </c>
      <c r="BG29" s="29">
        <f t="shared" si="17"/>
        <v>360.42510000000004</v>
      </c>
      <c r="BH29" s="29" t="s">
        <v>542</v>
      </c>
      <c r="BI29" s="23" t="s">
        <v>419</v>
      </c>
      <c r="BJ29" s="29">
        <v>299.35340000000002</v>
      </c>
      <c r="BK29" s="29">
        <v>360.42510000000004</v>
      </c>
      <c r="BL29" s="29" t="s">
        <v>834</v>
      </c>
      <c r="BM29" s="25" t="s">
        <v>13</v>
      </c>
      <c r="BO29" s="44"/>
      <c r="CA29" s="25" t="s">
        <v>13</v>
      </c>
      <c r="CB29" s="25" t="s">
        <v>13</v>
      </c>
      <c r="CC29" s="25" t="s">
        <v>13</v>
      </c>
    </row>
    <row r="30" spans="1:81">
      <c r="A30" s="4" t="s">
        <v>22</v>
      </c>
      <c r="B30" s="37" t="s">
        <v>110</v>
      </c>
      <c r="C30" s="68">
        <f t="shared" si="19"/>
        <v>302.95</v>
      </c>
      <c r="D30" s="68">
        <v>307</v>
      </c>
      <c r="E30" s="68">
        <v>298.89999999999998</v>
      </c>
      <c r="F30" s="23">
        <f t="shared" si="9"/>
        <v>250</v>
      </c>
      <c r="G30" s="23" t="s">
        <v>389</v>
      </c>
      <c r="H30" s="23">
        <f t="shared" si="10"/>
        <v>125</v>
      </c>
      <c r="I30" s="23">
        <f t="shared" si="11"/>
        <v>500</v>
      </c>
      <c r="J30" s="23" t="s">
        <v>480</v>
      </c>
      <c r="K30" s="23" t="s">
        <v>400</v>
      </c>
      <c r="L30" s="28">
        <v>625</v>
      </c>
      <c r="M30" s="28">
        <v>450</v>
      </c>
      <c r="N30" s="26">
        <v>800</v>
      </c>
      <c r="O30" s="26">
        <v>5000</v>
      </c>
      <c r="P30" s="22">
        <v>2000</v>
      </c>
      <c r="Q30" s="22" t="s">
        <v>328</v>
      </c>
      <c r="R30" s="26" t="s">
        <v>13</v>
      </c>
      <c r="S30" s="6" t="s">
        <v>73</v>
      </c>
      <c r="T30" s="44"/>
      <c r="U30" s="61">
        <v>4.3419999999999996</v>
      </c>
      <c r="V30" s="62"/>
      <c r="W30" s="62"/>
      <c r="X30" s="26">
        <f t="shared" si="0"/>
        <v>381.05255097738018</v>
      </c>
      <c r="Y30" s="26" t="s">
        <v>389</v>
      </c>
      <c r="Z30" s="26">
        <f t="shared" si="1"/>
        <v>347.72501876131383</v>
      </c>
      <c r="AA30" s="26">
        <f t="shared" si="1"/>
        <v>414.38008319344658</v>
      </c>
      <c r="AB30" s="64" t="s">
        <v>427</v>
      </c>
      <c r="AC30" s="64" t="s">
        <v>398</v>
      </c>
      <c r="AD30" s="63">
        <v>347.72501876131383</v>
      </c>
      <c r="AE30" s="64">
        <v>414.38008319344658</v>
      </c>
      <c r="AF30" s="64" t="s">
        <v>394</v>
      </c>
      <c r="AG30" s="25" t="s">
        <v>13</v>
      </c>
      <c r="AH30" s="6" t="s">
        <v>0</v>
      </c>
      <c r="AI30" s="44" t="s">
        <v>276</v>
      </c>
      <c r="AJ30" s="62">
        <f t="shared" si="18"/>
        <v>15.25</v>
      </c>
      <c r="AK30" s="62">
        <v>16.75</v>
      </c>
      <c r="AL30" s="62">
        <v>13.75</v>
      </c>
      <c r="AM30" s="21">
        <v>500</v>
      </c>
      <c r="AN30" s="21" t="s">
        <v>239</v>
      </c>
      <c r="AO30" s="22">
        <f>AM30-0.7*(AM30-AT30)</f>
        <v>366.3</v>
      </c>
      <c r="AP30" s="23" t="s">
        <v>773</v>
      </c>
      <c r="AQ30" s="89" t="s">
        <v>423</v>
      </c>
      <c r="AR30" s="23" t="s">
        <v>400</v>
      </c>
      <c r="AS30" s="23">
        <v>339</v>
      </c>
      <c r="AT30" s="89">
        <v>309</v>
      </c>
      <c r="AU30" s="89">
        <v>705</v>
      </c>
      <c r="AV30" s="23" t="s">
        <v>236</v>
      </c>
      <c r="AW30" s="23" t="s">
        <v>783</v>
      </c>
      <c r="AX30" s="29" t="s">
        <v>13</v>
      </c>
      <c r="AY30" s="16" t="s">
        <v>835</v>
      </c>
      <c r="AZ30" s="67" t="s">
        <v>13</v>
      </c>
      <c r="BA30" s="97">
        <v>2.5029400000000002</v>
      </c>
      <c r="BB30" s="59"/>
      <c r="BC30" s="59"/>
      <c r="BD30" s="29">
        <v>429.39240000000001</v>
      </c>
      <c r="BE30" s="29" t="s">
        <v>239</v>
      </c>
      <c r="BF30" s="29">
        <f t="shared" si="17"/>
        <v>389.37040000000002</v>
      </c>
      <c r="BG30" s="29">
        <f t="shared" si="17"/>
        <v>470.5412</v>
      </c>
      <c r="BH30" s="29" t="s">
        <v>542</v>
      </c>
      <c r="BI30" s="23" t="s">
        <v>419</v>
      </c>
      <c r="BJ30" s="29">
        <v>389.37040000000002</v>
      </c>
      <c r="BK30" s="29">
        <v>470.5412</v>
      </c>
      <c r="BL30" s="29" t="s">
        <v>834</v>
      </c>
      <c r="BM30" s="25" t="s">
        <v>13</v>
      </c>
      <c r="BO30" s="44"/>
      <c r="CA30" s="25" t="s">
        <v>13</v>
      </c>
      <c r="CB30" s="25" t="s">
        <v>13</v>
      </c>
      <c r="CC30" s="25" t="s">
        <v>13</v>
      </c>
    </row>
    <row r="31" spans="1:81">
      <c r="A31" s="4" t="s">
        <v>22</v>
      </c>
      <c r="B31" s="37" t="s">
        <v>124</v>
      </c>
      <c r="C31" s="68">
        <f t="shared" si="19"/>
        <v>327.04999999999995</v>
      </c>
      <c r="D31" s="68">
        <v>330.9</v>
      </c>
      <c r="E31" s="68">
        <v>323.2</v>
      </c>
      <c r="F31" s="23">
        <f t="shared" si="9"/>
        <v>290</v>
      </c>
      <c r="G31" s="23" t="s">
        <v>389</v>
      </c>
      <c r="H31" s="23">
        <f t="shared" si="10"/>
        <v>145</v>
      </c>
      <c r="I31" s="23">
        <f t="shared" si="11"/>
        <v>580</v>
      </c>
      <c r="J31" s="23" t="s">
        <v>480</v>
      </c>
      <c r="K31" s="23" t="s">
        <v>400</v>
      </c>
      <c r="L31" s="28">
        <v>725</v>
      </c>
      <c r="M31" s="28">
        <v>600</v>
      </c>
      <c r="N31" s="26">
        <v>1000</v>
      </c>
      <c r="O31" s="26">
        <v>5000</v>
      </c>
      <c r="P31" s="22">
        <v>2000</v>
      </c>
      <c r="Q31" s="22" t="s">
        <v>328</v>
      </c>
      <c r="R31" s="26" t="s">
        <v>13</v>
      </c>
      <c r="S31" s="6" t="s">
        <v>73</v>
      </c>
      <c r="T31" s="44"/>
      <c r="U31" s="61">
        <v>4.4336000000000002</v>
      </c>
      <c r="V31" s="62"/>
      <c r="W31" s="62"/>
      <c r="X31" s="26">
        <f t="shared" si="0"/>
        <v>350.95069227349984</v>
      </c>
      <c r="Y31" s="26" t="s">
        <v>389</v>
      </c>
      <c r="Z31" s="26">
        <f t="shared" si="1"/>
        <v>320.26314723198499</v>
      </c>
      <c r="AA31" s="26">
        <f t="shared" si="1"/>
        <v>381.63823731501463</v>
      </c>
      <c r="AB31" s="64" t="s">
        <v>427</v>
      </c>
      <c r="AC31" s="64" t="s">
        <v>398</v>
      </c>
      <c r="AD31" s="63">
        <v>320.26314723198499</v>
      </c>
      <c r="AE31" s="64">
        <v>381.63823731501463</v>
      </c>
      <c r="AF31" s="64" t="s">
        <v>394</v>
      </c>
      <c r="AG31" s="25" t="s">
        <v>13</v>
      </c>
      <c r="AH31" s="6" t="s">
        <v>0</v>
      </c>
      <c r="AI31" s="44" t="s">
        <v>276</v>
      </c>
      <c r="AJ31" s="62">
        <f t="shared" si="18"/>
        <v>15.3</v>
      </c>
      <c r="AK31" s="62">
        <v>16.8</v>
      </c>
      <c r="AL31" s="62">
        <v>13.8</v>
      </c>
      <c r="AM31" s="21">
        <f>405</f>
        <v>405</v>
      </c>
      <c r="AN31" s="21" t="s">
        <v>239</v>
      </c>
      <c r="AO31" s="22">
        <f>AM31-0.7*(AM31-AT31)</f>
        <v>335.7</v>
      </c>
      <c r="AP31" s="23" t="s">
        <v>773</v>
      </c>
      <c r="AQ31" s="89" t="s">
        <v>423</v>
      </c>
      <c r="AR31" s="23" t="s">
        <v>400</v>
      </c>
      <c r="AS31" s="23">
        <v>313</v>
      </c>
      <c r="AT31" s="89">
        <v>306</v>
      </c>
      <c r="AU31" s="89">
        <v>591</v>
      </c>
      <c r="AV31" s="23" t="s">
        <v>236</v>
      </c>
      <c r="AW31" s="23" t="s">
        <v>783</v>
      </c>
      <c r="AX31" s="29" t="s">
        <v>13</v>
      </c>
      <c r="AY31" s="16" t="s">
        <v>835</v>
      </c>
      <c r="AZ31" s="67" t="s">
        <v>13</v>
      </c>
      <c r="BA31" s="97">
        <v>2.5585800000000001</v>
      </c>
      <c r="BB31" s="59"/>
      <c r="BC31" s="59"/>
      <c r="BD31" s="29">
        <v>375.83689999999996</v>
      </c>
      <c r="BE31" s="29" t="s">
        <v>239</v>
      </c>
      <c r="BF31" s="29">
        <f t="shared" si="17"/>
        <v>339.86259999999999</v>
      </c>
      <c r="BG31" s="29">
        <f t="shared" si="17"/>
        <v>412.87559999999996</v>
      </c>
      <c r="BH31" s="29" t="s">
        <v>542</v>
      </c>
      <c r="BI31" s="23" t="s">
        <v>419</v>
      </c>
      <c r="BJ31" s="29">
        <v>339.86259999999999</v>
      </c>
      <c r="BK31" s="29">
        <v>412.87559999999996</v>
      </c>
      <c r="BL31" s="29" t="s">
        <v>834</v>
      </c>
      <c r="BM31" s="25" t="s">
        <v>13</v>
      </c>
      <c r="BO31" s="44"/>
      <c r="CA31" s="25" t="s">
        <v>13</v>
      </c>
      <c r="CB31" s="25" t="s">
        <v>13</v>
      </c>
      <c r="CC31" s="25" t="s">
        <v>13</v>
      </c>
    </row>
    <row r="32" spans="1:81">
      <c r="A32" s="4" t="s">
        <v>22</v>
      </c>
      <c r="B32" s="37" t="s">
        <v>124</v>
      </c>
      <c r="C32" s="68">
        <f t="shared" si="19"/>
        <v>327.04999999999995</v>
      </c>
      <c r="D32" s="68">
        <v>330.9</v>
      </c>
      <c r="E32" s="68">
        <v>323.2</v>
      </c>
      <c r="F32" s="23">
        <f t="shared" si="9"/>
        <v>210</v>
      </c>
      <c r="G32" s="23" t="s">
        <v>389</v>
      </c>
      <c r="H32" s="23">
        <f t="shared" si="10"/>
        <v>105</v>
      </c>
      <c r="I32" s="23">
        <f t="shared" si="11"/>
        <v>420</v>
      </c>
      <c r="J32" s="23" t="s">
        <v>480</v>
      </c>
      <c r="K32" s="23" t="s">
        <v>400</v>
      </c>
      <c r="L32" s="28">
        <v>525</v>
      </c>
      <c r="M32" s="28">
        <v>450</v>
      </c>
      <c r="N32" s="26">
        <v>600</v>
      </c>
      <c r="O32" s="26">
        <v>5000</v>
      </c>
      <c r="P32" s="22">
        <v>2000</v>
      </c>
      <c r="Q32" s="22" t="s">
        <v>328</v>
      </c>
      <c r="R32" s="26" t="s">
        <v>13</v>
      </c>
      <c r="S32" s="6" t="s">
        <v>73</v>
      </c>
      <c r="T32" s="44"/>
      <c r="U32" s="61">
        <v>4.5773999999999999</v>
      </c>
      <c r="V32" s="62"/>
      <c r="W32" s="62"/>
      <c r="X32" s="26">
        <f t="shared" si="0"/>
        <v>369.80794382138868</v>
      </c>
      <c r="Y32" s="26" t="s">
        <v>389</v>
      </c>
      <c r="Z32" s="26">
        <f t="shared" si="1"/>
        <v>337.47021036752602</v>
      </c>
      <c r="AA32" s="26">
        <f t="shared" si="1"/>
        <v>402.14567727525139</v>
      </c>
      <c r="AB32" s="64" t="s">
        <v>427</v>
      </c>
      <c r="AC32" s="64" t="s">
        <v>398</v>
      </c>
      <c r="AD32" s="63">
        <v>337.47021036752602</v>
      </c>
      <c r="AE32" s="64">
        <v>402.14567727525139</v>
      </c>
      <c r="AF32" s="64" t="s">
        <v>394</v>
      </c>
      <c r="AG32" s="25" t="s">
        <v>13</v>
      </c>
      <c r="AH32" s="6" t="s">
        <v>0</v>
      </c>
      <c r="AI32" s="44" t="s">
        <v>276</v>
      </c>
      <c r="AJ32" s="62">
        <f t="shared" si="18"/>
        <v>16.5</v>
      </c>
      <c r="AK32" s="62">
        <v>18</v>
      </c>
      <c r="AL32" s="62">
        <v>15</v>
      </c>
      <c r="AM32" s="21">
        <v>535</v>
      </c>
      <c r="AN32" s="21" t="s">
        <v>239</v>
      </c>
      <c r="AO32" s="21">
        <f>AT32</f>
        <v>402</v>
      </c>
      <c r="AP32" s="89">
        <f>AU32</f>
        <v>704</v>
      </c>
      <c r="AQ32" s="23" t="s">
        <v>421</v>
      </c>
      <c r="AR32" s="23" t="s">
        <v>400</v>
      </c>
      <c r="AS32" s="23">
        <v>533</v>
      </c>
      <c r="AT32" s="89">
        <v>402</v>
      </c>
      <c r="AU32" s="89">
        <v>704</v>
      </c>
      <c r="AV32" s="23" t="s">
        <v>236</v>
      </c>
      <c r="AW32" s="23"/>
      <c r="AX32" s="29" t="s">
        <v>13</v>
      </c>
      <c r="AY32" s="16" t="s">
        <v>835</v>
      </c>
      <c r="AZ32" s="67" t="s">
        <v>13</v>
      </c>
      <c r="BA32" s="97">
        <v>2.6008599999999999</v>
      </c>
      <c r="BB32" s="59"/>
      <c r="BC32" s="59"/>
      <c r="BD32" s="29">
        <v>323.99270000000001</v>
      </c>
      <c r="BE32" s="29" t="s">
        <v>239</v>
      </c>
      <c r="BF32" s="29">
        <f t="shared" si="17"/>
        <v>294.17110000000002</v>
      </c>
      <c r="BG32" s="29">
        <f t="shared" si="17"/>
        <v>354.56970000000001</v>
      </c>
      <c r="BH32" s="29" t="s">
        <v>542</v>
      </c>
      <c r="BI32" s="23" t="s">
        <v>419</v>
      </c>
      <c r="BJ32" s="29">
        <v>294.17110000000002</v>
      </c>
      <c r="BK32" s="29">
        <v>354.56970000000001</v>
      </c>
      <c r="BL32" s="29" t="s">
        <v>834</v>
      </c>
      <c r="BM32" s="25" t="s">
        <v>13</v>
      </c>
      <c r="BO32" s="44"/>
      <c r="CA32" s="25" t="s">
        <v>13</v>
      </c>
      <c r="CB32" s="25" t="s">
        <v>13</v>
      </c>
      <c r="CC32" s="25" t="s">
        <v>13</v>
      </c>
    </row>
    <row r="33" spans="1:81">
      <c r="A33" s="4" t="s">
        <v>22</v>
      </c>
      <c r="B33" s="37" t="s">
        <v>123</v>
      </c>
      <c r="C33" s="68">
        <f t="shared" si="19"/>
        <v>332.6</v>
      </c>
      <c r="D33" s="68">
        <v>346.7</v>
      </c>
      <c r="E33" s="68">
        <v>318.5</v>
      </c>
      <c r="F33" s="23">
        <f t="shared" si="9"/>
        <v>320</v>
      </c>
      <c r="G33" s="23" t="s">
        <v>389</v>
      </c>
      <c r="H33" s="23">
        <f t="shared" si="10"/>
        <v>160</v>
      </c>
      <c r="I33" s="23">
        <f t="shared" si="11"/>
        <v>640</v>
      </c>
      <c r="J33" s="23" t="s">
        <v>480</v>
      </c>
      <c r="K33" s="23" t="s">
        <v>400</v>
      </c>
      <c r="L33" s="28">
        <v>800</v>
      </c>
      <c r="M33" s="28">
        <v>600</v>
      </c>
      <c r="N33" s="26">
        <v>1000</v>
      </c>
      <c r="O33" s="26">
        <v>5000</v>
      </c>
      <c r="P33" s="22">
        <v>2000</v>
      </c>
      <c r="Q33" s="22" t="s">
        <v>328</v>
      </c>
      <c r="R33" s="26" t="s">
        <v>13</v>
      </c>
      <c r="S33" s="6" t="s">
        <v>73</v>
      </c>
      <c r="T33" s="44"/>
      <c r="U33" s="61">
        <v>4.7809999999999997</v>
      </c>
      <c r="V33" s="62"/>
      <c r="W33" s="62"/>
      <c r="X33" s="26">
        <f t="shared" si="0"/>
        <v>351.11764729929257</v>
      </c>
      <c r="Y33" s="26" t="s">
        <v>389</v>
      </c>
      <c r="Z33" s="26">
        <f t="shared" si="1"/>
        <v>320.42008411205848</v>
      </c>
      <c r="AA33" s="26">
        <f t="shared" si="1"/>
        <v>381.81521048652661</v>
      </c>
      <c r="AB33" s="64" t="s">
        <v>427</v>
      </c>
      <c r="AC33" s="64" t="s">
        <v>398</v>
      </c>
      <c r="AD33" s="63">
        <v>320.42008411205848</v>
      </c>
      <c r="AE33" s="64">
        <v>381.81521048652661</v>
      </c>
      <c r="AF33" s="64" t="s">
        <v>394</v>
      </c>
      <c r="AG33" s="25" t="s">
        <v>13</v>
      </c>
      <c r="AH33" s="6" t="s">
        <v>0</v>
      </c>
      <c r="AI33" s="44" t="s">
        <v>169</v>
      </c>
      <c r="AJ33" s="62">
        <f>54.033+0.2</f>
        <v>54.233000000000004</v>
      </c>
      <c r="AK33" s="62">
        <f>AJ33+0.1</f>
        <v>54.333000000000006</v>
      </c>
      <c r="AL33" s="62">
        <f>AJ33-0.1</f>
        <v>54.133000000000003</v>
      </c>
      <c r="AM33" s="23">
        <v>442.87700000000001</v>
      </c>
      <c r="AN33" s="21" t="s">
        <v>239</v>
      </c>
      <c r="AO33" s="22">
        <f t="shared" ref="AO33:AO52" si="20">AM33-0.7*(AM33-AT33)</f>
        <v>359.25220000000002</v>
      </c>
      <c r="AP33" s="23">
        <f t="shared" ref="AP33:AP52" si="21">AM33+0.6*(AU33-AM33)</f>
        <v>623.06539999999995</v>
      </c>
      <c r="AQ33" s="89" t="s">
        <v>423</v>
      </c>
      <c r="AR33" s="23" t="s">
        <v>400</v>
      </c>
      <c r="AS33" s="23">
        <v>442.87700000000001</v>
      </c>
      <c r="AT33" s="23">
        <v>323.41300000000001</v>
      </c>
      <c r="AU33" s="23">
        <v>743.19100000000003</v>
      </c>
      <c r="AV33" s="23" t="s">
        <v>236</v>
      </c>
      <c r="AW33" s="23"/>
      <c r="AX33" s="29" t="s">
        <v>13</v>
      </c>
      <c r="AY33" s="16" t="s">
        <v>835</v>
      </c>
      <c r="AZ33" s="67" t="s">
        <v>13</v>
      </c>
      <c r="BA33" s="97">
        <v>2.68547</v>
      </c>
      <c r="BB33" s="59"/>
      <c r="BC33" s="59"/>
      <c r="BD33" s="29">
        <v>323.988</v>
      </c>
      <c r="BE33" s="29" t="s">
        <v>239</v>
      </c>
      <c r="BF33" s="29">
        <f t="shared" si="17"/>
        <v>294.08050000000003</v>
      </c>
      <c r="BG33" s="29">
        <f t="shared" si="17"/>
        <v>355.11240000000004</v>
      </c>
      <c r="BH33" s="29" t="s">
        <v>542</v>
      </c>
      <c r="BI33" s="23" t="s">
        <v>419</v>
      </c>
      <c r="BJ33" s="29">
        <v>294.08050000000003</v>
      </c>
      <c r="BK33" s="29">
        <v>355.11240000000004</v>
      </c>
      <c r="BL33" s="29" t="s">
        <v>834</v>
      </c>
      <c r="BM33" s="25" t="s">
        <v>13</v>
      </c>
      <c r="BO33" s="44"/>
      <c r="CA33" s="25" t="s">
        <v>13</v>
      </c>
      <c r="CB33" s="25" t="s">
        <v>13</v>
      </c>
      <c r="CC33" s="25" t="s">
        <v>13</v>
      </c>
    </row>
    <row r="34" spans="1:81">
      <c r="A34" s="4" t="s">
        <v>22</v>
      </c>
      <c r="B34" s="37" t="s">
        <v>243</v>
      </c>
      <c r="C34" s="68">
        <f t="shared" si="19"/>
        <v>338.79999999999995</v>
      </c>
      <c r="D34" s="68">
        <v>346.7</v>
      </c>
      <c r="E34" s="68">
        <v>330.9</v>
      </c>
      <c r="F34" s="23">
        <f t="shared" si="9"/>
        <v>190</v>
      </c>
      <c r="G34" s="23" t="s">
        <v>389</v>
      </c>
      <c r="H34" s="23">
        <f t="shared" si="10"/>
        <v>95</v>
      </c>
      <c r="I34" s="23">
        <f t="shared" si="11"/>
        <v>380</v>
      </c>
      <c r="J34" s="23" t="s">
        <v>480</v>
      </c>
      <c r="K34" s="23" t="s">
        <v>400</v>
      </c>
      <c r="L34" s="28">
        <v>475</v>
      </c>
      <c r="M34" s="28">
        <v>450</v>
      </c>
      <c r="N34" s="26">
        <v>500</v>
      </c>
      <c r="O34" s="26">
        <v>5000</v>
      </c>
      <c r="P34" s="22">
        <v>2000</v>
      </c>
      <c r="Q34" s="22" t="s">
        <v>328</v>
      </c>
      <c r="R34" s="26" t="s">
        <v>13</v>
      </c>
      <c r="S34" s="6" t="s">
        <v>73</v>
      </c>
      <c r="T34" s="44"/>
      <c r="U34" s="61">
        <v>4.8620000000000001</v>
      </c>
      <c r="V34" s="62"/>
      <c r="W34" s="62"/>
      <c r="X34" s="26">
        <f t="shared" si="0"/>
        <v>383.39148647524951</v>
      </c>
      <c r="Y34" s="26" t="s">
        <v>389</v>
      </c>
      <c r="Z34" s="26">
        <f t="shared" si="1"/>
        <v>349.87423153836357</v>
      </c>
      <c r="AA34" s="26">
        <f t="shared" si="1"/>
        <v>416.90874141213544</v>
      </c>
      <c r="AB34" s="64" t="s">
        <v>427</v>
      </c>
      <c r="AC34" s="64" t="s">
        <v>398</v>
      </c>
      <c r="AD34" s="63">
        <v>349.87423153836357</v>
      </c>
      <c r="AE34" s="64">
        <v>416.90874141213544</v>
      </c>
      <c r="AF34" s="64" t="s">
        <v>394</v>
      </c>
      <c r="AG34" s="25" t="s">
        <v>13</v>
      </c>
      <c r="AH34" s="6" t="s">
        <v>0</v>
      </c>
      <c r="AI34" s="44" t="s">
        <v>186</v>
      </c>
      <c r="AJ34" s="62">
        <f>54.09+0.2</f>
        <v>54.290000000000006</v>
      </c>
      <c r="AK34" s="62">
        <f>AJ34+0.1</f>
        <v>54.390000000000008</v>
      </c>
      <c r="AL34" s="62">
        <f>AJ34-0.1</f>
        <v>54.190000000000005</v>
      </c>
      <c r="AM34" s="23">
        <v>327.36200000000002</v>
      </c>
      <c r="AN34" s="21" t="s">
        <v>239</v>
      </c>
      <c r="AO34" s="22">
        <f t="shared" si="20"/>
        <v>317.6866</v>
      </c>
      <c r="AP34" s="23">
        <f t="shared" si="21"/>
        <v>415.9622</v>
      </c>
      <c r="AQ34" s="89" t="s">
        <v>423</v>
      </c>
      <c r="AR34" s="23" t="s">
        <v>400</v>
      </c>
      <c r="AS34" s="23">
        <v>327.36200000000002</v>
      </c>
      <c r="AT34" s="23">
        <v>313.54000000000002</v>
      </c>
      <c r="AU34" s="23">
        <v>475.029</v>
      </c>
      <c r="AV34" s="23" t="s">
        <v>236</v>
      </c>
      <c r="AW34" s="98"/>
      <c r="AX34" s="29" t="s">
        <v>13</v>
      </c>
      <c r="AY34" s="16" t="s">
        <v>835</v>
      </c>
      <c r="AZ34" s="67" t="s">
        <v>13</v>
      </c>
      <c r="BA34" s="97">
        <v>2.7022300000000001</v>
      </c>
      <c r="BB34" s="59"/>
      <c r="BC34" s="59"/>
      <c r="BD34" s="29">
        <v>409.8698</v>
      </c>
      <c r="BE34" s="29" t="s">
        <v>239</v>
      </c>
      <c r="BF34" s="29">
        <f t="shared" si="17"/>
        <v>370.3931</v>
      </c>
      <c r="BG34" s="29">
        <f t="shared" si="17"/>
        <v>449.57569999999998</v>
      </c>
      <c r="BH34" s="29" t="s">
        <v>542</v>
      </c>
      <c r="BI34" s="23" t="s">
        <v>419</v>
      </c>
      <c r="BJ34" s="29">
        <v>370.3931</v>
      </c>
      <c r="BK34" s="29">
        <v>449.57569999999998</v>
      </c>
      <c r="BL34" s="29" t="s">
        <v>834</v>
      </c>
      <c r="BM34" s="25" t="s">
        <v>13</v>
      </c>
      <c r="BO34" s="44"/>
      <c r="CA34" s="25" t="s">
        <v>13</v>
      </c>
      <c r="CB34" s="25" t="s">
        <v>13</v>
      </c>
      <c r="CC34" s="25" t="s">
        <v>13</v>
      </c>
    </row>
    <row r="35" spans="1:81">
      <c r="A35" s="4" t="s">
        <v>22</v>
      </c>
      <c r="B35" s="37" t="s">
        <v>122</v>
      </c>
      <c r="C35" s="68">
        <f t="shared" si="19"/>
        <v>365.54999999999995</v>
      </c>
      <c r="D35" s="68">
        <v>372.2</v>
      </c>
      <c r="E35" s="68">
        <v>358.9</v>
      </c>
      <c r="F35" s="23">
        <f t="shared" si="9"/>
        <v>395.2</v>
      </c>
      <c r="G35" s="23" t="s">
        <v>389</v>
      </c>
      <c r="H35" s="23">
        <f t="shared" si="10"/>
        <v>197.6</v>
      </c>
      <c r="I35" s="23">
        <f t="shared" si="11"/>
        <v>790.4</v>
      </c>
      <c r="J35" s="23" t="s">
        <v>480</v>
      </c>
      <c r="K35" s="23" t="s">
        <v>400</v>
      </c>
      <c r="L35" s="28">
        <v>988</v>
      </c>
      <c r="M35" s="28">
        <v>700</v>
      </c>
      <c r="N35" s="26">
        <v>1275</v>
      </c>
      <c r="O35" s="26">
        <v>5000</v>
      </c>
      <c r="P35" s="22">
        <v>2000</v>
      </c>
      <c r="Q35" s="22" t="s">
        <v>328</v>
      </c>
      <c r="R35" s="26" t="s">
        <v>13</v>
      </c>
      <c r="S35" s="6" t="s">
        <v>73</v>
      </c>
      <c r="T35" s="44"/>
      <c r="U35" s="61">
        <v>4.9432</v>
      </c>
      <c r="V35" s="62"/>
      <c r="W35" s="62"/>
      <c r="X35" s="26">
        <f t="shared" si="0"/>
        <v>422.30733086549492</v>
      </c>
      <c r="Y35" s="26" t="s">
        <v>389</v>
      </c>
      <c r="Z35" s="26">
        <f t="shared" si="1"/>
        <v>385.38613377759845</v>
      </c>
      <c r="AA35" s="26">
        <f t="shared" si="1"/>
        <v>459.22852795339134</v>
      </c>
      <c r="AB35" s="64" t="s">
        <v>427</v>
      </c>
      <c r="AC35" s="64" t="s">
        <v>398</v>
      </c>
      <c r="AD35" s="63">
        <v>385.38613377759845</v>
      </c>
      <c r="AE35" s="64">
        <v>459.22852795339134</v>
      </c>
      <c r="AF35" s="64" t="s">
        <v>394</v>
      </c>
      <c r="AG35" s="25" t="s">
        <v>13</v>
      </c>
      <c r="AH35" s="6" t="s">
        <v>0</v>
      </c>
      <c r="AI35" s="44" t="s">
        <v>170</v>
      </c>
      <c r="AJ35" s="62">
        <f>54.5+0.2</f>
        <v>54.7</v>
      </c>
      <c r="AK35" s="62">
        <f>AJ35+0.1</f>
        <v>54.800000000000004</v>
      </c>
      <c r="AL35" s="62">
        <f>AJ35-0.1</f>
        <v>54.6</v>
      </c>
      <c r="AM35" s="23">
        <v>377.71499999999997</v>
      </c>
      <c r="AN35" s="21" t="s">
        <v>239</v>
      </c>
      <c r="AO35" s="22">
        <f t="shared" si="20"/>
        <v>343.15949999999998</v>
      </c>
      <c r="AP35" s="23">
        <f t="shared" si="21"/>
        <v>578.68560000000002</v>
      </c>
      <c r="AQ35" s="89" t="s">
        <v>423</v>
      </c>
      <c r="AR35" s="23" t="s">
        <v>400</v>
      </c>
      <c r="AS35" s="23">
        <v>377.71499999999997</v>
      </c>
      <c r="AT35" s="23">
        <v>328.35</v>
      </c>
      <c r="AU35" s="23">
        <v>712.66600000000005</v>
      </c>
      <c r="AV35" s="23" t="s">
        <v>236</v>
      </c>
      <c r="AW35" s="98"/>
      <c r="AX35" s="29" t="s">
        <v>13</v>
      </c>
      <c r="AY35" s="16" t="s">
        <v>835</v>
      </c>
      <c r="AZ35" s="67" t="s">
        <v>13</v>
      </c>
      <c r="BA35" s="97">
        <v>2.7055099999999999</v>
      </c>
      <c r="BB35" s="59"/>
      <c r="BC35" s="59"/>
      <c r="BD35" s="29">
        <v>397.48469999999998</v>
      </c>
      <c r="BE35" s="29" t="s">
        <v>239</v>
      </c>
      <c r="BF35" s="29">
        <f t="shared" si="17"/>
        <v>360.93470000000002</v>
      </c>
      <c r="BG35" s="29">
        <f t="shared" si="17"/>
        <v>435.8544</v>
      </c>
      <c r="BH35" s="29" t="s">
        <v>542</v>
      </c>
      <c r="BI35" s="23" t="s">
        <v>419</v>
      </c>
      <c r="BJ35" s="29">
        <v>360.93470000000002</v>
      </c>
      <c r="BK35" s="29">
        <v>435.8544</v>
      </c>
      <c r="BL35" s="29" t="s">
        <v>834</v>
      </c>
      <c r="BM35" s="25" t="s">
        <v>13</v>
      </c>
      <c r="BO35" s="44"/>
      <c r="CA35" s="25" t="s">
        <v>13</v>
      </c>
      <c r="CB35" s="25" t="s">
        <v>13</v>
      </c>
      <c r="CC35" s="25" t="s">
        <v>13</v>
      </c>
    </row>
    <row r="36" spans="1:81">
      <c r="A36" s="4" t="s">
        <v>22</v>
      </c>
      <c r="B36" s="37" t="s">
        <v>121</v>
      </c>
      <c r="C36" s="68">
        <f t="shared" si="19"/>
        <v>365.54999999999995</v>
      </c>
      <c r="D36" s="68">
        <v>372.2</v>
      </c>
      <c r="E36" s="68">
        <v>358.9</v>
      </c>
      <c r="F36" s="23">
        <f t="shared" si="9"/>
        <v>600</v>
      </c>
      <c r="G36" s="23" t="s">
        <v>389</v>
      </c>
      <c r="H36" s="23">
        <f t="shared" si="10"/>
        <v>300</v>
      </c>
      <c r="I36" s="23">
        <f t="shared" si="11"/>
        <v>1200</v>
      </c>
      <c r="J36" s="23" t="s">
        <v>480</v>
      </c>
      <c r="K36" s="23" t="s">
        <v>400</v>
      </c>
      <c r="L36" s="28">
        <v>1500</v>
      </c>
      <c r="M36" s="28">
        <v>950</v>
      </c>
      <c r="N36" s="26">
        <v>2050</v>
      </c>
      <c r="O36" s="26">
        <v>5000</v>
      </c>
      <c r="P36" s="22">
        <v>2000</v>
      </c>
      <c r="Q36" s="22" t="s">
        <v>328</v>
      </c>
      <c r="R36" s="26" t="s">
        <v>13</v>
      </c>
      <c r="S36" s="6" t="s">
        <v>73</v>
      </c>
      <c r="T36" s="44"/>
      <c r="U36" s="61">
        <v>5.0419999999999998</v>
      </c>
      <c r="V36" s="62"/>
      <c r="W36" s="62"/>
      <c r="X36" s="26">
        <f t="shared" si="0"/>
        <v>448.36489981191744</v>
      </c>
      <c r="Y36" s="26" t="s">
        <v>389</v>
      </c>
      <c r="Z36" s="26">
        <f t="shared" ref="Z36:AA67" si="22">AD36</f>
        <v>409.15892133576665</v>
      </c>
      <c r="AA36" s="26">
        <f t="shared" si="22"/>
        <v>487.57087828806823</v>
      </c>
      <c r="AB36" s="64" t="s">
        <v>427</v>
      </c>
      <c r="AC36" s="64" t="s">
        <v>398</v>
      </c>
      <c r="AD36" s="63">
        <v>409.15892133576665</v>
      </c>
      <c r="AE36" s="64">
        <v>487.57087828806823</v>
      </c>
      <c r="AF36" s="64" t="s">
        <v>394</v>
      </c>
      <c r="AG36" s="25" t="s">
        <v>13</v>
      </c>
      <c r="AH36" s="6" t="s">
        <v>0</v>
      </c>
      <c r="AI36" s="44" t="s">
        <v>171</v>
      </c>
      <c r="AJ36" s="62">
        <f>55.4+0.2</f>
        <v>55.6</v>
      </c>
      <c r="AK36" s="62">
        <f>AJ36+0.1</f>
        <v>55.7</v>
      </c>
      <c r="AL36" s="62">
        <f>AJ36-0.1</f>
        <v>55.5</v>
      </c>
      <c r="AM36" s="23">
        <v>479.40800000000002</v>
      </c>
      <c r="AN36" s="21" t="s">
        <v>239</v>
      </c>
      <c r="AO36" s="22">
        <f t="shared" si="20"/>
        <v>379.88760000000002</v>
      </c>
      <c r="AP36" s="23">
        <f t="shared" si="21"/>
        <v>638.92939999999999</v>
      </c>
      <c r="AQ36" s="89" t="s">
        <v>423</v>
      </c>
      <c r="AR36" s="23" t="s">
        <v>400</v>
      </c>
      <c r="AS36" s="23">
        <v>479.40800000000002</v>
      </c>
      <c r="AT36" s="23">
        <v>337.23599999999999</v>
      </c>
      <c r="AU36" s="23">
        <v>745.27700000000004</v>
      </c>
      <c r="AV36" s="23" t="s">
        <v>236</v>
      </c>
      <c r="AW36" s="98"/>
      <c r="AX36" s="29" t="s">
        <v>13</v>
      </c>
      <c r="AY36" s="16" t="s">
        <v>835</v>
      </c>
      <c r="AZ36" s="67" t="s">
        <v>13</v>
      </c>
      <c r="BA36" s="97">
        <v>2.70811</v>
      </c>
      <c r="BB36" s="59"/>
      <c r="BC36" s="59"/>
      <c r="BD36" s="29">
        <v>344.63460000000003</v>
      </c>
      <c r="BE36" s="29" t="s">
        <v>239</v>
      </c>
      <c r="BF36" s="29">
        <f t="shared" si="17"/>
        <v>312.79510000000005</v>
      </c>
      <c r="BG36" s="29">
        <f t="shared" si="17"/>
        <v>378.2842</v>
      </c>
      <c r="BH36" s="29" t="s">
        <v>542</v>
      </c>
      <c r="BI36" s="23" t="s">
        <v>419</v>
      </c>
      <c r="BJ36" s="29">
        <v>312.79510000000005</v>
      </c>
      <c r="BK36" s="29">
        <v>378.2842</v>
      </c>
      <c r="BL36" s="29" t="s">
        <v>834</v>
      </c>
      <c r="BM36" s="25" t="s">
        <v>13</v>
      </c>
      <c r="BO36" s="44"/>
      <c r="CA36" s="25" t="s">
        <v>13</v>
      </c>
      <c r="CB36" s="25" t="s">
        <v>13</v>
      </c>
      <c r="CC36" s="25" t="s">
        <v>13</v>
      </c>
    </row>
    <row r="37" spans="1:81">
      <c r="A37" s="4" t="s">
        <v>22</v>
      </c>
      <c r="B37" s="37" t="s">
        <v>120</v>
      </c>
      <c r="C37" s="68">
        <f t="shared" si="19"/>
        <v>423.29999999999995</v>
      </c>
      <c r="D37" s="68">
        <v>427.4</v>
      </c>
      <c r="E37" s="68">
        <v>419.2</v>
      </c>
      <c r="F37" s="23">
        <f t="shared" si="9"/>
        <v>1680</v>
      </c>
      <c r="G37" s="23" t="s">
        <v>389</v>
      </c>
      <c r="H37" s="23">
        <f t="shared" si="10"/>
        <v>840</v>
      </c>
      <c r="I37" s="23">
        <f t="shared" si="11"/>
        <v>3360</v>
      </c>
      <c r="J37" s="23" t="s">
        <v>480</v>
      </c>
      <c r="K37" s="23" t="s">
        <v>400</v>
      </c>
      <c r="L37" s="28">
        <v>4200</v>
      </c>
      <c r="M37" s="28">
        <v>3200</v>
      </c>
      <c r="N37" s="26">
        <v>5200</v>
      </c>
      <c r="O37" s="26">
        <v>5000</v>
      </c>
      <c r="P37" s="22">
        <v>2000</v>
      </c>
      <c r="Q37" s="22" t="s">
        <v>328</v>
      </c>
      <c r="R37" s="26" t="s">
        <v>13</v>
      </c>
      <c r="S37" s="6" t="s">
        <v>73</v>
      </c>
      <c r="T37" s="44"/>
      <c r="U37" s="73">
        <v>5.1909999999999998</v>
      </c>
      <c r="V37" s="62"/>
      <c r="W37" s="62"/>
      <c r="X37" s="26">
        <f t="shared" si="0"/>
        <v>457.38496004514207</v>
      </c>
      <c r="Y37" s="26" t="s">
        <v>389</v>
      </c>
      <c r="Z37" s="26">
        <f t="shared" si="22"/>
        <v>417.38341025396068</v>
      </c>
      <c r="AA37" s="26">
        <f t="shared" si="22"/>
        <v>497.38650983632346</v>
      </c>
      <c r="AB37" s="64" t="s">
        <v>427</v>
      </c>
      <c r="AC37" s="64" t="s">
        <v>398</v>
      </c>
      <c r="AD37" s="74">
        <v>417.38341025396068</v>
      </c>
      <c r="AE37" s="75">
        <v>497.38650983632346</v>
      </c>
      <c r="AF37" s="64" t="s">
        <v>394</v>
      </c>
      <c r="AG37" s="25" t="s">
        <v>13</v>
      </c>
      <c r="AH37" s="6" t="s">
        <v>0</v>
      </c>
      <c r="AI37" s="44" t="s">
        <v>172</v>
      </c>
      <c r="AJ37" s="62">
        <f>55.8+0.1</f>
        <v>55.9</v>
      </c>
      <c r="AK37" s="62">
        <f>AJ37+3</f>
        <v>58.9</v>
      </c>
      <c r="AL37" s="62">
        <f>AJ37-3</f>
        <v>52.9</v>
      </c>
      <c r="AM37" s="23">
        <v>666.99599999999998</v>
      </c>
      <c r="AN37" s="21" t="s">
        <v>239</v>
      </c>
      <c r="AO37" s="22">
        <f t="shared" si="20"/>
        <v>474.86630000000002</v>
      </c>
      <c r="AP37" s="23">
        <f t="shared" si="21"/>
        <v>748.29420000000005</v>
      </c>
      <c r="AQ37" s="89" t="s">
        <v>423</v>
      </c>
      <c r="AR37" s="23" t="s">
        <v>400</v>
      </c>
      <c r="AS37" s="23">
        <v>666.99599999999998</v>
      </c>
      <c r="AT37" s="23">
        <v>392.52499999999998</v>
      </c>
      <c r="AU37" s="23">
        <v>802.49300000000005</v>
      </c>
      <c r="AV37" s="23" t="s">
        <v>236</v>
      </c>
      <c r="AW37" s="23"/>
      <c r="AX37" s="29" t="s">
        <v>13</v>
      </c>
      <c r="AY37" s="16" t="s">
        <v>835</v>
      </c>
      <c r="AZ37" s="67" t="s">
        <v>13</v>
      </c>
      <c r="BA37" s="97">
        <v>2.7104599999999999</v>
      </c>
      <c r="BB37" s="59"/>
      <c r="BC37" s="59"/>
      <c r="BD37" s="29">
        <v>421.04650000000004</v>
      </c>
      <c r="BE37" s="29" t="s">
        <v>239</v>
      </c>
      <c r="BF37" s="29">
        <f t="shared" si="17"/>
        <v>374.4348</v>
      </c>
      <c r="BG37" s="29">
        <f t="shared" si="17"/>
        <v>470.68240000000003</v>
      </c>
      <c r="BH37" s="29" t="s">
        <v>542</v>
      </c>
      <c r="BI37" s="23" t="s">
        <v>419</v>
      </c>
      <c r="BJ37" s="29">
        <v>374.4348</v>
      </c>
      <c r="BK37" s="29">
        <v>470.68240000000003</v>
      </c>
      <c r="BL37" s="29" t="s">
        <v>834</v>
      </c>
      <c r="BM37" s="25" t="s">
        <v>13</v>
      </c>
      <c r="BO37" s="44"/>
      <c r="CA37" s="25" t="s">
        <v>13</v>
      </c>
      <c r="CB37" s="25" t="s">
        <v>13</v>
      </c>
      <c r="CC37" s="25" t="s">
        <v>13</v>
      </c>
    </row>
    <row r="38" spans="1:81">
      <c r="A38" s="9" t="s">
        <v>9</v>
      </c>
      <c r="B38" s="38" t="s">
        <v>113</v>
      </c>
      <c r="C38" s="68">
        <v>5</v>
      </c>
      <c r="D38" s="68"/>
      <c r="E38" s="68"/>
      <c r="F38" s="23">
        <f t="shared" si="9"/>
        <v>324</v>
      </c>
      <c r="G38" s="23" t="s">
        <v>389</v>
      </c>
      <c r="H38" s="23">
        <f t="shared" si="10"/>
        <v>162</v>
      </c>
      <c r="I38" s="23">
        <f t="shared" si="11"/>
        <v>648</v>
      </c>
      <c r="J38" s="23" t="s">
        <v>480</v>
      </c>
      <c r="K38" s="23" t="s">
        <v>400</v>
      </c>
      <c r="L38" s="26">
        <v>810</v>
      </c>
      <c r="M38" s="28">
        <v>410</v>
      </c>
      <c r="N38" s="26">
        <v>1210</v>
      </c>
      <c r="O38" s="26">
        <v>5000</v>
      </c>
      <c r="P38" s="22">
        <v>2000</v>
      </c>
      <c r="Q38" s="22" t="s">
        <v>241</v>
      </c>
      <c r="R38" s="26" t="s">
        <v>13</v>
      </c>
      <c r="S38" s="6" t="s">
        <v>265</v>
      </c>
      <c r="T38" s="44"/>
      <c r="U38" s="70">
        <v>0.02</v>
      </c>
      <c r="W38" s="76"/>
      <c r="X38" s="30">
        <v>317.59394696610735</v>
      </c>
      <c r="Y38" s="26" t="s">
        <v>389</v>
      </c>
      <c r="Z38" s="26">
        <f t="shared" si="22"/>
        <v>283.05966476182073</v>
      </c>
      <c r="AA38" s="26">
        <f t="shared" si="22"/>
        <v>402.09613881695822</v>
      </c>
      <c r="AB38" s="77" t="s">
        <v>428</v>
      </c>
      <c r="AC38" s="77" t="s">
        <v>400</v>
      </c>
      <c r="AD38" s="77">
        <v>283.05966476182073</v>
      </c>
      <c r="AE38" s="77">
        <v>402.09613881695822</v>
      </c>
      <c r="AF38" s="26" t="s">
        <v>395</v>
      </c>
      <c r="AG38" s="25" t="s">
        <v>13</v>
      </c>
      <c r="AH38" s="6" t="s">
        <v>0</v>
      </c>
      <c r="AI38" s="44" t="s">
        <v>173</v>
      </c>
      <c r="AJ38" s="62">
        <f>55.9+0.2</f>
        <v>56.1</v>
      </c>
      <c r="AK38" s="62">
        <f t="shared" ref="AK38:AK45" si="23">AJ38+0.1</f>
        <v>56.2</v>
      </c>
      <c r="AL38" s="62">
        <f t="shared" ref="AL38:AL45" si="24">AJ38-0.1</f>
        <v>56</v>
      </c>
      <c r="AM38" s="23">
        <v>307</v>
      </c>
      <c r="AN38" s="21" t="s">
        <v>239</v>
      </c>
      <c r="AO38" s="22">
        <f t="shared" si="20"/>
        <v>297.75579999999997</v>
      </c>
      <c r="AP38" s="23">
        <f t="shared" si="21"/>
        <v>320.99200000000002</v>
      </c>
      <c r="AQ38" s="89" t="s">
        <v>423</v>
      </c>
      <c r="AR38" s="23" t="s">
        <v>400</v>
      </c>
      <c r="AS38" s="23">
        <v>307</v>
      </c>
      <c r="AT38" s="23">
        <v>293.79399999999998</v>
      </c>
      <c r="AU38" s="23">
        <v>330.32</v>
      </c>
      <c r="AV38" s="23" t="s">
        <v>236</v>
      </c>
      <c r="AW38" s="23"/>
      <c r="AX38" s="29" t="s">
        <v>13</v>
      </c>
      <c r="AY38" s="16" t="s">
        <v>835</v>
      </c>
      <c r="AZ38" s="67" t="s">
        <v>13</v>
      </c>
      <c r="BA38" s="97">
        <v>2.75156</v>
      </c>
      <c r="BB38" s="59"/>
      <c r="BC38" s="59"/>
      <c r="BD38" s="29">
        <v>384.88329999999996</v>
      </c>
      <c r="BE38" s="29" t="s">
        <v>239</v>
      </c>
      <c r="BF38" s="29">
        <f t="shared" si="17"/>
        <v>349.79860000000002</v>
      </c>
      <c r="BG38" s="29">
        <f t="shared" si="17"/>
        <v>422.2242</v>
      </c>
      <c r="BH38" s="29" t="s">
        <v>542</v>
      </c>
      <c r="BI38" s="23" t="s">
        <v>419</v>
      </c>
      <c r="BJ38" s="29">
        <v>349.79860000000002</v>
      </c>
      <c r="BK38" s="29">
        <v>422.2242</v>
      </c>
      <c r="BL38" s="29" t="s">
        <v>834</v>
      </c>
      <c r="BM38" s="25" t="s">
        <v>13</v>
      </c>
      <c r="BO38" s="44"/>
      <c r="CA38" s="25" t="s">
        <v>13</v>
      </c>
      <c r="CB38" s="25" t="s">
        <v>13</v>
      </c>
      <c r="CC38" s="25" t="s">
        <v>13</v>
      </c>
    </row>
    <row r="39" spans="1:81">
      <c r="A39" s="9" t="s">
        <v>9</v>
      </c>
      <c r="B39" s="38" t="s">
        <v>114</v>
      </c>
      <c r="C39" s="68">
        <v>21</v>
      </c>
      <c r="D39" s="68"/>
      <c r="E39" s="68"/>
      <c r="F39" s="23">
        <f t="shared" si="9"/>
        <v>312</v>
      </c>
      <c r="G39" s="23" t="s">
        <v>389</v>
      </c>
      <c r="H39" s="23">
        <f t="shared" si="10"/>
        <v>156</v>
      </c>
      <c r="I39" s="23">
        <f t="shared" si="11"/>
        <v>624</v>
      </c>
      <c r="J39" s="23" t="s">
        <v>480</v>
      </c>
      <c r="K39" s="23" t="s">
        <v>400</v>
      </c>
      <c r="L39" s="28">
        <v>780</v>
      </c>
      <c r="M39" s="28">
        <v>380</v>
      </c>
      <c r="N39" s="26">
        <v>1180</v>
      </c>
      <c r="O39" s="26">
        <v>5000</v>
      </c>
      <c r="P39" s="22">
        <v>2000</v>
      </c>
      <c r="Q39" s="22"/>
      <c r="R39" s="26" t="s">
        <v>13</v>
      </c>
      <c r="S39" s="6" t="s">
        <v>265</v>
      </c>
      <c r="T39" s="44"/>
      <c r="U39" s="70">
        <v>2.8000000000000001E-2</v>
      </c>
      <c r="W39" s="76"/>
      <c r="X39" s="30">
        <v>304.996541406419</v>
      </c>
      <c r="Y39" s="26" t="s">
        <v>389</v>
      </c>
      <c r="Z39" s="26">
        <f t="shared" si="22"/>
        <v>273.32410364832481</v>
      </c>
      <c r="AA39" s="26">
        <f t="shared" si="22"/>
        <v>384.08977532156422</v>
      </c>
      <c r="AB39" s="77" t="s">
        <v>428</v>
      </c>
      <c r="AC39" s="77" t="s">
        <v>400</v>
      </c>
      <c r="AD39" s="77">
        <v>273.32410364832481</v>
      </c>
      <c r="AE39" s="77">
        <v>384.08977532156422</v>
      </c>
      <c r="AF39" s="26" t="s">
        <v>395</v>
      </c>
      <c r="AG39" s="25" t="s">
        <v>13</v>
      </c>
      <c r="AH39" s="6" t="s">
        <v>0</v>
      </c>
      <c r="AI39" s="44" t="s">
        <v>174</v>
      </c>
      <c r="AJ39" s="62">
        <f>55.9+0.2</f>
        <v>56.1</v>
      </c>
      <c r="AK39" s="62">
        <f t="shared" si="23"/>
        <v>56.2</v>
      </c>
      <c r="AL39" s="62">
        <f t="shared" si="24"/>
        <v>56</v>
      </c>
      <c r="AM39" s="23">
        <v>307</v>
      </c>
      <c r="AN39" s="21" t="s">
        <v>239</v>
      </c>
      <c r="AO39" s="22">
        <f t="shared" si="20"/>
        <v>297.75579999999997</v>
      </c>
      <c r="AP39" s="23">
        <f t="shared" si="21"/>
        <v>320.99200000000002</v>
      </c>
      <c r="AQ39" s="89" t="s">
        <v>423</v>
      </c>
      <c r="AR39" s="23" t="s">
        <v>400</v>
      </c>
      <c r="AS39" s="23">
        <v>307</v>
      </c>
      <c r="AT39" s="23">
        <v>293.79399999999998</v>
      </c>
      <c r="AU39" s="23">
        <v>330.32</v>
      </c>
      <c r="AV39" s="23" t="s">
        <v>236</v>
      </c>
      <c r="AW39" s="23"/>
      <c r="AX39" s="29" t="s">
        <v>13</v>
      </c>
      <c r="AY39" s="16" t="s">
        <v>835</v>
      </c>
      <c r="AZ39" s="67" t="s">
        <v>13</v>
      </c>
      <c r="BA39" s="97">
        <v>2.7728600000000001</v>
      </c>
      <c r="BB39" s="59"/>
      <c r="BC39" s="59"/>
      <c r="BD39" s="29">
        <v>448.92270000000002</v>
      </c>
      <c r="BE39" s="29" t="s">
        <v>239</v>
      </c>
      <c r="BF39" s="29">
        <f t="shared" si="17"/>
        <v>406.04509999999999</v>
      </c>
      <c r="BG39" s="29">
        <f t="shared" si="17"/>
        <v>490.78520000000003</v>
      </c>
      <c r="BH39" s="29" t="s">
        <v>542</v>
      </c>
      <c r="BI39" s="23" t="s">
        <v>419</v>
      </c>
      <c r="BJ39" s="29">
        <v>406.04509999999999</v>
      </c>
      <c r="BK39" s="29">
        <v>490.78520000000003</v>
      </c>
      <c r="BL39" s="29" t="s">
        <v>834</v>
      </c>
      <c r="BM39" s="25" t="s">
        <v>13</v>
      </c>
      <c r="BO39" s="44"/>
      <c r="CA39" s="25" t="s">
        <v>13</v>
      </c>
      <c r="CB39" s="25" t="s">
        <v>13</v>
      </c>
      <c r="CC39" s="25" t="s">
        <v>13</v>
      </c>
    </row>
    <row r="40" spans="1:81">
      <c r="A40" s="9" t="s">
        <v>9</v>
      </c>
      <c r="B40" s="38" t="s">
        <v>115</v>
      </c>
      <c r="C40" s="62">
        <f>AVERAGE(D40:E40)</f>
        <v>25.55</v>
      </c>
      <c r="D40" s="68">
        <v>28.1</v>
      </c>
      <c r="E40" s="68">
        <v>23</v>
      </c>
      <c r="F40" s="23">
        <f t="shared" si="9"/>
        <v>588</v>
      </c>
      <c r="G40" s="23" t="s">
        <v>389</v>
      </c>
      <c r="H40" s="23">
        <f t="shared" si="10"/>
        <v>294</v>
      </c>
      <c r="I40" s="23">
        <f t="shared" si="11"/>
        <v>1176</v>
      </c>
      <c r="J40" s="23" t="s">
        <v>480</v>
      </c>
      <c r="K40" s="23" t="s">
        <v>400</v>
      </c>
      <c r="L40" s="28">
        <v>1470</v>
      </c>
      <c r="M40" s="28">
        <v>770</v>
      </c>
      <c r="N40" s="26">
        <v>2200</v>
      </c>
      <c r="O40" s="26">
        <v>5000</v>
      </c>
      <c r="P40" s="22">
        <v>2000</v>
      </c>
      <c r="Q40" s="22"/>
      <c r="R40" s="26" t="s">
        <v>13</v>
      </c>
      <c r="S40" s="6" t="s">
        <v>265</v>
      </c>
      <c r="T40" s="44"/>
      <c r="U40" s="70">
        <v>3.3500000000000002E-2</v>
      </c>
      <c r="W40" s="76"/>
      <c r="X40" s="30">
        <v>321.81926363116537</v>
      </c>
      <c r="Y40" s="26" t="s">
        <v>389</v>
      </c>
      <c r="Z40" s="26">
        <f t="shared" si="22"/>
        <v>284.1039156607481</v>
      </c>
      <c r="AA40" s="26">
        <f t="shared" si="22"/>
        <v>411.23054988961229</v>
      </c>
      <c r="AB40" s="77" t="s">
        <v>428</v>
      </c>
      <c r="AC40" s="77" t="s">
        <v>400</v>
      </c>
      <c r="AD40" s="77">
        <v>284.1039156607481</v>
      </c>
      <c r="AE40" s="77">
        <v>411.23054988961229</v>
      </c>
      <c r="AF40" s="26" t="s">
        <v>395</v>
      </c>
      <c r="AG40" s="25" t="s">
        <v>13</v>
      </c>
      <c r="AH40" s="6" t="s">
        <v>0</v>
      </c>
      <c r="AI40" s="44" t="s">
        <v>175</v>
      </c>
      <c r="AJ40" s="62">
        <f>55.941+0.2</f>
        <v>56.141000000000005</v>
      </c>
      <c r="AK40" s="62">
        <f t="shared" si="23"/>
        <v>56.241000000000007</v>
      </c>
      <c r="AL40" s="62">
        <f t="shared" si="24"/>
        <v>56.041000000000004</v>
      </c>
      <c r="AM40" s="23">
        <v>307</v>
      </c>
      <c r="AN40" s="21" t="s">
        <v>239</v>
      </c>
      <c r="AO40" s="22">
        <f t="shared" si="20"/>
        <v>297.75579999999997</v>
      </c>
      <c r="AP40" s="23">
        <f t="shared" si="21"/>
        <v>320.99200000000002</v>
      </c>
      <c r="AQ40" s="89" t="s">
        <v>423</v>
      </c>
      <c r="AR40" s="23" t="s">
        <v>400</v>
      </c>
      <c r="AS40" s="23">
        <v>307</v>
      </c>
      <c r="AT40" s="23">
        <v>293.79399999999998</v>
      </c>
      <c r="AU40" s="23">
        <v>330.32</v>
      </c>
      <c r="AV40" s="23" t="s">
        <v>236</v>
      </c>
      <c r="AW40" s="23"/>
      <c r="AX40" s="29" t="s">
        <v>13</v>
      </c>
      <c r="AY40" s="16" t="s">
        <v>835</v>
      </c>
      <c r="AZ40" s="67" t="s">
        <v>13</v>
      </c>
      <c r="BA40" s="97">
        <v>2.7787199999999999</v>
      </c>
      <c r="BB40" s="59"/>
      <c r="BC40" s="59"/>
      <c r="BD40" s="29">
        <v>467.78750000000002</v>
      </c>
      <c r="BE40" s="29" t="s">
        <v>239</v>
      </c>
      <c r="BF40" s="29">
        <f t="shared" si="17"/>
        <v>422.35820000000001</v>
      </c>
      <c r="BG40" s="29">
        <f t="shared" si="17"/>
        <v>514.52699999999993</v>
      </c>
      <c r="BH40" s="29" t="s">
        <v>542</v>
      </c>
      <c r="BI40" s="23" t="s">
        <v>419</v>
      </c>
      <c r="BJ40" s="29">
        <v>422.35820000000001</v>
      </c>
      <c r="BK40" s="29">
        <v>514.52699999999993</v>
      </c>
      <c r="BL40" s="29" t="s">
        <v>834</v>
      </c>
      <c r="BM40" s="25" t="s">
        <v>13</v>
      </c>
      <c r="BO40" s="44"/>
      <c r="CA40" s="25" t="s">
        <v>13</v>
      </c>
      <c r="CB40" s="25" t="s">
        <v>13</v>
      </c>
      <c r="CC40" s="25" t="s">
        <v>13</v>
      </c>
    </row>
    <row r="41" spans="1:81">
      <c r="A41" s="9" t="s">
        <v>9</v>
      </c>
      <c r="B41" s="38" t="s">
        <v>116</v>
      </c>
      <c r="C41" s="68">
        <v>45</v>
      </c>
      <c r="D41" s="68"/>
      <c r="E41" s="68"/>
      <c r="F41" s="23">
        <f t="shared" si="9"/>
        <v>780</v>
      </c>
      <c r="G41" s="23" t="s">
        <v>389</v>
      </c>
      <c r="H41" s="23">
        <f t="shared" si="10"/>
        <v>390</v>
      </c>
      <c r="I41" s="23">
        <f t="shared" si="11"/>
        <v>1560</v>
      </c>
      <c r="J41" s="23" t="s">
        <v>480</v>
      </c>
      <c r="K41" s="23" t="s">
        <v>400</v>
      </c>
      <c r="L41" s="28">
        <v>1950</v>
      </c>
      <c r="M41" s="28">
        <v>1600</v>
      </c>
      <c r="N41" s="26">
        <v>2200</v>
      </c>
      <c r="O41" s="26">
        <v>5000</v>
      </c>
      <c r="P41" s="22">
        <v>2000</v>
      </c>
      <c r="Q41" s="22"/>
      <c r="R41" s="26" t="s">
        <v>13</v>
      </c>
      <c r="S41" s="6" t="s">
        <v>265</v>
      </c>
      <c r="T41" s="44"/>
      <c r="U41" s="70">
        <v>4.1200000000000001E-2</v>
      </c>
      <c r="W41" s="76"/>
      <c r="X41" s="30">
        <v>308.28200097545829</v>
      </c>
      <c r="Y41" s="26" t="s">
        <v>389</v>
      </c>
      <c r="Z41" s="26">
        <f t="shared" si="22"/>
        <v>268.08585506245691</v>
      </c>
      <c r="AA41" s="26">
        <f t="shared" si="22"/>
        <v>399.66580000263116</v>
      </c>
      <c r="AB41" s="77" t="s">
        <v>428</v>
      </c>
      <c r="AC41" s="77" t="s">
        <v>400</v>
      </c>
      <c r="AD41" s="77">
        <v>268.08585506245691</v>
      </c>
      <c r="AE41" s="77">
        <v>399.66580000263116</v>
      </c>
      <c r="AF41" s="26" t="s">
        <v>395</v>
      </c>
      <c r="AG41" s="25" t="s">
        <v>13</v>
      </c>
      <c r="AH41" s="6" t="s">
        <v>0</v>
      </c>
      <c r="AI41" s="44" t="s">
        <v>176</v>
      </c>
      <c r="AJ41" s="62">
        <f>55.943+0.2</f>
        <v>56.143000000000001</v>
      </c>
      <c r="AK41" s="62">
        <f t="shared" si="23"/>
        <v>56.243000000000002</v>
      </c>
      <c r="AL41" s="62">
        <f t="shared" si="24"/>
        <v>56.042999999999999</v>
      </c>
      <c r="AM41" s="23">
        <v>519.88699999999994</v>
      </c>
      <c r="AN41" s="21" t="s">
        <v>239</v>
      </c>
      <c r="AO41" s="22">
        <f t="shared" si="20"/>
        <v>399.63329999999996</v>
      </c>
      <c r="AP41" s="23">
        <f t="shared" si="21"/>
        <v>672.89239999999995</v>
      </c>
      <c r="AQ41" s="89" t="s">
        <v>423</v>
      </c>
      <c r="AR41" s="23" t="s">
        <v>400</v>
      </c>
      <c r="AS41" s="23">
        <v>519.88699999999994</v>
      </c>
      <c r="AT41" s="23">
        <v>348.096</v>
      </c>
      <c r="AU41" s="23">
        <v>774.89599999999996</v>
      </c>
      <c r="AV41" s="23" t="s">
        <v>236</v>
      </c>
      <c r="AW41" s="23"/>
      <c r="AX41" s="29" t="s">
        <v>13</v>
      </c>
      <c r="AY41" s="16" t="s">
        <v>835</v>
      </c>
      <c r="AZ41" s="67" t="s">
        <v>13</v>
      </c>
      <c r="BA41" s="97">
        <v>2.7814100000000002</v>
      </c>
      <c r="BB41" s="59"/>
      <c r="BC41" s="59"/>
      <c r="BD41" s="29">
        <v>408.62150000000003</v>
      </c>
      <c r="BE41" s="29" t="s">
        <v>239</v>
      </c>
      <c r="BF41" s="29">
        <f t="shared" si="17"/>
        <v>369.29489999999998</v>
      </c>
      <c r="BG41" s="29">
        <f t="shared" si="17"/>
        <v>449.73840000000001</v>
      </c>
      <c r="BH41" s="29" t="s">
        <v>542</v>
      </c>
      <c r="BI41" s="23" t="s">
        <v>419</v>
      </c>
      <c r="BJ41" s="29">
        <v>369.29489999999998</v>
      </c>
      <c r="BK41" s="29">
        <v>449.73840000000001</v>
      </c>
      <c r="BL41" s="29" t="s">
        <v>834</v>
      </c>
      <c r="BM41" s="25" t="s">
        <v>13</v>
      </c>
      <c r="BO41" s="44"/>
      <c r="CA41" s="25" t="s">
        <v>13</v>
      </c>
      <c r="CB41" s="25" t="s">
        <v>13</v>
      </c>
      <c r="CC41" s="25" t="s">
        <v>13</v>
      </c>
    </row>
    <row r="42" spans="1:81">
      <c r="A42" s="9" t="s">
        <v>9</v>
      </c>
      <c r="B42" s="38" t="s">
        <v>270</v>
      </c>
      <c r="C42" s="68">
        <f t="shared" ref="C42:C71" si="25">AVERAGE(D42:E42)</f>
        <v>60.730000000000004</v>
      </c>
      <c r="D42" s="68">
        <v>62.22</v>
      </c>
      <c r="E42" s="68">
        <f>D42-2.98</f>
        <v>59.24</v>
      </c>
      <c r="F42" s="23">
        <f t="shared" si="9"/>
        <v>0</v>
      </c>
      <c r="G42" s="23" t="s">
        <v>389</v>
      </c>
      <c r="H42" s="23">
        <f t="shared" si="10"/>
        <v>0</v>
      </c>
      <c r="I42" s="23">
        <f t="shared" si="11"/>
        <v>0</v>
      </c>
      <c r="J42" s="23" t="s">
        <v>480</v>
      </c>
      <c r="K42" s="23" t="s">
        <v>400</v>
      </c>
      <c r="L42" s="28">
        <v>0</v>
      </c>
      <c r="M42" s="28">
        <v>0</v>
      </c>
      <c r="N42" s="26">
        <v>210</v>
      </c>
      <c r="O42" s="26">
        <v>5000</v>
      </c>
      <c r="P42" s="22">
        <v>2000</v>
      </c>
      <c r="Q42" s="22"/>
      <c r="R42" s="26" t="s">
        <v>13</v>
      </c>
      <c r="S42" s="6" t="s">
        <v>265</v>
      </c>
      <c r="T42" s="44"/>
      <c r="U42" s="70">
        <v>5.8299999999999998E-2</v>
      </c>
      <c r="W42" s="76"/>
      <c r="X42" s="30">
        <v>311.64047727025888</v>
      </c>
      <c r="Y42" s="26" t="s">
        <v>389</v>
      </c>
      <c r="Z42" s="26">
        <f t="shared" si="22"/>
        <v>279.07557905771182</v>
      </c>
      <c r="AA42" s="26">
        <f t="shared" si="22"/>
        <v>392.73956923999378</v>
      </c>
      <c r="AB42" s="77" t="s">
        <v>428</v>
      </c>
      <c r="AC42" s="77" t="s">
        <v>400</v>
      </c>
      <c r="AD42" s="77">
        <v>279.07557905771182</v>
      </c>
      <c r="AE42" s="77">
        <v>392.73956923999378</v>
      </c>
      <c r="AF42" s="26" t="s">
        <v>395</v>
      </c>
      <c r="AG42" s="25" t="s">
        <v>13</v>
      </c>
      <c r="AH42" s="6" t="s">
        <v>0</v>
      </c>
      <c r="AI42" s="44" t="s">
        <v>177</v>
      </c>
      <c r="AJ42" s="62">
        <f>55.963+0.2</f>
        <v>56.163000000000004</v>
      </c>
      <c r="AK42" s="62">
        <f t="shared" si="23"/>
        <v>56.263000000000005</v>
      </c>
      <c r="AL42" s="62">
        <f t="shared" si="24"/>
        <v>56.063000000000002</v>
      </c>
      <c r="AM42" s="23">
        <v>303.66699999999997</v>
      </c>
      <c r="AN42" s="21" t="s">
        <v>239</v>
      </c>
      <c r="AO42" s="22">
        <f t="shared" si="20"/>
        <v>297.4468</v>
      </c>
      <c r="AP42" s="23">
        <f t="shared" si="21"/>
        <v>310.7482</v>
      </c>
      <c r="AQ42" s="89" t="s">
        <v>423</v>
      </c>
      <c r="AR42" s="23" t="s">
        <v>400</v>
      </c>
      <c r="AS42" s="23">
        <v>303.66699999999997</v>
      </c>
      <c r="AT42" s="23">
        <v>294.78100000000001</v>
      </c>
      <c r="AU42" s="23">
        <v>315.46899999999999</v>
      </c>
      <c r="AV42" s="23" t="s">
        <v>236</v>
      </c>
      <c r="AW42" s="23"/>
      <c r="AX42" s="29" t="s">
        <v>13</v>
      </c>
      <c r="AY42" s="16" t="s">
        <v>835</v>
      </c>
      <c r="AZ42" s="67" t="s">
        <v>13</v>
      </c>
      <c r="BA42" s="97">
        <v>2.7814100000000002</v>
      </c>
      <c r="BB42" s="59"/>
      <c r="BC42" s="59"/>
      <c r="BD42" s="29">
        <v>402.07990000000001</v>
      </c>
      <c r="BE42" s="29" t="s">
        <v>239</v>
      </c>
      <c r="BF42" s="29">
        <f t="shared" si="17"/>
        <v>365.07549999999998</v>
      </c>
      <c r="BG42" s="29">
        <f t="shared" si="17"/>
        <v>441.11279999999999</v>
      </c>
      <c r="BH42" s="29" t="s">
        <v>542</v>
      </c>
      <c r="BI42" s="23" t="s">
        <v>419</v>
      </c>
      <c r="BJ42" s="29">
        <v>365.07549999999998</v>
      </c>
      <c r="BK42" s="29">
        <v>441.11279999999999</v>
      </c>
      <c r="BL42" s="29" t="s">
        <v>834</v>
      </c>
      <c r="BM42" s="25" t="s">
        <v>13</v>
      </c>
      <c r="BO42" s="44"/>
      <c r="CA42" s="25" t="s">
        <v>13</v>
      </c>
      <c r="CB42" s="25" t="s">
        <v>13</v>
      </c>
      <c r="CC42" s="25" t="s">
        <v>13</v>
      </c>
    </row>
    <row r="43" spans="1:81">
      <c r="A43" s="9" t="s">
        <v>9</v>
      </c>
      <c r="B43" s="38" t="s">
        <v>98</v>
      </c>
      <c r="C43" s="68">
        <f t="shared" si="25"/>
        <v>69.05</v>
      </c>
      <c r="D43" s="68">
        <v>72.099999999999994</v>
      </c>
      <c r="E43" s="68">
        <v>66</v>
      </c>
      <c r="F43" s="23">
        <f t="shared" si="9"/>
        <v>328</v>
      </c>
      <c r="G43" s="23" t="s">
        <v>389</v>
      </c>
      <c r="H43" s="23">
        <f t="shared" si="10"/>
        <v>164</v>
      </c>
      <c r="I43" s="23">
        <f t="shared" si="11"/>
        <v>656</v>
      </c>
      <c r="J43" s="23" t="s">
        <v>480</v>
      </c>
      <c r="K43" s="23" t="s">
        <v>400</v>
      </c>
      <c r="L43" s="28">
        <v>820</v>
      </c>
      <c r="M43" s="28">
        <v>520</v>
      </c>
      <c r="N43" s="26">
        <v>1120</v>
      </c>
      <c r="O43" s="26">
        <v>5000</v>
      </c>
      <c r="P43" s="22">
        <v>2000</v>
      </c>
      <c r="Q43" s="22"/>
      <c r="R43" s="26" t="s">
        <v>13</v>
      </c>
      <c r="S43" s="6" t="s">
        <v>265</v>
      </c>
      <c r="T43" s="44"/>
      <c r="U43" s="70">
        <v>7.3599999999999999E-2</v>
      </c>
      <c r="W43" s="76"/>
      <c r="X43" s="30">
        <v>337.52977709870305</v>
      </c>
      <c r="Y43" s="26" t="s">
        <v>389</v>
      </c>
      <c r="Z43" s="26">
        <f t="shared" si="22"/>
        <v>304.39846591641327</v>
      </c>
      <c r="AA43" s="26">
        <f t="shared" si="22"/>
        <v>422.4602397383436</v>
      </c>
      <c r="AB43" s="77" t="s">
        <v>428</v>
      </c>
      <c r="AC43" s="77" t="s">
        <v>400</v>
      </c>
      <c r="AD43" s="77">
        <v>304.39846591641327</v>
      </c>
      <c r="AE43" s="77">
        <v>422.4602397383436</v>
      </c>
      <c r="AF43" s="26" t="s">
        <v>395</v>
      </c>
      <c r="AG43" s="25" t="s">
        <v>13</v>
      </c>
      <c r="AH43" s="6" t="s">
        <v>0</v>
      </c>
      <c r="AI43" s="44" t="s">
        <v>178</v>
      </c>
      <c r="AJ43" s="62">
        <f>56.2+0.2</f>
        <v>56.400000000000006</v>
      </c>
      <c r="AK43" s="62">
        <f t="shared" si="23"/>
        <v>56.500000000000007</v>
      </c>
      <c r="AL43" s="62">
        <f t="shared" si="24"/>
        <v>56.300000000000004</v>
      </c>
      <c r="AM43" s="23">
        <v>312.553</v>
      </c>
      <c r="AN43" s="21" t="s">
        <v>239</v>
      </c>
      <c r="AO43" s="22">
        <f t="shared" si="20"/>
        <v>304.25939999999997</v>
      </c>
      <c r="AP43" s="23">
        <f t="shared" si="21"/>
        <v>320.22640000000001</v>
      </c>
      <c r="AQ43" s="89" t="s">
        <v>423</v>
      </c>
      <c r="AR43" s="23" t="s">
        <v>400</v>
      </c>
      <c r="AS43" s="23">
        <v>312.553</v>
      </c>
      <c r="AT43" s="23">
        <v>300.70499999999998</v>
      </c>
      <c r="AU43" s="23">
        <v>325.34199999999998</v>
      </c>
      <c r="AV43" s="23" t="s">
        <v>236</v>
      </c>
      <c r="AW43" s="23"/>
      <c r="AX43" s="29" t="s">
        <v>13</v>
      </c>
      <c r="AY43" s="16" t="s">
        <v>835</v>
      </c>
      <c r="AZ43" s="67" t="s">
        <v>13</v>
      </c>
      <c r="BA43" s="97">
        <v>2.79549</v>
      </c>
      <c r="BB43" s="59"/>
      <c r="BC43" s="59"/>
      <c r="BD43" s="29">
        <v>398.9402</v>
      </c>
      <c r="BE43" s="29" t="s">
        <v>239</v>
      </c>
      <c r="BF43" s="29">
        <f t="shared" si="17"/>
        <v>361.33189999999996</v>
      </c>
      <c r="BG43" s="29">
        <f t="shared" si="17"/>
        <v>438.22339999999997</v>
      </c>
      <c r="BH43" s="29" t="s">
        <v>542</v>
      </c>
      <c r="BI43" s="23" t="s">
        <v>419</v>
      </c>
      <c r="BJ43" s="29">
        <v>361.33189999999996</v>
      </c>
      <c r="BK43" s="29">
        <v>438.22339999999997</v>
      </c>
      <c r="BL43" s="29" t="s">
        <v>834</v>
      </c>
      <c r="BM43" s="25" t="s">
        <v>13</v>
      </c>
      <c r="BO43" s="44"/>
      <c r="CA43" s="25" t="s">
        <v>13</v>
      </c>
      <c r="CB43" s="25" t="s">
        <v>13</v>
      </c>
      <c r="CC43" s="25" t="s">
        <v>13</v>
      </c>
    </row>
    <row r="44" spans="1:81">
      <c r="A44" s="9" t="s">
        <v>9</v>
      </c>
      <c r="B44" s="38" t="s">
        <v>98</v>
      </c>
      <c r="C44" s="68">
        <f t="shared" si="25"/>
        <v>69.05</v>
      </c>
      <c r="D44" s="68">
        <v>72.099999999999994</v>
      </c>
      <c r="E44" s="68">
        <v>66</v>
      </c>
      <c r="F44" s="23">
        <f t="shared" si="9"/>
        <v>172</v>
      </c>
      <c r="G44" s="23" t="s">
        <v>389</v>
      </c>
      <c r="H44" s="23">
        <f t="shared" si="10"/>
        <v>86</v>
      </c>
      <c r="I44" s="23">
        <f t="shared" si="11"/>
        <v>344</v>
      </c>
      <c r="J44" s="23" t="s">
        <v>480</v>
      </c>
      <c r="K44" s="23" t="s">
        <v>400</v>
      </c>
      <c r="L44" s="28">
        <v>430</v>
      </c>
      <c r="M44" s="28">
        <v>130</v>
      </c>
      <c r="N44" s="26">
        <v>730</v>
      </c>
      <c r="O44" s="26">
        <v>5000</v>
      </c>
      <c r="P44" s="22">
        <v>2000</v>
      </c>
      <c r="Q44" s="22"/>
      <c r="R44" s="26" t="s">
        <v>13</v>
      </c>
      <c r="S44" s="6" t="s">
        <v>265</v>
      </c>
      <c r="T44" s="44"/>
      <c r="U44" s="70">
        <v>8.929999999999999E-2</v>
      </c>
      <c r="W44" s="76"/>
      <c r="X44" s="30">
        <v>334.15629413450375</v>
      </c>
      <c r="Y44" s="26" t="s">
        <v>389</v>
      </c>
      <c r="Z44" s="26">
        <f t="shared" si="22"/>
        <v>293.43851925768752</v>
      </c>
      <c r="AA44" s="26">
        <f t="shared" si="22"/>
        <v>429.19359328999536</v>
      </c>
      <c r="AB44" s="77" t="s">
        <v>428</v>
      </c>
      <c r="AC44" s="77" t="s">
        <v>400</v>
      </c>
      <c r="AD44" s="77">
        <v>293.43851925768752</v>
      </c>
      <c r="AE44" s="77">
        <v>429.19359328999536</v>
      </c>
      <c r="AF44" s="26" t="s">
        <v>395</v>
      </c>
      <c r="AG44" s="25" t="s">
        <v>13</v>
      </c>
      <c r="AH44" s="6" t="s">
        <v>0</v>
      </c>
      <c r="AI44" s="44" t="s">
        <v>179</v>
      </c>
      <c r="AJ44" s="62">
        <f>56.264+0.2</f>
        <v>56.464000000000006</v>
      </c>
      <c r="AK44" s="62">
        <f t="shared" si="23"/>
        <v>56.564000000000007</v>
      </c>
      <c r="AL44" s="62">
        <f t="shared" si="24"/>
        <v>56.364000000000004</v>
      </c>
      <c r="AM44" s="23">
        <v>315.51499999999999</v>
      </c>
      <c r="AN44" s="21" t="s">
        <v>239</v>
      </c>
      <c r="AO44" s="22">
        <f t="shared" si="20"/>
        <v>305.14799999999997</v>
      </c>
      <c r="AP44" s="23">
        <f t="shared" si="21"/>
        <v>324.96559999999999</v>
      </c>
      <c r="AQ44" s="89" t="s">
        <v>423</v>
      </c>
      <c r="AR44" s="23" t="s">
        <v>400</v>
      </c>
      <c r="AS44" s="23">
        <v>315.51499999999999</v>
      </c>
      <c r="AT44" s="23">
        <v>300.70499999999998</v>
      </c>
      <c r="AU44" s="23">
        <v>331.26600000000002</v>
      </c>
      <c r="AV44" s="23" t="s">
        <v>236</v>
      </c>
      <c r="AW44" s="23"/>
      <c r="AX44" s="29" t="s">
        <v>13</v>
      </c>
      <c r="AY44" s="16" t="s">
        <v>835</v>
      </c>
      <c r="AZ44" s="67" t="s">
        <v>13</v>
      </c>
      <c r="BA44" s="97">
        <v>2.9187699999999999</v>
      </c>
      <c r="BB44" s="59"/>
      <c r="BC44" s="59"/>
      <c r="BD44" s="29">
        <v>356.1653</v>
      </c>
      <c r="BE44" s="29" t="s">
        <v>239</v>
      </c>
      <c r="BF44" s="29">
        <f t="shared" si="17"/>
        <v>322.12090000000001</v>
      </c>
      <c r="BG44" s="29">
        <f t="shared" si="17"/>
        <v>390.10020000000003</v>
      </c>
      <c r="BH44" s="29" t="s">
        <v>542</v>
      </c>
      <c r="BI44" s="23" t="s">
        <v>419</v>
      </c>
      <c r="BJ44" s="29">
        <v>322.12090000000001</v>
      </c>
      <c r="BK44" s="29">
        <v>390.10020000000003</v>
      </c>
      <c r="BL44" s="29" t="s">
        <v>834</v>
      </c>
      <c r="BM44" s="25" t="s">
        <v>13</v>
      </c>
      <c r="BO44" s="44"/>
      <c r="CA44" s="25" t="s">
        <v>13</v>
      </c>
      <c r="CC44" s="25" t="s">
        <v>13</v>
      </c>
    </row>
    <row r="45" spans="1:81">
      <c r="A45" s="9" t="s">
        <v>9</v>
      </c>
      <c r="B45" s="38" t="s">
        <v>98</v>
      </c>
      <c r="C45" s="68">
        <f t="shared" si="25"/>
        <v>69.05</v>
      </c>
      <c r="D45" s="68">
        <v>72.099999999999994</v>
      </c>
      <c r="E45" s="68">
        <v>66</v>
      </c>
      <c r="F45" s="23">
        <f t="shared" si="9"/>
        <v>252</v>
      </c>
      <c r="G45" s="23" t="s">
        <v>389</v>
      </c>
      <c r="H45" s="23">
        <f t="shared" si="10"/>
        <v>126</v>
      </c>
      <c r="I45" s="23">
        <f t="shared" si="11"/>
        <v>504</v>
      </c>
      <c r="J45" s="23" t="s">
        <v>480</v>
      </c>
      <c r="K45" s="23" t="s">
        <v>400</v>
      </c>
      <c r="L45" s="28">
        <v>630</v>
      </c>
      <c r="M45" s="28">
        <v>330</v>
      </c>
      <c r="N45" s="26">
        <v>930</v>
      </c>
      <c r="O45" s="26">
        <v>5000</v>
      </c>
      <c r="P45" s="22">
        <v>2000</v>
      </c>
      <c r="Q45" s="22"/>
      <c r="R45" s="26" t="s">
        <v>13</v>
      </c>
      <c r="S45" s="6" t="s">
        <v>265</v>
      </c>
      <c r="T45" s="44"/>
      <c r="U45" s="70">
        <v>0.10540000000000001</v>
      </c>
      <c r="W45" s="76"/>
      <c r="X45" s="30">
        <v>332.05906800770634</v>
      </c>
      <c r="Y45" s="26" t="s">
        <v>389</v>
      </c>
      <c r="Z45" s="26">
        <f t="shared" si="22"/>
        <v>290.11531581270657</v>
      </c>
      <c r="AA45" s="26">
        <f t="shared" si="22"/>
        <v>428.58933266712529</v>
      </c>
      <c r="AB45" s="77" t="s">
        <v>428</v>
      </c>
      <c r="AC45" s="77" t="s">
        <v>400</v>
      </c>
      <c r="AD45" s="77">
        <v>290.11531581270657</v>
      </c>
      <c r="AE45" s="77">
        <v>428.58933266712529</v>
      </c>
      <c r="AF45" s="26" t="s">
        <v>395</v>
      </c>
      <c r="AG45" s="25" t="s">
        <v>13</v>
      </c>
      <c r="AH45" s="6" t="s">
        <v>0</v>
      </c>
      <c r="AI45" s="44" t="s">
        <v>180</v>
      </c>
      <c r="AJ45" s="62">
        <f>56.407+0.2</f>
        <v>56.606999999999999</v>
      </c>
      <c r="AK45" s="62">
        <f t="shared" si="23"/>
        <v>56.707000000000001</v>
      </c>
      <c r="AL45" s="62">
        <f t="shared" si="24"/>
        <v>56.506999999999998</v>
      </c>
      <c r="AM45" s="23">
        <v>320.45100000000002</v>
      </c>
      <c r="AN45" s="21" t="s">
        <v>239</v>
      </c>
      <c r="AO45" s="22">
        <f t="shared" si="20"/>
        <v>309.3931</v>
      </c>
      <c r="AP45" s="23">
        <f t="shared" si="21"/>
        <v>335.22660000000002</v>
      </c>
      <c r="AQ45" s="89" t="s">
        <v>423</v>
      </c>
      <c r="AR45" s="23" t="s">
        <v>400</v>
      </c>
      <c r="AS45" s="23">
        <v>320.45100000000002</v>
      </c>
      <c r="AT45" s="23">
        <v>304.654</v>
      </c>
      <c r="AU45" s="23">
        <v>345.077</v>
      </c>
      <c r="AV45" s="23" t="s">
        <v>236</v>
      </c>
      <c r="AW45" s="23"/>
      <c r="AX45" s="29" t="s">
        <v>13</v>
      </c>
      <c r="AY45" s="16" t="s">
        <v>835</v>
      </c>
      <c r="AZ45" s="67" t="s">
        <v>13</v>
      </c>
      <c r="BA45" s="97">
        <v>3.0005700000000002</v>
      </c>
      <c r="BB45" s="59"/>
      <c r="BC45" s="59"/>
      <c r="BD45" s="29">
        <v>446.0419</v>
      </c>
      <c r="BE45" s="29" t="s">
        <v>239</v>
      </c>
      <c r="BF45" s="29">
        <f t="shared" si="17"/>
        <v>403.98400000000004</v>
      </c>
      <c r="BG45" s="29">
        <f t="shared" si="17"/>
        <v>490.63049999999998</v>
      </c>
      <c r="BH45" s="29" t="s">
        <v>542</v>
      </c>
      <c r="BI45" s="23" t="s">
        <v>419</v>
      </c>
      <c r="BJ45" s="29">
        <v>403.98400000000004</v>
      </c>
      <c r="BK45" s="29">
        <v>490.63049999999998</v>
      </c>
      <c r="BL45" s="29" t="s">
        <v>834</v>
      </c>
      <c r="BM45" s="25" t="s">
        <v>13</v>
      </c>
      <c r="BO45" s="44"/>
      <c r="CA45" s="25" t="s">
        <v>13</v>
      </c>
      <c r="CC45" s="25" t="s">
        <v>13</v>
      </c>
    </row>
    <row r="46" spans="1:81">
      <c r="A46" s="9" t="s">
        <v>9</v>
      </c>
      <c r="B46" s="38" t="s">
        <v>99</v>
      </c>
      <c r="C46" s="68">
        <f t="shared" si="25"/>
        <v>77.849999999999994</v>
      </c>
      <c r="D46" s="68">
        <v>83.6</v>
      </c>
      <c r="E46" s="68">
        <v>72.099999999999994</v>
      </c>
      <c r="F46" s="23">
        <f t="shared" si="9"/>
        <v>1180</v>
      </c>
      <c r="G46" s="23" t="s">
        <v>389</v>
      </c>
      <c r="H46" s="23">
        <f t="shared" si="10"/>
        <v>590</v>
      </c>
      <c r="I46" s="23">
        <f t="shared" si="11"/>
        <v>2360</v>
      </c>
      <c r="J46" s="23" t="s">
        <v>480</v>
      </c>
      <c r="K46" s="23" t="s">
        <v>400</v>
      </c>
      <c r="L46" s="28">
        <v>2950</v>
      </c>
      <c r="M46" s="28">
        <v>2340</v>
      </c>
      <c r="N46" s="26">
        <v>3540</v>
      </c>
      <c r="O46" s="26">
        <v>5000</v>
      </c>
      <c r="P46" s="22">
        <v>2000</v>
      </c>
      <c r="Q46" s="22"/>
      <c r="R46" s="26" t="s">
        <v>13</v>
      </c>
      <c r="S46" s="6" t="s">
        <v>265</v>
      </c>
      <c r="T46" s="44"/>
      <c r="U46" s="70">
        <v>0.11320000000000001</v>
      </c>
      <c r="W46" s="76"/>
      <c r="X46" s="30">
        <v>336.32670004271722</v>
      </c>
      <c r="Y46" s="26" t="s">
        <v>389</v>
      </c>
      <c r="Z46" s="26">
        <f t="shared" si="22"/>
        <v>292.94808392574708</v>
      </c>
      <c r="AA46" s="26">
        <f t="shared" si="22"/>
        <v>435.37960408829844</v>
      </c>
      <c r="AB46" s="77" t="s">
        <v>428</v>
      </c>
      <c r="AC46" s="77" t="s">
        <v>400</v>
      </c>
      <c r="AD46" s="77">
        <v>292.94808392574708</v>
      </c>
      <c r="AE46" s="77">
        <v>435.37960408829844</v>
      </c>
      <c r="AF46" s="26" t="s">
        <v>395</v>
      </c>
      <c r="AG46" s="25" t="s">
        <v>13</v>
      </c>
      <c r="AH46" s="6" t="s">
        <v>0</v>
      </c>
      <c r="AI46" s="44" t="s">
        <v>181</v>
      </c>
      <c r="AJ46" s="62">
        <f>56.543+0.2</f>
        <v>56.743000000000002</v>
      </c>
      <c r="AK46" s="62">
        <f>AJ46+0.2</f>
        <v>56.943000000000005</v>
      </c>
      <c r="AL46" s="62">
        <f>AJ46-0.2</f>
        <v>56.542999999999999</v>
      </c>
      <c r="AM46" s="23">
        <v>314.52800000000002</v>
      </c>
      <c r="AN46" s="21" t="s">
        <v>239</v>
      </c>
      <c r="AO46" s="22">
        <f t="shared" si="20"/>
        <v>305.54349999999999</v>
      </c>
      <c r="AP46" s="23">
        <f t="shared" si="21"/>
        <v>322.80619999999999</v>
      </c>
      <c r="AQ46" s="89" t="s">
        <v>423</v>
      </c>
      <c r="AR46" s="23" t="s">
        <v>400</v>
      </c>
      <c r="AS46" s="23">
        <v>314.52800000000002</v>
      </c>
      <c r="AT46" s="23">
        <v>301.69299999999998</v>
      </c>
      <c r="AU46" s="23">
        <v>328.32499999999999</v>
      </c>
      <c r="AV46" s="23" t="s">
        <v>236</v>
      </c>
      <c r="AW46" s="23"/>
      <c r="AX46" s="29" t="s">
        <v>13</v>
      </c>
      <c r="AY46" s="16" t="s">
        <v>835</v>
      </c>
      <c r="AZ46" s="67" t="s">
        <v>13</v>
      </c>
      <c r="BA46" s="97">
        <v>3.0739200000000002</v>
      </c>
      <c r="BB46" s="59"/>
      <c r="BC46" s="59"/>
      <c r="BD46" s="29">
        <v>362.98259999999999</v>
      </c>
      <c r="BE46" s="29" t="s">
        <v>239</v>
      </c>
      <c r="BF46" s="29">
        <f t="shared" si="17"/>
        <v>328.81369999999998</v>
      </c>
      <c r="BG46" s="29">
        <f t="shared" si="17"/>
        <v>398.9787</v>
      </c>
      <c r="BH46" s="29" t="s">
        <v>542</v>
      </c>
      <c r="BI46" s="23" t="s">
        <v>419</v>
      </c>
      <c r="BJ46" s="29">
        <v>328.81369999999998</v>
      </c>
      <c r="BK46" s="29">
        <v>398.9787</v>
      </c>
      <c r="BL46" s="29" t="s">
        <v>834</v>
      </c>
      <c r="BM46" s="25" t="s">
        <v>13</v>
      </c>
      <c r="BO46" s="44"/>
      <c r="CA46" s="25" t="s">
        <v>13</v>
      </c>
      <c r="CC46" s="25" t="s">
        <v>13</v>
      </c>
    </row>
    <row r="47" spans="1:81">
      <c r="A47" s="9" t="s">
        <v>9</v>
      </c>
      <c r="B47" s="38" t="s">
        <v>99</v>
      </c>
      <c r="C47" s="68">
        <f t="shared" si="25"/>
        <v>77.849999999999994</v>
      </c>
      <c r="D47" s="68">
        <v>83.6</v>
      </c>
      <c r="E47" s="68">
        <v>72.099999999999994</v>
      </c>
      <c r="F47" s="23">
        <f t="shared" si="9"/>
        <v>504</v>
      </c>
      <c r="G47" s="23" t="s">
        <v>389</v>
      </c>
      <c r="H47" s="23">
        <f t="shared" si="10"/>
        <v>252</v>
      </c>
      <c r="I47" s="23">
        <f t="shared" si="11"/>
        <v>1008</v>
      </c>
      <c r="J47" s="23" t="s">
        <v>480</v>
      </c>
      <c r="K47" s="23" t="s">
        <v>400</v>
      </c>
      <c r="L47" s="28">
        <v>1260</v>
      </c>
      <c r="M47" s="28">
        <v>660</v>
      </c>
      <c r="N47" s="26">
        <v>1860</v>
      </c>
      <c r="O47" s="26">
        <v>5000</v>
      </c>
      <c r="P47" s="22">
        <v>2000</v>
      </c>
      <c r="Q47" s="22"/>
      <c r="R47" s="26" t="s">
        <v>13</v>
      </c>
      <c r="S47" s="6" t="s">
        <v>265</v>
      </c>
      <c r="T47" s="44"/>
      <c r="U47" s="70">
        <v>0.1336</v>
      </c>
      <c r="W47" s="76"/>
      <c r="X47" s="30">
        <v>335.90848404323509</v>
      </c>
      <c r="Y47" s="26" t="s">
        <v>389</v>
      </c>
      <c r="Z47" s="26">
        <f t="shared" si="22"/>
        <v>304.87714701049975</v>
      </c>
      <c r="AA47" s="26">
        <f t="shared" si="22"/>
        <v>417.80271414896367</v>
      </c>
      <c r="AB47" s="77" t="s">
        <v>428</v>
      </c>
      <c r="AC47" s="77" t="s">
        <v>400</v>
      </c>
      <c r="AD47" s="77">
        <v>304.87714701049975</v>
      </c>
      <c r="AE47" s="77">
        <v>417.80271414896367</v>
      </c>
      <c r="AF47" s="26" t="s">
        <v>395</v>
      </c>
      <c r="AG47" s="25" t="s">
        <v>13</v>
      </c>
      <c r="AH47" s="6" t="s">
        <v>0</v>
      </c>
      <c r="AI47" s="44" t="s">
        <v>182</v>
      </c>
      <c r="AJ47" s="62">
        <f>56.543+0.2</f>
        <v>56.743000000000002</v>
      </c>
      <c r="AK47" s="62">
        <f>AJ47+0.2</f>
        <v>56.943000000000005</v>
      </c>
      <c r="AL47" s="62">
        <f>AJ47-0.2</f>
        <v>56.542999999999999</v>
      </c>
      <c r="AM47" s="23">
        <v>318.47699999999998</v>
      </c>
      <c r="AN47" s="21" t="s">
        <v>239</v>
      </c>
      <c r="AO47" s="22">
        <f t="shared" si="20"/>
        <v>306.72819999999996</v>
      </c>
      <c r="AP47" s="23">
        <f t="shared" si="21"/>
        <v>327.95279999999997</v>
      </c>
      <c r="AQ47" s="89" t="s">
        <v>423</v>
      </c>
      <c r="AR47" s="23" t="s">
        <v>400</v>
      </c>
      <c r="AS47" s="23">
        <v>318.47699999999998</v>
      </c>
      <c r="AT47" s="23">
        <v>301.69299999999998</v>
      </c>
      <c r="AU47" s="23">
        <v>334.27</v>
      </c>
      <c r="AV47" s="23" t="s">
        <v>236</v>
      </c>
      <c r="AW47" s="23"/>
      <c r="AX47" s="29" t="s">
        <v>13</v>
      </c>
      <c r="AY47" s="16" t="s">
        <v>835</v>
      </c>
      <c r="AZ47" s="67" t="s">
        <v>13</v>
      </c>
      <c r="BA47" s="97">
        <v>3.0813799999999998</v>
      </c>
      <c r="BB47" s="59"/>
      <c r="BC47" s="59"/>
      <c r="BD47" s="29">
        <v>452.73859999999996</v>
      </c>
      <c r="BE47" s="29" t="s">
        <v>239</v>
      </c>
      <c r="BF47" s="29">
        <f t="shared" si="17"/>
        <v>408.43680000000001</v>
      </c>
      <c r="BG47" s="29">
        <f t="shared" si="17"/>
        <v>498.17389999999995</v>
      </c>
      <c r="BH47" s="29" t="s">
        <v>542</v>
      </c>
      <c r="BI47" s="23" t="s">
        <v>419</v>
      </c>
      <c r="BJ47" s="29">
        <v>408.43680000000001</v>
      </c>
      <c r="BK47" s="29">
        <v>498.17389999999995</v>
      </c>
      <c r="BL47" s="29" t="s">
        <v>834</v>
      </c>
      <c r="BM47" s="25" t="s">
        <v>13</v>
      </c>
      <c r="BO47" s="44"/>
      <c r="CA47" s="25" t="s">
        <v>13</v>
      </c>
      <c r="CC47" s="25" t="s">
        <v>13</v>
      </c>
    </row>
    <row r="48" spans="1:81">
      <c r="A48" s="9" t="s">
        <v>9</v>
      </c>
      <c r="B48" s="38" t="s">
        <v>100</v>
      </c>
      <c r="C48" s="68">
        <f t="shared" si="25"/>
        <v>119.65</v>
      </c>
      <c r="D48" s="62">
        <v>126.3</v>
      </c>
      <c r="E48" s="68">
        <v>113</v>
      </c>
      <c r="F48" s="23">
        <f t="shared" si="9"/>
        <v>904</v>
      </c>
      <c r="G48" s="23" t="s">
        <v>389</v>
      </c>
      <c r="H48" s="23">
        <f t="shared" si="10"/>
        <v>452</v>
      </c>
      <c r="I48" s="23">
        <f t="shared" si="11"/>
        <v>1808</v>
      </c>
      <c r="J48" s="23" t="s">
        <v>480</v>
      </c>
      <c r="K48" s="23" t="s">
        <v>400</v>
      </c>
      <c r="L48" s="28">
        <v>2260</v>
      </c>
      <c r="M48" s="28">
        <v>1350</v>
      </c>
      <c r="N48" s="26">
        <v>3300</v>
      </c>
      <c r="O48" s="26">
        <v>5000</v>
      </c>
      <c r="P48" s="22">
        <v>2000</v>
      </c>
      <c r="Q48" s="22"/>
      <c r="R48" s="26" t="s">
        <v>13</v>
      </c>
      <c r="S48" s="6" t="s">
        <v>265</v>
      </c>
      <c r="T48" s="44"/>
      <c r="U48" s="70">
        <v>0.14649999999999999</v>
      </c>
      <c r="W48" s="76"/>
      <c r="X48" s="30">
        <v>314.66219189508769</v>
      </c>
      <c r="Y48" s="26" t="s">
        <v>389</v>
      </c>
      <c r="Z48" s="26">
        <f t="shared" si="22"/>
        <v>277.29863188221452</v>
      </c>
      <c r="AA48" s="26">
        <f t="shared" si="22"/>
        <v>402.75116729039405</v>
      </c>
      <c r="AB48" s="77" t="s">
        <v>428</v>
      </c>
      <c r="AC48" s="77" t="s">
        <v>400</v>
      </c>
      <c r="AD48" s="77">
        <v>277.29863188221452</v>
      </c>
      <c r="AE48" s="77">
        <v>402.75116729039405</v>
      </c>
      <c r="AF48" s="26" t="s">
        <v>395</v>
      </c>
      <c r="AG48" s="25" t="s">
        <v>13</v>
      </c>
      <c r="AH48" s="6" t="s">
        <v>0</v>
      </c>
      <c r="AI48" s="44" t="s">
        <v>183</v>
      </c>
      <c r="AJ48" s="62">
        <f>56.543+0.2</f>
        <v>56.743000000000002</v>
      </c>
      <c r="AK48" s="62">
        <f>AJ48+0.2</f>
        <v>56.943000000000005</v>
      </c>
      <c r="AL48" s="62">
        <f>AJ48-0.2</f>
        <v>56.542999999999999</v>
      </c>
      <c r="AM48" s="23">
        <v>318.47699999999998</v>
      </c>
      <c r="AN48" s="21" t="s">
        <v>239</v>
      </c>
      <c r="AO48" s="22">
        <f t="shared" si="20"/>
        <v>306.72819999999996</v>
      </c>
      <c r="AP48" s="23">
        <f t="shared" si="21"/>
        <v>327.95279999999997</v>
      </c>
      <c r="AQ48" s="89" t="s">
        <v>423</v>
      </c>
      <c r="AR48" s="23" t="s">
        <v>400</v>
      </c>
      <c r="AS48" s="23">
        <v>318.47699999999998</v>
      </c>
      <c r="AT48" s="23">
        <v>301.69299999999998</v>
      </c>
      <c r="AU48" s="23">
        <v>334.27</v>
      </c>
      <c r="AV48" s="23" t="s">
        <v>236</v>
      </c>
      <c r="AW48" s="23"/>
      <c r="AX48" s="29" t="s">
        <v>13</v>
      </c>
      <c r="AY48" s="16" t="s">
        <v>835</v>
      </c>
      <c r="AZ48" s="67" t="s">
        <v>13</v>
      </c>
      <c r="BA48" s="97">
        <v>3.1049099999999998</v>
      </c>
      <c r="BB48" s="59"/>
      <c r="BC48" s="59"/>
      <c r="BD48" s="29">
        <v>372.62550000000005</v>
      </c>
      <c r="BE48" s="29" t="s">
        <v>239</v>
      </c>
      <c r="BF48" s="29">
        <f t="shared" si="17"/>
        <v>337.47729999999996</v>
      </c>
      <c r="BG48" s="29">
        <f t="shared" si="17"/>
        <v>409.27940000000001</v>
      </c>
      <c r="BH48" s="29" t="s">
        <v>542</v>
      </c>
      <c r="BI48" s="23" t="s">
        <v>419</v>
      </c>
      <c r="BJ48" s="29">
        <v>337.47729999999996</v>
      </c>
      <c r="BK48" s="29">
        <v>409.27940000000001</v>
      </c>
      <c r="BL48" s="29" t="s">
        <v>834</v>
      </c>
      <c r="BM48" s="25" t="s">
        <v>13</v>
      </c>
      <c r="BO48" s="44"/>
      <c r="CA48" s="25" t="s">
        <v>13</v>
      </c>
      <c r="CC48" s="25" t="s">
        <v>13</v>
      </c>
    </row>
    <row r="49" spans="1:81">
      <c r="A49" s="9" t="s">
        <v>9</v>
      </c>
      <c r="B49" s="38" t="s">
        <v>100</v>
      </c>
      <c r="C49" s="68">
        <f t="shared" si="25"/>
        <v>119.65</v>
      </c>
      <c r="D49" s="62">
        <v>126.3</v>
      </c>
      <c r="E49" s="68">
        <v>113</v>
      </c>
      <c r="F49" s="23">
        <f t="shared" si="9"/>
        <v>1084</v>
      </c>
      <c r="G49" s="23" t="s">
        <v>389</v>
      </c>
      <c r="H49" s="23">
        <f t="shared" si="10"/>
        <v>542</v>
      </c>
      <c r="I49" s="23">
        <f t="shared" si="11"/>
        <v>2168</v>
      </c>
      <c r="J49" s="23" t="s">
        <v>480</v>
      </c>
      <c r="K49" s="23" t="s">
        <v>400</v>
      </c>
      <c r="L49" s="28">
        <v>2710</v>
      </c>
      <c r="M49" s="28">
        <v>1350</v>
      </c>
      <c r="N49" s="26">
        <v>3300</v>
      </c>
      <c r="O49" s="26">
        <v>5000</v>
      </c>
      <c r="P49" s="22">
        <v>2000</v>
      </c>
      <c r="Q49" s="22"/>
      <c r="R49" s="26" t="s">
        <v>13</v>
      </c>
      <c r="S49" s="6" t="s">
        <v>265</v>
      </c>
      <c r="T49" s="44"/>
      <c r="U49" s="70">
        <v>0.15619999999999998</v>
      </c>
      <c r="W49" s="76"/>
      <c r="X49" s="30">
        <v>316.3374694874372</v>
      </c>
      <c r="Y49" s="26" t="s">
        <v>389</v>
      </c>
      <c r="Z49" s="26">
        <f t="shared" si="22"/>
        <v>286.01757008985061</v>
      </c>
      <c r="AA49" s="26">
        <f t="shared" si="22"/>
        <v>394.93549495093646</v>
      </c>
      <c r="AB49" s="77" t="s">
        <v>428</v>
      </c>
      <c r="AC49" s="77" t="s">
        <v>400</v>
      </c>
      <c r="AD49" s="77">
        <v>286.01757008985061</v>
      </c>
      <c r="AE49" s="77">
        <v>394.93549495093646</v>
      </c>
      <c r="AF49" s="26" t="s">
        <v>395</v>
      </c>
      <c r="AG49" s="25" t="s">
        <v>13</v>
      </c>
      <c r="AH49" s="6" t="s">
        <v>0</v>
      </c>
      <c r="AI49" s="44" t="s">
        <v>184</v>
      </c>
      <c r="AJ49" s="62">
        <f>56.954+0.2</f>
        <v>57.154000000000003</v>
      </c>
      <c r="AK49" s="62">
        <f>AJ49+0.2</f>
        <v>57.354000000000006</v>
      </c>
      <c r="AL49" s="62">
        <f>AJ49-0.2</f>
        <v>56.954000000000001</v>
      </c>
      <c r="AM49" s="23">
        <v>468.54700000000003</v>
      </c>
      <c r="AN49" s="21" t="s">
        <v>239</v>
      </c>
      <c r="AO49" s="22">
        <f t="shared" si="20"/>
        <v>378.702</v>
      </c>
      <c r="AP49" s="23">
        <f t="shared" si="21"/>
        <v>630.52299999999991</v>
      </c>
      <c r="AQ49" s="89" t="s">
        <v>423</v>
      </c>
      <c r="AR49" s="23" t="s">
        <v>400</v>
      </c>
      <c r="AS49" s="23">
        <v>468.54700000000003</v>
      </c>
      <c r="AT49" s="23">
        <v>340.197</v>
      </c>
      <c r="AU49" s="23">
        <v>738.50699999999995</v>
      </c>
      <c r="AV49" s="23" t="s">
        <v>236</v>
      </c>
      <c r="AW49" s="23"/>
      <c r="AX49" s="29" t="s">
        <v>13</v>
      </c>
      <c r="AY49" s="16" t="s">
        <v>835</v>
      </c>
      <c r="AZ49" s="67" t="s">
        <v>13</v>
      </c>
      <c r="BA49" s="97">
        <v>3.1559200000000001</v>
      </c>
      <c r="BB49" s="59"/>
      <c r="BC49" s="59"/>
      <c r="BD49" s="29">
        <v>343.16149999999999</v>
      </c>
      <c r="BE49" s="29" t="s">
        <v>239</v>
      </c>
      <c r="BF49" s="29">
        <f t="shared" si="17"/>
        <v>309.92619999999999</v>
      </c>
      <c r="BG49" s="29">
        <f t="shared" si="17"/>
        <v>378.76959999999997</v>
      </c>
      <c r="BH49" s="29" t="s">
        <v>542</v>
      </c>
      <c r="BI49" s="23" t="s">
        <v>419</v>
      </c>
      <c r="BJ49" s="29">
        <v>309.92619999999999</v>
      </c>
      <c r="BK49" s="29">
        <v>378.76959999999997</v>
      </c>
      <c r="BL49" s="29" t="s">
        <v>834</v>
      </c>
      <c r="BM49" s="25" t="s">
        <v>13</v>
      </c>
      <c r="BO49" s="44"/>
      <c r="CA49" s="25" t="s">
        <v>13</v>
      </c>
      <c r="CC49" s="25" t="s">
        <v>13</v>
      </c>
    </row>
    <row r="50" spans="1:81">
      <c r="A50" s="9" t="s">
        <v>9</v>
      </c>
      <c r="B50" s="38" t="s">
        <v>100</v>
      </c>
      <c r="C50" s="68">
        <f t="shared" si="25"/>
        <v>119.65</v>
      </c>
      <c r="D50" s="62">
        <v>126.3</v>
      </c>
      <c r="E50" s="68">
        <v>113</v>
      </c>
      <c r="F50" s="23">
        <f t="shared" si="9"/>
        <v>1076</v>
      </c>
      <c r="G50" s="23" t="s">
        <v>389</v>
      </c>
      <c r="H50" s="23">
        <f t="shared" si="10"/>
        <v>538</v>
      </c>
      <c r="I50" s="23">
        <f t="shared" si="11"/>
        <v>2152</v>
      </c>
      <c r="J50" s="23" t="s">
        <v>480</v>
      </c>
      <c r="K50" s="23" t="s">
        <v>400</v>
      </c>
      <c r="L50" s="28">
        <v>2690</v>
      </c>
      <c r="M50" s="28">
        <v>1350</v>
      </c>
      <c r="N50" s="26">
        <v>3300</v>
      </c>
      <c r="O50" s="26">
        <v>5000</v>
      </c>
      <c r="P50" s="22">
        <v>2000</v>
      </c>
      <c r="Q50" s="22"/>
      <c r="R50" s="26" t="s">
        <v>13</v>
      </c>
      <c r="S50" s="6" t="s">
        <v>265</v>
      </c>
      <c r="T50" s="44"/>
      <c r="U50" s="70">
        <v>0.1666</v>
      </c>
      <c r="W50" s="76"/>
      <c r="X50" s="30">
        <v>330.01129679024439</v>
      </c>
      <c r="Y50" s="26" t="s">
        <v>389</v>
      </c>
      <c r="Z50" s="26">
        <f t="shared" si="22"/>
        <v>286.45653833419306</v>
      </c>
      <c r="AA50" s="26">
        <f t="shared" si="22"/>
        <v>428.62350139717717</v>
      </c>
      <c r="AB50" s="77" t="s">
        <v>428</v>
      </c>
      <c r="AC50" s="77" t="s">
        <v>400</v>
      </c>
      <c r="AD50" s="77">
        <v>286.45653833419306</v>
      </c>
      <c r="AE50" s="77">
        <v>428.62350139717717</v>
      </c>
      <c r="AF50" s="26" t="s">
        <v>395</v>
      </c>
      <c r="AG50" s="25" t="s">
        <v>13</v>
      </c>
      <c r="AH50" s="6" t="s">
        <v>0</v>
      </c>
      <c r="AI50" s="44" t="s">
        <v>185</v>
      </c>
      <c r="AJ50" s="62">
        <f>57.936+0.2</f>
        <v>58.136000000000003</v>
      </c>
      <c r="AK50" s="62">
        <f>AJ50+0.3</f>
        <v>58.436</v>
      </c>
      <c r="AL50" s="62">
        <f>AJ50-0.3</f>
        <v>57.836000000000006</v>
      </c>
      <c r="AM50" s="23">
        <v>446.827</v>
      </c>
      <c r="AN50" s="21" t="s">
        <v>239</v>
      </c>
      <c r="AO50" s="22">
        <f t="shared" si="20"/>
        <v>367.34829999999999</v>
      </c>
      <c r="AP50" s="23">
        <f t="shared" si="21"/>
        <v>623.06140000000005</v>
      </c>
      <c r="AQ50" s="89" t="s">
        <v>423</v>
      </c>
      <c r="AR50" s="23" t="s">
        <v>400</v>
      </c>
      <c r="AS50" s="23">
        <v>446.827</v>
      </c>
      <c r="AT50" s="23">
        <v>333.286</v>
      </c>
      <c r="AU50" s="23">
        <v>740.55100000000004</v>
      </c>
      <c r="AV50" s="23" t="s">
        <v>236</v>
      </c>
      <c r="AW50" s="23"/>
      <c r="AX50" s="29" t="s">
        <v>13</v>
      </c>
      <c r="AY50" s="16" t="s">
        <v>835</v>
      </c>
      <c r="AZ50" s="67" t="s">
        <v>13</v>
      </c>
      <c r="BA50" s="97">
        <v>3.2185700000000002</v>
      </c>
      <c r="BB50" s="59"/>
      <c r="BC50" s="59"/>
      <c r="BD50" s="29">
        <v>352.73310000000004</v>
      </c>
      <c r="BE50" s="29" t="s">
        <v>239</v>
      </c>
      <c r="BF50" s="29">
        <f t="shared" si="17"/>
        <v>318.45409999999998</v>
      </c>
      <c r="BG50" s="29">
        <f t="shared" si="17"/>
        <v>386.48239999999998</v>
      </c>
      <c r="BH50" s="29" t="s">
        <v>542</v>
      </c>
      <c r="BI50" s="23" t="s">
        <v>419</v>
      </c>
      <c r="BJ50" s="29">
        <v>318.45409999999998</v>
      </c>
      <c r="BK50" s="29">
        <v>386.48239999999998</v>
      </c>
      <c r="BL50" s="29" t="s">
        <v>834</v>
      </c>
      <c r="BM50" s="25" t="s">
        <v>13</v>
      </c>
      <c r="BO50" s="44"/>
      <c r="CA50" s="25" t="s">
        <v>13</v>
      </c>
      <c r="CC50" s="25" t="s">
        <v>13</v>
      </c>
    </row>
    <row r="51" spans="1:81">
      <c r="A51" s="9" t="s">
        <v>9</v>
      </c>
      <c r="B51" s="38" t="s">
        <v>100</v>
      </c>
      <c r="C51" s="68">
        <f t="shared" si="25"/>
        <v>119.65</v>
      </c>
      <c r="D51" s="62">
        <v>126.3</v>
      </c>
      <c r="E51" s="68">
        <v>113</v>
      </c>
      <c r="F51" s="23">
        <f t="shared" si="9"/>
        <v>592</v>
      </c>
      <c r="G51" s="23" t="s">
        <v>389</v>
      </c>
      <c r="H51" s="23">
        <f t="shared" si="10"/>
        <v>296</v>
      </c>
      <c r="I51" s="23">
        <f t="shared" si="11"/>
        <v>1184</v>
      </c>
      <c r="J51" s="23" t="s">
        <v>480</v>
      </c>
      <c r="K51" s="23" t="s">
        <v>400</v>
      </c>
      <c r="L51" s="28">
        <v>1480</v>
      </c>
      <c r="M51" s="28">
        <v>1200</v>
      </c>
      <c r="N51" s="26">
        <v>1800</v>
      </c>
      <c r="O51" s="26">
        <v>5000</v>
      </c>
      <c r="P51" s="22">
        <v>2000</v>
      </c>
      <c r="Q51" s="22"/>
      <c r="R51" s="26" t="s">
        <v>13</v>
      </c>
      <c r="S51" s="6" t="s">
        <v>265</v>
      </c>
      <c r="T51" s="44"/>
      <c r="U51" s="70">
        <v>0.31</v>
      </c>
      <c r="V51" s="39"/>
      <c r="W51" s="78"/>
      <c r="X51" s="30">
        <v>319.08169492089058</v>
      </c>
      <c r="Y51" s="26" t="s">
        <v>389</v>
      </c>
      <c r="Z51" s="26">
        <f t="shared" si="22"/>
        <v>274.69199464763869</v>
      </c>
      <c r="AA51" s="26">
        <f t="shared" si="22"/>
        <v>417.66613627371112</v>
      </c>
      <c r="AB51" s="77" t="s">
        <v>428</v>
      </c>
      <c r="AC51" s="77" t="s">
        <v>400</v>
      </c>
      <c r="AD51" s="77">
        <v>274.69199464763869</v>
      </c>
      <c r="AE51" s="77">
        <v>417.66613627371112</v>
      </c>
      <c r="AF51" s="26" t="s">
        <v>395</v>
      </c>
      <c r="AG51" s="25" t="s">
        <v>13</v>
      </c>
      <c r="AH51" s="6" t="s">
        <v>0</v>
      </c>
      <c r="AI51" s="44" t="s">
        <v>278</v>
      </c>
      <c r="AJ51" s="62">
        <f t="shared" ref="AJ51:AJ78" si="26">AVERAGE(AK51:AL51)</f>
        <v>59.875</v>
      </c>
      <c r="AK51" s="62">
        <v>60.75</v>
      </c>
      <c r="AL51" s="62">
        <v>59</v>
      </c>
      <c r="AM51" s="23">
        <v>534.697</v>
      </c>
      <c r="AN51" s="21" t="s">
        <v>239</v>
      </c>
      <c r="AO51" s="22">
        <f t="shared" si="20"/>
        <v>415.82510000000002</v>
      </c>
      <c r="AP51" s="23">
        <f t="shared" si="21"/>
        <v>680.15679999999998</v>
      </c>
      <c r="AQ51" s="89" t="s">
        <v>423</v>
      </c>
      <c r="AR51" s="23" t="s">
        <v>400</v>
      </c>
      <c r="AS51" s="23">
        <v>534.697</v>
      </c>
      <c r="AT51" s="23">
        <v>364.88</v>
      </c>
      <c r="AU51" s="23">
        <v>777.13</v>
      </c>
      <c r="AV51" s="23" t="s">
        <v>236</v>
      </c>
      <c r="AW51" s="23"/>
      <c r="AX51" s="29" t="s">
        <v>13</v>
      </c>
      <c r="AY51" s="16" t="s">
        <v>835</v>
      </c>
      <c r="AZ51" s="67" t="s">
        <v>13</v>
      </c>
      <c r="BA51" s="97">
        <v>3.2391700000000001</v>
      </c>
      <c r="BB51" s="59"/>
      <c r="BC51" s="59"/>
      <c r="BD51" s="29">
        <v>408.2774</v>
      </c>
      <c r="BE51" s="29" t="s">
        <v>239</v>
      </c>
      <c r="BF51" s="29">
        <f t="shared" si="17"/>
        <v>370.48380000000003</v>
      </c>
      <c r="BG51" s="29">
        <f t="shared" si="17"/>
        <v>447.99240000000003</v>
      </c>
      <c r="BH51" s="29" t="s">
        <v>542</v>
      </c>
      <c r="BI51" s="23" t="s">
        <v>419</v>
      </c>
      <c r="BJ51" s="29">
        <v>370.48380000000003</v>
      </c>
      <c r="BK51" s="29">
        <v>447.99240000000003</v>
      </c>
      <c r="BL51" s="29" t="s">
        <v>834</v>
      </c>
      <c r="BM51" s="25" t="s">
        <v>13</v>
      </c>
      <c r="BO51" s="44"/>
      <c r="CA51" s="25" t="s">
        <v>13</v>
      </c>
      <c r="CC51" s="25" t="s">
        <v>13</v>
      </c>
    </row>
    <row r="52" spans="1:81">
      <c r="A52" s="9" t="s">
        <v>9</v>
      </c>
      <c r="B52" s="38" t="s">
        <v>102</v>
      </c>
      <c r="C52" s="68">
        <f t="shared" si="25"/>
        <v>154.69999999999999</v>
      </c>
      <c r="D52" s="68">
        <v>157.30000000000001</v>
      </c>
      <c r="E52" s="68">
        <v>152.1</v>
      </c>
      <c r="F52" s="23">
        <f t="shared" si="9"/>
        <v>1272</v>
      </c>
      <c r="G52" s="23" t="s">
        <v>389</v>
      </c>
      <c r="H52" s="23">
        <f t="shared" si="10"/>
        <v>636</v>
      </c>
      <c r="I52" s="23">
        <f t="shared" si="11"/>
        <v>2544</v>
      </c>
      <c r="J52" s="23" t="s">
        <v>480</v>
      </c>
      <c r="K52" s="23" t="s">
        <v>400</v>
      </c>
      <c r="L52" s="28">
        <v>3180</v>
      </c>
      <c r="M52" s="28">
        <v>2280</v>
      </c>
      <c r="N52" s="26">
        <v>3480</v>
      </c>
      <c r="O52" s="26">
        <v>5000</v>
      </c>
      <c r="P52" s="22">
        <v>2000</v>
      </c>
      <c r="Q52" s="22"/>
      <c r="R52" s="26" t="s">
        <v>13</v>
      </c>
      <c r="S52" s="6" t="s">
        <v>265</v>
      </c>
      <c r="T52" s="44"/>
      <c r="U52" s="70">
        <v>0.43099999999999999</v>
      </c>
      <c r="W52" s="76"/>
      <c r="X52" s="30">
        <v>284.55667396680786</v>
      </c>
      <c r="Y52" s="26" t="s">
        <v>389</v>
      </c>
      <c r="Z52" s="26">
        <f t="shared" si="22"/>
        <v>252.4882372439605</v>
      </c>
      <c r="AA52" s="26">
        <f t="shared" si="22"/>
        <v>361.79819136714781</v>
      </c>
      <c r="AB52" s="77" t="s">
        <v>428</v>
      </c>
      <c r="AC52" s="77" t="s">
        <v>400</v>
      </c>
      <c r="AD52" s="77">
        <v>252.4882372439605</v>
      </c>
      <c r="AE52" s="77">
        <v>361.79819136714781</v>
      </c>
      <c r="AF52" s="26" t="s">
        <v>395</v>
      </c>
      <c r="AG52" s="25" t="s">
        <v>13</v>
      </c>
      <c r="AH52" s="6" t="s">
        <v>0</v>
      </c>
      <c r="AI52" s="44" t="s">
        <v>277</v>
      </c>
      <c r="AJ52" s="62">
        <f t="shared" si="26"/>
        <v>59.875</v>
      </c>
      <c r="AK52" s="62">
        <v>60.75</v>
      </c>
      <c r="AL52" s="62">
        <v>59</v>
      </c>
      <c r="AM52" s="23">
        <v>574.18899999999996</v>
      </c>
      <c r="AN52" s="21" t="s">
        <v>239</v>
      </c>
      <c r="AO52" s="22">
        <f t="shared" si="20"/>
        <v>432.6567</v>
      </c>
      <c r="AP52" s="23">
        <f t="shared" si="21"/>
        <v>703.9215999999999</v>
      </c>
      <c r="AQ52" s="89" t="s">
        <v>423</v>
      </c>
      <c r="AR52" s="23" t="s">
        <v>400</v>
      </c>
      <c r="AS52" s="23">
        <v>574.18899999999996</v>
      </c>
      <c r="AT52" s="23">
        <v>372</v>
      </c>
      <c r="AU52" s="23">
        <v>790.41</v>
      </c>
      <c r="AV52" s="23" t="s">
        <v>236</v>
      </c>
      <c r="AW52" s="23"/>
      <c r="AX52" s="29" t="s">
        <v>13</v>
      </c>
      <c r="AY52" s="16" t="s">
        <v>835</v>
      </c>
      <c r="AZ52" s="67" t="s">
        <v>13</v>
      </c>
      <c r="BA52" s="97">
        <v>3.25915</v>
      </c>
      <c r="BB52" s="59"/>
      <c r="BC52" s="59"/>
      <c r="BD52" s="29">
        <v>346.99969999999996</v>
      </c>
      <c r="BE52" s="29" t="s">
        <v>239</v>
      </c>
      <c r="BF52" s="29">
        <f t="shared" si="17"/>
        <v>314.40089999999998</v>
      </c>
      <c r="BG52" s="29">
        <f t="shared" si="17"/>
        <v>381.21010000000001</v>
      </c>
      <c r="BH52" s="29" t="s">
        <v>542</v>
      </c>
      <c r="BI52" s="23" t="s">
        <v>419</v>
      </c>
      <c r="BJ52" s="29">
        <v>314.40089999999998</v>
      </c>
      <c r="BK52" s="29">
        <v>381.21010000000001</v>
      </c>
      <c r="BL52" s="29" t="s">
        <v>834</v>
      </c>
      <c r="BM52" s="25" t="s">
        <v>13</v>
      </c>
      <c r="BO52" s="44"/>
      <c r="CA52" s="25" t="s">
        <v>13</v>
      </c>
      <c r="CC52" s="25" t="s">
        <v>13</v>
      </c>
    </row>
    <row r="53" spans="1:81">
      <c r="A53" s="9" t="s">
        <v>9</v>
      </c>
      <c r="B53" s="38" t="s">
        <v>103</v>
      </c>
      <c r="C53" s="68">
        <f t="shared" si="25"/>
        <v>187.7</v>
      </c>
      <c r="D53" s="68">
        <v>201.3</v>
      </c>
      <c r="E53" s="68">
        <v>174.1</v>
      </c>
      <c r="F53" s="23">
        <f t="shared" si="9"/>
        <v>1824</v>
      </c>
      <c r="G53" s="23" t="s">
        <v>389</v>
      </c>
      <c r="H53" s="23">
        <f t="shared" si="10"/>
        <v>912</v>
      </c>
      <c r="I53" s="23">
        <f t="shared" si="11"/>
        <v>3648</v>
      </c>
      <c r="J53" s="23" t="s">
        <v>480</v>
      </c>
      <c r="K53" s="23" t="s">
        <v>400</v>
      </c>
      <c r="L53" s="28">
        <v>4560</v>
      </c>
      <c r="M53" s="28">
        <v>3960</v>
      </c>
      <c r="N53" s="26">
        <v>5160</v>
      </c>
      <c r="O53" s="26">
        <v>5000</v>
      </c>
      <c r="P53" s="22">
        <v>2000</v>
      </c>
      <c r="Q53" s="22"/>
      <c r="R53" s="26" t="s">
        <v>13</v>
      </c>
      <c r="S53" s="6" t="s">
        <v>265</v>
      </c>
      <c r="T53" s="44"/>
      <c r="U53" s="70">
        <v>0.57529999999999992</v>
      </c>
      <c r="W53" s="76"/>
      <c r="X53" s="30">
        <v>301.76162701310443</v>
      </c>
      <c r="Y53" s="26" t="s">
        <v>389</v>
      </c>
      <c r="Z53" s="26">
        <f t="shared" si="22"/>
        <v>260.80611494042785</v>
      </c>
      <c r="AA53" s="26">
        <f t="shared" si="22"/>
        <v>393.46380970920313</v>
      </c>
      <c r="AB53" s="77" t="s">
        <v>428</v>
      </c>
      <c r="AC53" s="77" t="s">
        <v>400</v>
      </c>
      <c r="AD53" s="77">
        <v>260.80611494042785</v>
      </c>
      <c r="AE53" s="77">
        <v>393.46380970920313</v>
      </c>
      <c r="AF53" s="26" t="s">
        <v>395</v>
      </c>
      <c r="AG53" s="25" t="s">
        <v>13</v>
      </c>
      <c r="AH53" s="6" t="s">
        <v>16</v>
      </c>
      <c r="AI53" s="44" t="s">
        <v>191</v>
      </c>
      <c r="AJ53" s="62">
        <f t="shared" si="26"/>
        <v>270.55</v>
      </c>
      <c r="AK53" s="62">
        <v>272.3</v>
      </c>
      <c r="AL53" s="62">
        <v>268.8</v>
      </c>
      <c r="AM53" s="26">
        <f>AS53</f>
        <v>343</v>
      </c>
      <c r="AN53" s="26" t="s">
        <v>389</v>
      </c>
      <c r="AO53" s="66">
        <f t="shared" ref="AO53:AO76" si="27">AM53*0.7</f>
        <v>240.1</v>
      </c>
      <c r="AP53" s="100">
        <f t="shared" ref="AP53:AP76" si="28">AM53*1.65</f>
        <v>565.94999999999993</v>
      </c>
      <c r="AQ53" s="29" t="s">
        <v>512</v>
      </c>
      <c r="AR53" s="23" t="s">
        <v>424</v>
      </c>
      <c r="AS53" s="23">
        <v>343</v>
      </c>
      <c r="AT53" s="29">
        <v>310</v>
      </c>
      <c r="AU53" s="29">
        <v>376</v>
      </c>
      <c r="AV53" s="23" t="s">
        <v>236</v>
      </c>
      <c r="AW53" s="29" t="s">
        <v>740</v>
      </c>
      <c r="AX53" s="29" t="s">
        <v>13</v>
      </c>
      <c r="AY53" s="16" t="s">
        <v>835</v>
      </c>
      <c r="AZ53" s="67" t="s">
        <v>13</v>
      </c>
      <c r="BA53" s="97">
        <v>3.3216000000000001</v>
      </c>
      <c r="BB53" s="59"/>
      <c r="BC53" s="59"/>
      <c r="BD53" s="29">
        <v>365.3784</v>
      </c>
      <c r="BE53" s="29" t="s">
        <v>239</v>
      </c>
      <c r="BF53" s="29">
        <f t="shared" si="17"/>
        <v>330.88679999999999</v>
      </c>
      <c r="BG53" s="29">
        <f t="shared" si="17"/>
        <v>401.09789999999998</v>
      </c>
      <c r="BH53" s="29" t="s">
        <v>542</v>
      </c>
      <c r="BI53" s="23" t="s">
        <v>419</v>
      </c>
      <c r="BJ53" s="29">
        <v>330.88679999999999</v>
      </c>
      <c r="BK53" s="29">
        <v>401.09789999999998</v>
      </c>
      <c r="BL53" s="29" t="s">
        <v>834</v>
      </c>
      <c r="BM53" s="25" t="s">
        <v>13</v>
      </c>
      <c r="BO53" s="44"/>
      <c r="CA53" s="25" t="s">
        <v>13</v>
      </c>
      <c r="CC53" s="25" t="s">
        <v>13</v>
      </c>
    </row>
    <row r="54" spans="1:81">
      <c r="A54" s="9" t="s">
        <v>9</v>
      </c>
      <c r="B54" s="38" t="s">
        <v>104</v>
      </c>
      <c r="C54" s="68">
        <f t="shared" si="25"/>
        <v>172.2</v>
      </c>
      <c r="D54" s="68">
        <v>174.1</v>
      </c>
      <c r="E54" s="68">
        <v>170.3</v>
      </c>
      <c r="F54" s="23">
        <f t="shared" si="9"/>
        <v>768</v>
      </c>
      <c r="G54" s="23" t="s">
        <v>389</v>
      </c>
      <c r="H54" s="23">
        <f t="shared" si="10"/>
        <v>384</v>
      </c>
      <c r="I54" s="23">
        <f t="shared" si="11"/>
        <v>1536</v>
      </c>
      <c r="J54" s="23" t="s">
        <v>480</v>
      </c>
      <c r="K54" s="23" t="s">
        <v>400</v>
      </c>
      <c r="L54" s="28">
        <v>1920</v>
      </c>
      <c r="M54" s="28">
        <v>1320</v>
      </c>
      <c r="N54" s="26">
        <v>2520</v>
      </c>
      <c r="O54" s="26">
        <v>5000</v>
      </c>
      <c r="P54" s="22">
        <v>2000</v>
      </c>
      <c r="Q54" s="22"/>
      <c r="R54" s="26" t="s">
        <v>13</v>
      </c>
      <c r="S54" s="6" t="s">
        <v>265</v>
      </c>
      <c r="T54" s="44"/>
      <c r="U54" s="70">
        <v>0.92870000000000008</v>
      </c>
      <c r="W54" s="76"/>
      <c r="X54" s="30">
        <v>290.83479055916712</v>
      </c>
      <c r="Y54" s="26" t="s">
        <v>389</v>
      </c>
      <c r="Z54" s="26">
        <f t="shared" si="22"/>
        <v>254.89642479269938</v>
      </c>
      <c r="AA54" s="26">
        <f t="shared" si="22"/>
        <v>374.19961134740407</v>
      </c>
      <c r="AB54" s="77" t="s">
        <v>428</v>
      </c>
      <c r="AC54" s="77" t="s">
        <v>400</v>
      </c>
      <c r="AD54" s="77">
        <v>254.89642479269938</v>
      </c>
      <c r="AE54" s="77">
        <v>374.19961134740407</v>
      </c>
      <c r="AF54" s="26" t="s">
        <v>395</v>
      </c>
      <c r="AG54" s="25" t="s">
        <v>13</v>
      </c>
      <c r="AH54" s="6" t="s">
        <v>16</v>
      </c>
      <c r="AI54" s="44" t="s">
        <v>191</v>
      </c>
      <c r="AJ54" s="62">
        <f t="shared" si="26"/>
        <v>270.55</v>
      </c>
      <c r="AK54" s="62">
        <v>272.3</v>
      </c>
      <c r="AL54" s="62">
        <v>268.8</v>
      </c>
      <c r="AM54" s="26">
        <f t="shared" ref="AM54:AM80" si="29">AS54</f>
        <v>266</v>
      </c>
      <c r="AN54" s="26" t="s">
        <v>389</v>
      </c>
      <c r="AO54" s="66">
        <f t="shared" si="27"/>
        <v>186.2</v>
      </c>
      <c r="AP54" s="100">
        <f t="shared" si="28"/>
        <v>438.9</v>
      </c>
      <c r="AQ54" s="29" t="s">
        <v>512</v>
      </c>
      <c r="AR54" s="23" t="s">
        <v>424</v>
      </c>
      <c r="AS54" s="23">
        <v>266</v>
      </c>
      <c r="AT54" s="29">
        <v>237</v>
      </c>
      <c r="AU54" s="29">
        <v>295</v>
      </c>
      <c r="AV54" s="23" t="s">
        <v>236</v>
      </c>
      <c r="AW54" s="29" t="s">
        <v>740</v>
      </c>
      <c r="AX54" s="29" t="s">
        <v>13</v>
      </c>
      <c r="AY54" s="16" t="s">
        <v>835</v>
      </c>
      <c r="AZ54" s="67" t="s">
        <v>13</v>
      </c>
      <c r="BA54" s="97">
        <v>3.4032399999999998</v>
      </c>
      <c r="BB54" s="59"/>
      <c r="BC54" s="59"/>
      <c r="BD54" s="29">
        <v>359.71469999999999</v>
      </c>
      <c r="BE54" s="29" t="s">
        <v>239</v>
      </c>
      <c r="BF54" s="29">
        <f t="shared" si="17"/>
        <v>326.43189999999998</v>
      </c>
      <c r="BG54" s="29">
        <f t="shared" si="17"/>
        <v>395.83529999999996</v>
      </c>
      <c r="BH54" s="29" t="s">
        <v>542</v>
      </c>
      <c r="BI54" s="23" t="s">
        <v>419</v>
      </c>
      <c r="BJ54" s="29">
        <v>326.43189999999998</v>
      </c>
      <c r="BK54" s="29">
        <v>395.83529999999996</v>
      </c>
      <c r="BL54" s="29" t="s">
        <v>834</v>
      </c>
      <c r="BM54" s="25" t="s">
        <v>13</v>
      </c>
      <c r="BO54" s="44"/>
      <c r="CA54" s="25" t="s">
        <v>13</v>
      </c>
      <c r="CC54" s="25" t="s">
        <v>13</v>
      </c>
    </row>
    <row r="55" spans="1:81">
      <c r="A55" s="9" t="s">
        <v>9</v>
      </c>
      <c r="B55" s="38" t="s">
        <v>105</v>
      </c>
      <c r="C55" s="68">
        <f t="shared" si="25"/>
        <v>223.25</v>
      </c>
      <c r="D55" s="68">
        <v>237</v>
      </c>
      <c r="E55" s="68">
        <v>209.5</v>
      </c>
      <c r="F55" s="23">
        <f t="shared" si="9"/>
        <v>660</v>
      </c>
      <c r="G55" s="23" t="s">
        <v>389</v>
      </c>
      <c r="H55" s="23">
        <f t="shared" si="10"/>
        <v>330</v>
      </c>
      <c r="I55" s="23">
        <f t="shared" si="11"/>
        <v>1320</v>
      </c>
      <c r="J55" s="23" t="s">
        <v>480</v>
      </c>
      <c r="K55" s="23" t="s">
        <v>400</v>
      </c>
      <c r="L55" s="28">
        <v>1650</v>
      </c>
      <c r="M55" s="28">
        <v>900</v>
      </c>
      <c r="N55" s="26">
        <v>3450</v>
      </c>
      <c r="O55" s="26">
        <v>5000</v>
      </c>
      <c r="P55" s="22">
        <v>2000</v>
      </c>
      <c r="Q55" s="22"/>
      <c r="R55" s="26" t="s">
        <v>13</v>
      </c>
      <c r="S55" s="6" t="s">
        <v>265</v>
      </c>
      <c r="T55" s="44"/>
      <c r="U55" s="70">
        <v>1.046</v>
      </c>
      <c r="W55" s="76"/>
      <c r="X55" s="30">
        <v>301.43265120389123</v>
      </c>
      <c r="Y55" s="26" t="s">
        <v>389</v>
      </c>
      <c r="Z55" s="26">
        <f t="shared" si="22"/>
        <v>260.66699429395663</v>
      </c>
      <c r="AA55" s="26">
        <f t="shared" si="22"/>
        <v>392.83934166986216</v>
      </c>
      <c r="AB55" s="77" t="s">
        <v>428</v>
      </c>
      <c r="AC55" s="77" t="s">
        <v>400</v>
      </c>
      <c r="AD55" s="77">
        <v>260.66699429395663</v>
      </c>
      <c r="AE55" s="77">
        <v>392.83934166986216</v>
      </c>
      <c r="AF55" s="26" t="s">
        <v>395</v>
      </c>
      <c r="AG55" s="25" t="s">
        <v>13</v>
      </c>
      <c r="AH55" s="6" t="s">
        <v>16</v>
      </c>
      <c r="AI55" s="44" t="s">
        <v>191</v>
      </c>
      <c r="AJ55" s="62">
        <f t="shared" si="26"/>
        <v>270.55</v>
      </c>
      <c r="AK55" s="62">
        <v>272.3</v>
      </c>
      <c r="AL55" s="62">
        <v>268.8</v>
      </c>
      <c r="AM55" s="26">
        <f t="shared" si="29"/>
        <v>290</v>
      </c>
      <c r="AN55" s="26" t="s">
        <v>389</v>
      </c>
      <c r="AO55" s="66">
        <f t="shared" si="27"/>
        <v>203</v>
      </c>
      <c r="AP55" s="100">
        <f t="shared" si="28"/>
        <v>478.5</v>
      </c>
      <c r="AQ55" s="29" t="s">
        <v>512</v>
      </c>
      <c r="AR55" s="23" t="s">
        <v>424</v>
      </c>
      <c r="AS55" s="23">
        <v>290</v>
      </c>
      <c r="AT55" s="29">
        <v>259</v>
      </c>
      <c r="AU55" s="29">
        <v>321</v>
      </c>
      <c r="AV55" s="23" t="s">
        <v>236</v>
      </c>
      <c r="AW55" s="29" t="s">
        <v>740</v>
      </c>
      <c r="AX55" s="29" t="s">
        <v>13</v>
      </c>
      <c r="AY55" s="16" t="s">
        <v>835</v>
      </c>
      <c r="AZ55" s="67" t="s">
        <v>13</v>
      </c>
      <c r="BA55" s="97">
        <v>3.40673</v>
      </c>
      <c r="BB55" s="59"/>
      <c r="BC55" s="59"/>
      <c r="BD55" s="29">
        <v>368.91300000000001</v>
      </c>
      <c r="BE55" s="29" t="s">
        <v>239</v>
      </c>
      <c r="BF55" s="29">
        <f t="shared" si="17"/>
        <v>332.76179999999999</v>
      </c>
      <c r="BG55" s="29">
        <f t="shared" si="17"/>
        <v>405.64440000000002</v>
      </c>
      <c r="BH55" s="29" t="s">
        <v>542</v>
      </c>
      <c r="BI55" s="23" t="s">
        <v>419</v>
      </c>
      <c r="BJ55" s="29">
        <v>332.76179999999999</v>
      </c>
      <c r="BK55" s="29">
        <v>405.64440000000002</v>
      </c>
      <c r="BL55" s="29" t="s">
        <v>834</v>
      </c>
      <c r="BM55" s="25" t="s">
        <v>13</v>
      </c>
      <c r="BO55" s="44"/>
      <c r="CA55" s="25" t="s">
        <v>13</v>
      </c>
      <c r="CC55" s="25" t="s">
        <v>13</v>
      </c>
    </row>
    <row r="56" spans="1:81">
      <c r="A56" s="9" t="s">
        <v>9</v>
      </c>
      <c r="B56" s="38" t="s">
        <v>105</v>
      </c>
      <c r="C56" s="68">
        <f t="shared" si="25"/>
        <v>223.25</v>
      </c>
      <c r="D56" s="68">
        <v>237</v>
      </c>
      <c r="E56" s="68">
        <v>209.5</v>
      </c>
      <c r="F56" s="23">
        <f t="shared" si="9"/>
        <v>732</v>
      </c>
      <c r="G56" s="23" t="s">
        <v>389</v>
      </c>
      <c r="H56" s="23">
        <f t="shared" si="10"/>
        <v>366</v>
      </c>
      <c r="I56" s="23">
        <f t="shared" si="11"/>
        <v>1464</v>
      </c>
      <c r="J56" s="23" t="s">
        <v>480</v>
      </c>
      <c r="K56" s="23" t="s">
        <v>400</v>
      </c>
      <c r="L56" s="28">
        <v>1830</v>
      </c>
      <c r="M56" s="28">
        <v>900</v>
      </c>
      <c r="N56" s="26">
        <v>3450</v>
      </c>
      <c r="O56" s="26">
        <v>5000</v>
      </c>
      <c r="P56" s="22">
        <v>2000</v>
      </c>
      <c r="Q56" s="22"/>
      <c r="R56" s="26" t="s">
        <v>13</v>
      </c>
      <c r="S56" s="6" t="s">
        <v>265</v>
      </c>
      <c r="T56" s="44"/>
      <c r="U56" s="70">
        <v>1.1910000000000001</v>
      </c>
      <c r="W56" s="76"/>
      <c r="X56" s="30">
        <v>322.35696313228158</v>
      </c>
      <c r="Y56" s="26" t="s">
        <v>389</v>
      </c>
      <c r="Z56" s="26">
        <f t="shared" si="22"/>
        <v>281.42024329122967</v>
      </c>
      <c r="AA56" s="26">
        <f t="shared" si="22"/>
        <v>416.36204989699053</v>
      </c>
      <c r="AB56" s="77" t="s">
        <v>428</v>
      </c>
      <c r="AC56" s="77" t="s">
        <v>400</v>
      </c>
      <c r="AD56" s="77">
        <v>281.42024329122967</v>
      </c>
      <c r="AE56" s="77">
        <v>416.36204989699053</v>
      </c>
      <c r="AF56" s="26" t="s">
        <v>395</v>
      </c>
      <c r="AG56" s="25" t="s">
        <v>13</v>
      </c>
      <c r="AH56" s="6" t="s">
        <v>16</v>
      </c>
      <c r="AI56" s="44" t="s">
        <v>191</v>
      </c>
      <c r="AJ56" s="62">
        <f t="shared" si="26"/>
        <v>270.55</v>
      </c>
      <c r="AK56" s="62">
        <v>272.3</v>
      </c>
      <c r="AL56" s="62">
        <v>268.8</v>
      </c>
      <c r="AM56" s="26">
        <f t="shared" si="29"/>
        <v>326</v>
      </c>
      <c r="AN56" s="26" t="s">
        <v>389</v>
      </c>
      <c r="AO56" s="66">
        <f t="shared" si="27"/>
        <v>228.2</v>
      </c>
      <c r="AP56" s="100">
        <f t="shared" si="28"/>
        <v>537.9</v>
      </c>
      <c r="AQ56" s="29" t="s">
        <v>512</v>
      </c>
      <c r="AR56" s="23" t="s">
        <v>424</v>
      </c>
      <c r="AS56" s="23">
        <v>326</v>
      </c>
      <c r="AT56" s="29">
        <v>294</v>
      </c>
      <c r="AU56" s="29">
        <v>358</v>
      </c>
      <c r="AV56" s="23" t="s">
        <v>236</v>
      </c>
      <c r="AW56" s="29" t="s">
        <v>740</v>
      </c>
      <c r="AX56" s="29" t="s">
        <v>13</v>
      </c>
      <c r="AY56" s="16" t="s">
        <v>835</v>
      </c>
      <c r="AZ56" s="67" t="s">
        <v>13</v>
      </c>
      <c r="BA56" s="97">
        <v>3.4714700000000001</v>
      </c>
      <c r="BB56" s="59"/>
      <c r="BC56" s="59"/>
      <c r="BD56" s="29">
        <v>389.99860000000001</v>
      </c>
      <c r="BE56" s="29" t="s">
        <v>239</v>
      </c>
      <c r="BF56" s="29">
        <f t="shared" si="17"/>
        <v>352.97220000000004</v>
      </c>
      <c r="BG56" s="29">
        <f t="shared" si="17"/>
        <v>429.77439999999996</v>
      </c>
      <c r="BH56" s="29" t="s">
        <v>542</v>
      </c>
      <c r="BI56" s="23" t="s">
        <v>419</v>
      </c>
      <c r="BJ56" s="29">
        <v>352.97220000000004</v>
      </c>
      <c r="BK56" s="29">
        <v>429.77439999999996</v>
      </c>
      <c r="BL56" s="29" t="s">
        <v>834</v>
      </c>
      <c r="BM56" s="25" t="s">
        <v>13</v>
      </c>
      <c r="BO56" s="44"/>
      <c r="CA56" s="25" t="s">
        <v>13</v>
      </c>
      <c r="CC56" s="25" t="s">
        <v>13</v>
      </c>
    </row>
    <row r="57" spans="1:81">
      <c r="A57" s="9" t="s">
        <v>9</v>
      </c>
      <c r="B57" s="38" t="s">
        <v>105</v>
      </c>
      <c r="C57" s="68">
        <f t="shared" si="25"/>
        <v>223.25</v>
      </c>
      <c r="D57" s="68">
        <v>237</v>
      </c>
      <c r="E57" s="68">
        <v>209.5</v>
      </c>
      <c r="F57" s="23">
        <f t="shared" si="9"/>
        <v>1140</v>
      </c>
      <c r="G57" s="23" t="s">
        <v>389</v>
      </c>
      <c r="H57" s="23">
        <f t="shared" si="10"/>
        <v>570</v>
      </c>
      <c r="I57" s="23">
        <f t="shared" si="11"/>
        <v>2280</v>
      </c>
      <c r="J57" s="23" t="s">
        <v>480</v>
      </c>
      <c r="K57" s="23" t="s">
        <v>400</v>
      </c>
      <c r="L57" s="28">
        <v>2850</v>
      </c>
      <c r="M57" s="28">
        <v>900</v>
      </c>
      <c r="N57" s="26">
        <v>3450</v>
      </c>
      <c r="O57" s="26">
        <v>5000</v>
      </c>
      <c r="P57" s="22">
        <v>2000</v>
      </c>
      <c r="Q57" s="22"/>
      <c r="R57" s="26" t="s">
        <v>13</v>
      </c>
      <c r="S57" s="6" t="s">
        <v>265</v>
      </c>
      <c r="T57" s="44"/>
      <c r="U57" s="70">
        <v>1.206</v>
      </c>
      <c r="W57" s="76"/>
      <c r="X57" s="30">
        <v>311.20735150318257</v>
      </c>
      <c r="Y57" s="26" t="s">
        <v>389</v>
      </c>
      <c r="Z57" s="26">
        <f t="shared" si="22"/>
        <v>263.15392050354984</v>
      </c>
      <c r="AA57" s="26">
        <f t="shared" si="22"/>
        <v>414.26836162988764</v>
      </c>
      <c r="AB57" s="77" t="s">
        <v>428</v>
      </c>
      <c r="AC57" s="77" t="s">
        <v>400</v>
      </c>
      <c r="AD57" s="77">
        <v>263.15392050354984</v>
      </c>
      <c r="AE57" s="77">
        <v>414.26836162988764</v>
      </c>
      <c r="AF57" s="26" t="s">
        <v>395</v>
      </c>
      <c r="AG57" s="25" t="s">
        <v>13</v>
      </c>
      <c r="AH57" s="6" t="s">
        <v>16</v>
      </c>
      <c r="AI57" s="44" t="s">
        <v>191</v>
      </c>
      <c r="AJ57" s="62">
        <f t="shared" si="26"/>
        <v>270.55</v>
      </c>
      <c r="AK57" s="62">
        <v>272.3</v>
      </c>
      <c r="AL57" s="62">
        <v>268.8</v>
      </c>
      <c r="AM57" s="26">
        <f t="shared" si="29"/>
        <v>342</v>
      </c>
      <c r="AN57" s="26" t="s">
        <v>389</v>
      </c>
      <c r="AO57" s="66">
        <f t="shared" si="27"/>
        <v>239.39999999999998</v>
      </c>
      <c r="AP57" s="100">
        <f t="shared" si="28"/>
        <v>564.29999999999995</v>
      </c>
      <c r="AQ57" s="29" t="s">
        <v>512</v>
      </c>
      <c r="AR57" s="23" t="s">
        <v>424</v>
      </c>
      <c r="AS57" s="23">
        <v>342</v>
      </c>
      <c r="AT57" s="29">
        <v>309</v>
      </c>
      <c r="AU57" s="29">
        <v>375</v>
      </c>
      <c r="AV57" s="23" t="s">
        <v>236</v>
      </c>
      <c r="AW57" s="29" t="s">
        <v>740</v>
      </c>
      <c r="AX57" s="29" t="s">
        <v>13</v>
      </c>
      <c r="AY57" s="16" t="s">
        <v>835</v>
      </c>
      <c r="AZ57" s="67" t="s">
        <v>13</v>
      </c>
      <c r="BA57" s="97">
        <v>3.5425300000000002</v>
      </c>
      <c r="BB57" s="59"/>
      <c r="BC57" s="59"/>
      <c r="BD57" s="29">
        <v>405.20619999999997</v>
      </c>
      <c r="BE57" s="29" t="s">
        <v>239</v>
      </c>
      <c r="BF57" s="29">
        <f t="shared" si="17"/>
        <v>365.09980000000002</v>
      </c>
      <c r="BG57" s="29">
        <f t="shared" si="17"/>
        <v>447.36540000000002</v>
      </c>
      <c r="BH57" s="29" t="s">
        <v>542</v>
      </c>
      <c r="BI57" s="23" t="s">
        <v>419</v>
      </c>
      <c r="BJ57" s="29">
        <v>365.09980000000002</v>
      </c>
      <c r="BK57" s="29">
        <v>447.36540000000002</v>
      </c>
      <c r="BL57" s="29" t="s">
        <v>834</v>
      </c>
      <c r="BM57" s="25" t="s">
        <v>13</v>
      </c>
      <c r="BO57" s="44"/>
      <c r="CA57" s="25" t="s">
        <v>13</v>
      </c>
      <c r="CC57" s="25" t="s">
        <v>13</v>
      </c>
    </row>
    <row r="58" spans="1:81">
      <c r="A58" s="9" t="s">
        <v>9</v>
      </c>
      <c r="B58" s="38" t="s">
        <v>106</v>
      </c>
      <c r="C58" s="68">
        <f t="shared" si="25"/>
        <v>242.05</v>
      </c>
      <c r="D58" s="68">
        <v>247.1</v>
      </c>
      <c r="E58" s="68">
        <v>237</v>
      </c>
      <c r="F58" s="23">
        <f t="shared" si="9"/>
        <v>244</v>
      </c>
      <c r="G58" s="23" t="s">
        <v>389</v>
      </c>
      <c r="H58" s="23">
        <f t="shared" si="10"/>
        <v>122</v>
      </c>
      <c r="I58" s="23">
        <f t="shared" si="11"/>
        <v>488</v>
      </c>
      <c r="J58" s="23" t="s">
        <v>480</v>
      </c>
      <c r="K58" s="23" t="s">
        <v>400</v>
      </c>
      <c r="L58" s="28">
        <v>610</v>
      </c>
      <c r="M58" s="28">
        <v>300</v>
      </c>
      <c r="N58" s="26">
        <v>900</v>
      </c>
      <c r="O58" s="26">
        <v>5000</v>
      </c>
      <c r="P58" s="22">
        <v>2000</v>
      </c>
      <c r="Q58" s="22"/>
      <c r="R58" s="26" t="s">
        <v>13</v>
      </c>
      <c r="S58" s="6" t="s">
        <v>265</v>
      </c>
      <c r="T58" s="44"/>
      <c r="U58" s="70">
        <v>1.2187999999999999</v>
      </c>
      <c r="W58" s="76"/>
      <c r="X58" s="30">
        <v>317.3399349352336</v>
      </c>
      <c r="Y58" s="26" t="s">
        <v>389</v>
      </c>
      <c r="Z58" s="26">
        <f t="shared" si="22"/>
        <v>277.75826767554582</v>
      </c>
      <c r="AA58" s="26">
        <f t="shared" si="22"/>
        <v>408.8520902550033</v>
      </c>
      <c r="AB58" s="77" t="s">
        <v>428</v>
      </c>
      <c r="AC58" s="77" t="s">
        <v>400</v>
      </c>
      <c r="AD58" s="77">
        <v>277.75826767554582</v>
      </c>
      <c r="AE58" s="77">
        <v>408.8520902550033</v>
      </c>
      <c r="AF58" s="26" t="s">
        <v>395</v>
      </c>
      <c r="AG58" s="25" t="s">
        <v>13</v>
      </c>
      <c r="AH58" s="6" t="s">
        <v>16</v>
      </c>
      <c r="AI58" s="44" t="s">
        <v>192</v>
      </c>
      <c r="AJ58" s="62">
        <f t="shared" si="26"/>
        <v>313.5</v>
      </c>
      <c r="AK58" s="62">
        <v>319</v>
      </c>
      <c r="AL58" s="62">
        <v>308</v>
      </c>
      <c r="AM58" s="26">
        <f t="shared" si="29"/>
        <v>348</v>
      </c>
      <c r="AN58" s="26" t="s">
        <v>389</v>
      </c>
      <c r="AO58" s="66">
        <f t="shared" si="27"/>
        <v>243.6</v>
      </c>
      <c r="AP58" s="100">
        <f t="shared" si="28"/>
        <v>574.19999999999993</v>
      </c>
      <c r="AQ58" s="29" t="s">
        <v>512</v>
      </c>
      <c r="AR58" s="23" t="s">
        <v>424</v>
      </c>
      <c r="AS58" s="23">
        <v>348</v>
      </c>
      <c r="AT58" s="29">
        <v>316</v>
      </c>
      <c r="AU58" s="29">
        <v>380</v>
      </c>
      <c r="AV58" s="23" t="s">
        <v>236</v>
      </c>
      <c r="AW58" s="29" t="s">
        <v>740</v>
      </c>
      <c r="AX58" s="29" t="s">
        <v>13</v>
      </c>
      <c r="AY58" s="16" t="s">
        <v>835</v>
      </c>
      <c r="AZ58" s="67" t="s">
        <v>13</v>
      </c>
      <c r="BA58" s="97">
        <v>3.59077</v>
      </c>
      <c r="BB58" s="59"/>
      <c r="BC58" s="59"/>
      <c r="BD58" s="29">
        <v>386.36600000000004</v>
      </c>
      <c r="BE58" s="29" t="s">
        <v>239</v>
      </c>
      <c r="BF58" s="29">
        <f t="shared" si="17"/>
        <v>349.29660000000001</v>
      </c>
      <c r="BG58" s="29">
        <f t="shared" si="17"/>
        <v>424.69259999999997</v>
      </c>
      <c r="BH58" s="29" t="s">
        <v>542</v>
      </c>
      <c r="BI58" s="23" t="s">
        <v>419</v>
      </c>
      <c r="BJ58" s="29">
        <v>349.29660000000001</v>
      </c>
      <c r="BK58" s="29">
        <v>424.69259999999997</v>
      </c>
      <c r="BL58" s="29" t="s">
        <v>834</v>
      </c>
      <c r="BM58" s="25" t="s">
        <v>13</v>
      </c>
      <c r="BO58" s="44"/>
      <c r="CA58" s="25" t="s">
        <v>13</v>
      </c>
      <c r="CC58" s="25" t="s">
        <v>13</v>
      </c>
    </row>
    <row r="59" spans="1:81">
      <c r="A59" s="9" t="s">
        <v>9</v>
      </c>
      <c r="B59" s="38" t="s">
        <v>108</v>
      </c>
      <c r="C59" s="68">
        <f t="shared" si="25"/>
        <v>259.39999999999998</v>
      </c>
      <c r="D59" s="68">
        <v>259.8</v>
      </c>
      <c r="E59" s="68">
        <v>259</v>
      </c>
      <c r="F59" s="23">
        <f t="shared" si="9"/>
        <v>400</v>
      </c>
      <c r="G59" s="23" t="s">
        <v>389</v>
      </c>
      <c r="H59" s="23">
        <f t="shared" si="10"/>
        <v>200</v>
      </c>
      <c r="I59" s="23">
        <f t="shared" si="11"/>
        <v>800</v>
      </c>
      <c r="J59" s="23" t="s">
        <v>480</v>
      </c>
      <c r="K59" s="23" t="s">
        <v>400</v>
      </c>
      <c r="L59" s="28">
        <v>1000</v>
      </c>
      <c r="M59" s="28">
        <v>600</v>
      </c>
      <c r="N59" s="26">
        <v>1500</v>
      </c>
      <c r="O59" s="26">
        <v>5000</v>
      </c>
      <c r="P59" s="22">
        <v>2000</v>
      </c>
      <c r="Q59" s="22"/>
      <c r="R59" s="26" t="s">
        <v>13</v>
      </c>
      <c r="S59" s="6" t="s">
        <v>265</v>
      </c>
      <c r="T59" s="44"/>
      <c r="U59" s="70">
        <v>1.2322</v>
      </c>
      <c r="W59" s="76"/>
      <c r="X59" s="30">
        <v>322.3243459449867</v>
      </c>
      <c r="Y59" s="26" t="s">
        <v>389</v>
      </c>
      <c r="Z59" s="26">
        <f t="shared" si="22"/>
        <v>277.67026683784979</v>
      </c>
      <c r="AA59" s="26">
        <f t="shared" si="22"/>
        <v>421.63488059528441</v>
      </c>
      <c r="AB59" s="77" t="s">
        <v>428</v>
      </c>
      <c r="AC59" s="77" t="s">
        <v>400</v>
      </c>
      <c r="AD59" s="77">
        <v>277.67026683784979</v>
      </c>
      <c r="AE59" s="77">
        <v>421.63488059528441</v>
      </c>
      <c r="AF59" s="26" t="s">
        <v>395</v>
      </c>
      <c r="AG59" s="25" t="s">
        <v>13</v>
      </c>
      <c r="AH59" s="6" t="s">
        <v>16</v>
      </c>
      <c r="AI59" s="44" t="s">
        <v>192</v>
      </c>
      <c r="AJ59" s="62">
        <f t="shared" si="26"/>
        <v>313.5</v>
      </c>
      <c r="AK59" s="62">
        <v>319</v>
      </c>
      <c r="AL59" s="62">
        <v>308</v>
      </c>
      <c r="AM59" s="26">
        <f t="shared" si="29"/>
        <v>351</v>
      </c>
      <c r="AN59" s="26" t="s">
        <v>389</v>
      </c>
      <c r="AO59" s="66">
        <f t="shared" si="27"/>
        <v>245.7</v>
      </c>
      <c r="AP59" s="100">
        <f t="shared" si="28"/>
        <v>579.15</v>
      </c>
      <c r="AQ59" s="29" t="s">
        <v>512</v>
      </c>
      <c r="AR59" s="23" t="s">
        <v>424</v>
      </c>
      <c r="AS59" s="23">
        <v>351</v>
      </c>
      <c r="AT59" s="29">
        <v>319</v>
      </c>
      <c r="AU59" s="29">
        <v>383</v>
      </c>
      <c r="AV59" s="23" t="s">
        <v>236</v>
      </c>
      <c r="AW59" s="29" t="s">
        <v>740</v>
      </c>
      <c r="AX59" s="29" t="s">
        <v>13</v>
      </c>
      <c r="AY59" s="16" t="s">
        <v>835</v>
      </c>
      <c r="AZ59" s="67" t="s">
        <v>13</v>
      </c>
      <c r="BA59" s="97">
        <v>3.7160600000000001</v>
      </c>
      <c r="BB59" s="59"/>
      <c r="BC59" s="59"/>
      <c r="BD59" s="29">
        <v>404.02869999999996</v>
      </c>
      <c r="BE59" s="29" t="s">
        <v>239</v>
      </c>
      <c r="BF59" s="29">
        <f t="shared" si="17"/>
        <v>365.24719999999996</v>
      </c>
      <c r="BG59" s="29">
        <f t="shared" si="17"/>
        <v>444.13200000000001</v>
      </c>
      <c r="BH59" s="29" t="s">
        <v>542</v>
      </c>
      <c r="BI59" s="23" t="s">
        <v>419</v>
      </c>
      <c r="BJ59" s="29">
        <v>365.24719999999996</v>
      </c>
      <c r="BK59" s="29">
        <v>444.13200000000001</v>
      </c>
      <c r="BL59" s="29" t="s">
        <v>834</v>
      </c>
      <c r="BM59" s="25" t="s">
        <v>13</v>
      </c>
      <c r="BO59" s="44"/>
      <c r="CA59" s="25" t="s">
        <v>13</v>
      </c>
      <c r="CC59" s="25" t="s">
        <v>13</v>
      </c>
    </row>
    <row r="60" spans="1:81">
      <c r="A60" s="9" t="s">
        <v>9</v>
      </c>
      <c r="B60" s="38" t="s">
        <v>109</v>
      </c>
      <c r="C60" s="68">
        <f t="shared" si="25"/>
        <v>290.45</v>
      </c>
      <c r="D60" s="53">
        <v>298.89999999999998</v>
      </c>
      <c r="E60" s="53">
        <v>282</v>
      </c>
      <c r="F60" s="23">
        <f t="shared" si="9"/>
        <v>0</v>
      </c>
      <c r="G60" s="23" t="s">
        <v>389</v>
      </c>
      <c r="H60" s="23">
        <f t="shared" si="10"/>
        <v>0</v>
      </c>
      <c r="I60" s="23">
        <f t="shared" si="11"/>
        <v>0</v>
      </c>
      <c r="J60" s="23" t="s">
        <v>480</v>
      </c>
      <c r="K60" s="23" t="s">
        <v>400</v>
      </c>
      <c r="L60" s="8">
        <v>0</v>
      </c>
      <c r="M60" s="8">
        <v>0</v>
      </c>
      <c r="N60" s="10">
        <v>300</v>
      </c>
      <c r="O60" s="26">
        <v>5000</v>
      </c>
      <c r="P60" s="22">
        <v>2000</v>
      </c>
      <c r="Q60" s="22"/>
      <c r="R60" s="26" t="s">
        <v>13</v>
      </c>
      <c r="S60" s="6" t="s">
        <v>265</v>
      </c>
      <c r="T60" s="44"/>
      <c r="U60" s="70">
        <v>1.25</v>
      </c>
      <c r="W60" s="76"/>
      <c r="X60" s="30">
        <v>291.09300901319125</v>
      </c>
      <c r="Y60" s="26" t="s">
        <v>389</v>
      </c>
      <c r="Z60" s="26">
        <f t="shared" si="22"/>
        <v>257.16954958956313</v>
      </c>
      <c r="AA60" s="26">
        <f t="shared" si="22"/>
        <v>371.66785591732031</v>
      </c>
      <c r="AB60" s="77" t="s">
        <v>428</v>
      </c>
      <c r="AC60" s="77" t="s">
        <v>400</v>
      </c>
      <c r="AD60" s="77">
        <v>257.16954958956313</v>
      </c>
      <c r="AE60" s="77">
        <v>371.66785591732031</v>
      </c>
      <c r="AF60" s="26" t="s">
        <v>395</v>
      </c>
      <c r="AG60" s="25" t="s">
        <v>13</v>
      </c>
      <c r="AH60" s="6" t="s">
        <v>16</v>
      </c>
      <c r="AI60" s="44" t="s">
        <v>192</v>
      </c>
      <c r="AJ60" s="62">
        <f t="shared" si="26"/>
        <v>313.5</v>
      </c>
      <c r="AK60" s="62">
        <v>319</v>
      </c>
      <c r="AL60" s="62">
        <v>308</v>
      </c>
      <c r="AM60" s="26">
        <f t="shared" si="29"/>
        <v>336</v>
      </c>
      <c r="AN60" s="26" t="s">
        <v>389</v>
      </c>
      <c r="AO60" s="66">
        <f t="shared" si="27"/>
        <v>235.2</v>
      </c>
      <c r="AP60" s="100">
        <f t="shared" si="28"/>
        <v>554.4</v>
      </c>
      <c r="AQ60" s="29" t="s">
        <v>512</v>
      </c>
      <c r="AR60" s="23" t="s">
        <v>424</v>
      </c>
      <c r="AS60" s="23">
        <v>336</v>
      </c>
      <c r="AT60" s="29">
        <v>305</v>
      </c>
      <c r="AU60" s="29">
        <v>367</v>
      </c>
      <c r="AV60" s="23" t="s">
        <v>236</v>
      </c>
      <c r="AW60" s="29" t="s">
        <v>740</v>
      </c>
      <c r="AX60" s="29" t="s">
        <v>13</v>
      </c>
      <c r="AY60" s="16" t="s">
        <v>835</v>
      </c>
      <c r="AZ60" s="67" t="s">
        <v>13</v>
      </c>
      <c r="BA60" s="97">
        <v>3.7921800000000001</v>
      </c>
      <c r="BB60" s="59"/>
      <c r="BC60" s="59"/>
      <c r="BD60" s="29">
        <v>368.68810000000002</v>
      </c>
      <c r="BE60" s="29" t="s">
        <v>239</v>
      </c>
      <c r="BF60" s="29">
        <f t="shared" si="17"/>
        <v>332.93540000000002</v>
      </c>
      <c r="BG60" s="29">
        <f t="shared" si="17"/>
        <v>406.16370000000001</v>
      </c>
      <c r="BH60" s="29" t="s">
        <v>542</v>
      </c>
      <c r="BI60" s="23" t="s">
        <v>419</v>
      </c>
      <c r="BJ60" s="29">
        <v>332.93540000000002</v>
      </c>
      <c r="BK60" s="29">
        <v>406.16370000000001</v>
      </c>
      <c r="BL60" s="29" t="s">
        <v>834</v>
      </c>
      <c r="BM60" s="25" t="s">
        <v>13</v>
      </c>
      <c r="BO60" s="44"/>
      <c r="CA60" s="25" t="s">
        <v>13</v>
      </c>
      <c r="CC60" s="25" t="s">
        <v>13</v>
      </c>
    </row>
    <row r="61" spans="1:81">
      <c r="A61" s="9" t="s">
        <v>9</v>
      </c>
      <c r="B61" s="37" t="s">
        <v>110</v>
      </c>
      <c r="C61" s="68">
        <f t="shared" si="25"/>
        <v>302.95</v>
      </c>
      <c r="D61" s="68">
        <v>307</v>
      </c>
      <c r="E61" s="68">
        <v>298.89999999999998</v>
      </c>
      <c r="F61" s="23">
        <f t="shared" si="9"/>
        <v>608</v>
      </c>
      <c r="G61" s="23" t="s">
        <v>389</v>
      </c>
      <c r="H61" s="23">
        <f t="shared" si="10"/>
        <v>304</v>
      </c>
      <c r="I61" s="23">
        <f t="shared" si="11"/>
        <v>1216</v>
      </c>
      <c r="J61" s="23" t="s">
        <v>480</v>
      </c>
      <c r="K61" s="23" t="s">
        <v>400</v>
      </c>
      <c r="L61" s="28">
        <v>1520</v>
      </c>
      <c r="M61" s="28">
        <v>900</v>
      </c>
      <c r="N61" s="26">
        <v>2100</v>
      </c>
      <c r="O61" s="26">
        <v>5000</v>
      </c>
      <c r="P61" s="22">
        <v>2000</v>
      </c>
      <c r="Q61" s="22"/>
      <c r="R61" s="26" t="s">
        <v>13</v>
      </c>
      <c r="S61" s="6" t="s">
        <v>265</v>
      </c>
      <c r="T61" s="44"/>
      <c r="U61" s="70">
        <v>1.272</v>
      </c>
      <c r="W61" s="76"/>
      <c r="X61" s="30">
        <v>308.77784954179145</v>
      </c>
      <c r="Y61" s="26" t="s">
        <v>389</v>
      </c>
      <c r="Z61" s="26">
        <f t="shared" si="22"/>
        <v>257.46461728174415</v>
      </c>
      <c r="AA61" s="26">
        <f t="shared" si="22"/>
        <v>416.44480192897186</v>
      </c>
      <c r="AB61" s="77" t="s">
        <v>428</v>
      </c>
      <c r="AC61" s="77" t="s">
        <v>400</v>
      </c>
      <c r="AD61" s="77">
        <v>257.46461728174415</v>
      </c>
      <c r="AE61" s="77">
        <v>416.44480192897186</v>
      </c>
      <c r="AF61" s="26" t="s">
        <v>395</v>
      </c>
      <c r="AG61" s="25" t="s">
        <v>13</v>
      </c>
      <c r="AH61" s="6" t="s">
        <v>16</v>
      </c>
      <c r="AI61" s="44" t="s">
        <v>192</v>
      </c>
      <c r="AJ61" s="62">
        <f t="shared" si="26"/>
        <v>313.5</v>
      </c>
      <c r="AK61" s="62">
        <v>319</v>
      </c>
      <c r="AL61" s="62">
        <v>308</v>
      </c>
      <c r="AM61" s="26">
        <f t="shared" si="29"/>
        <v>308</v>
      </c>
      <c r="AN61" s="26" t="s">
        <v>389</v>
      </c>
      <c r="AO61" s="66">
        <f t="shared" si="27"/>
        <v>215.6</v>
      </c>
      <c r="AP61" s="100">
        <f t="shared" si="28"/>
        <v>508.2</v>
      </c>
      <c r="AQ61" s="29" t="s">
        <v>512</v>
      </c>
      <c r="AR61" s="23" t="s">
        <v>424</v>
      </c>
      <c r="AS61" s="23">
        <v>308</v>
      </c>
      <c r="AT61" s="29">
        <v>277</v>
      </c>
      <c r="AU61" s="29">
        <v>339</v>
      </c>
      <c r="AV61" s="23" t="s">
        <v>236</v>
      </c>
      <c r="AW61" s="29" t="s">
        <v>740</v>
      </c>
      <c r="AX61" s="29" t="s">
        <v>13</v>
      </c>
      <c r="AY61" s="16" t="s">
        <v>835</v>
      </c>
      <c r="AZ61" s="67" t="s">
        <v>13</v>
      </c>
      <c r="BA61" s="97">
        <v>3.8701300000000001</v>
      </c>
      <c r="BB61" s="59"/>
      <c r="BC61" s="59"/>
      <c r="BD61" s="29">
        <v>471.82099999999997</v>
      </c>
      <c r="BE61" s="29" t="s">
        <v>239</v>
      </c>
      <c r="BF61" s="29">
        <f t="shared" si="17"/>
        <v>424.27369999999996</v>
      </c>
      <c r="BG61" s="29">
        <f t="shared" si="17"/>
        <v>520.64750000000004</v>
      </c>
      <c r="BH61" s="29" t="s">
        <v>542</v>
      </c>
      <c r="BI61" s="23" t="s">
        <v>419</v>
      </c>
      <c r="BJ61" s="29">
        <v>424.27369999999996</v>
      </c>
      <c r="BK61" s="29">
        <v>520.64750000000004</v>
      </c>
      <c r="BL61" s="29" t="s">
        <v>834</v>
      </c>
      <c r="BM61" s="25" t="s">
        <v>13</v>
      </c>
      <c r="BO61" s="44"/>
      <c r="CA61" s="25" t="s">
        <v>13</v>
      </c>
      <c r="CC61" s="25" t="s">
        <v>13</v>
      </c>
    </row>
    <row r="62" spans="1:81">
      <c r="A62" s="9" t="s">
        <v>9</v>
      </c>
      <c r="B62" s="38" t="s">
        <v>244</v>
      </c>
      <c r="C62" s="68">
        <f t="shared" si="25"/>
        <v>344.75</v>
      </c>
      <c r="D62" s="68">
        <v>347</v>
      </c>
      <c r="E62" s="68">
        <v>342.5</v>
      </c>
      <c r="F62" s="23">
        <f t="shared" si="9"/>
        <v>824</v>
      </c>
      <c r="G62" s="23" t="s">
        <v>389</v>
      </c>
      <c r="H62" s="23">
        <f t="shared" si="10"/>
        <v>412</v>
      </c>
      <c r="I62" s="23">
        <f t="shared" si="11"/>
        <v>1648</v>
      </c>
      <c r="J62" s="23" t="s">
        <v>480</v>
      </c>
      <c r="K62" s="23" t="s">
        <v>400</v>
      </c>
      <c r="L62" s="28">
        <v>2060</v>
      </c>
      <c r="M62" s="28">
        <v>1500</v>
      </c>
      <c r="N62" s="26">
        <v>2550</v>
      </c>
      <c r="O62" s="26">
        <v>5000</v>
      </c>
      <c r="P62" s="22">
        <v>2000</v>
      </c>
      <c r="Q62" s="22"/>
      <c r="R62" s="26" t="s">
        <v>13</v>
      </c>
      <c r="S62" s="6" t="s">
        <v>265</v>
      </c>
      <c r="T62" s="44"/>
      <c r="U62" s="70">
        <v>1.2846</v>
      </c>
      <c r="W62" s="76"/>
      <c r="X62" s="30">
        <v>298.36203544370949</v>
      </c>
      <c r="Y62" s="26" t="s">
        <v>389</v>
      </c>
      <c r="Z62" s="26">
        <f t="shared" si="22"/>
        <v>263.04546574081945</v>
      </c>
      <c r="AA62" s="26">
        <f t="shared" si="22"/>
        <v>381.71234124190084</v>
      </c>
      <c r="AB62" s="77" t="s">
        <v>428</v>
      </c>
      <c r="AC62" s="77" t="s">
        <v>400</v>
      </c>
      <c r="AD62" s="77">
        <v>263.04546574081945</v>
      </c>
      <c r="AE62" s="77">
        <v>381.71234124190084</v>
      </c>
      <c r="AF62" s="26" t="s">
        <v>395</v>
      </c>
      <c r="AG62" s="25" t="s">
        <v>13</v>
      </c>
      <c r="AH62" s="6" t="s">
        <v>16</v>
      </c>
      <c r="AI62" s="44" t="s">
        <v>192</v>
      </c>
      <c r="AJ62" s="62">
        <f t="shared" si="26"/>
        <v>313.5</v>
      </c>
      <c r="AK62" s="62">
        <v>319</v>
      </c>
      <c r="AL62" s="62">
        <v>308</v>
      </c>
      <c r="AM62" s="26">
        <f t="shared" si="29"/>
        <v>350</v>
      </c>
      <c r="AN62" s="26" t="s">
        <v>389</v>
      </c>
      <c r="AO62" s="66">
        <f t="shared" si="27"/>
        <v>244.99999999999997</v>
      </c>
      <c r="AP62" s="100">
        <f t="shared" si="28"/>
        <v>577.5</v>
      </c>
      <c r="AQ62" s="29" t="s">
        <v>512</v>
      </c>
      <c r="AR62" s="23" t="s">
        <v>424</v>
      </c>
      <c r="AS62" s="23">
        <v>350</v>
      </c>
      <c r="AT62" s="29">
        <v>318</v>
      </c>
      <c r="AU62" s="29">
        <v>382</v>
      </c>
      <c r="AV62" s="23" t="s">
        <v>236</v>
      </c>
      <c r="AW62" s="29" t="s">
        <v>740</v>
      </c>
      <c r="AX62" s="29" t="s">
        <v>13</v>
      </c>
      <c r="AY62" s="16" t="s">
        <v>835</v>
      </c>
      <c r="AZ62" s="67" t="s">
        <v>13</v>
      </c>
      <c r="BA62" s="97">
        <v>3.8701300000000001</v>
      </c>
      <c r="BB62" s="59"/>
      <c r="BC62" s="59"/>
      <c r="BD62" s="29">
        <v>452.50380000000001</v>
      </c>
      <c r="BE62" s="29" t="s">
        <v>239</v>
      </c>
      <c r="BF62" s="29">
        <f t="shared" si="17"/>
        <v>407.0523</v>
      </c>
      <c r="BG62" s="29">
        <f t="shared" si="17"/>
        <v>501.2946</v>
      </c>
      <c r="BH62" s="29" t="s">
        <v>542</v>
      </c>
      <c r="BI62" s="23" t="s">
        <v>419</v>
      </c>
      <c r="BJ62" s="29">
        <v>407.0523</v>
      </c>
      <c r="BK62" s="29">
        <v>501.2946</v>
      </c>
      <c r="BL62" s="29" t="s">
        <v>834</v>
      </c>
      <c r="BM62" s="25" t="s">
        <v>13</v>
      </c>
      <c r="BO62" s="44"/>
      <c r="CA62" s="25" t="s">
        <v>13</v>
      </c>
      <c r="CC62" s="25" t="s">
        <v>13</v>
      </c>
    </row>
    <row r="63" spans="1:81">
      <c r="A63" s="9" t="s">
        <v>9</v>
      </c>
      <c r="B63" s="38" t="s">
        <v>112</v>
      </c>
      <c r="C63" s="68">
        <f t="shared" si="25"/>
        <v>388</v>
      </c>
      <c r="D63" s="68">
        <v>393.3</v>
      </c>
      <c r="E63" s="68">
        <v>382.7</v>
      </c>
      <c r="F63" s="23">
        <f t="shared" si="9"/>
        <v>624</v>
      </c>
      <c r="G63" s="23" t="s">
        <v>389</v>
      </c>
      <c r="H63" s="23">
        <f t="shared" si="10"/>
        <v>312</v>
      </c>
      <c r="I63" s="23">
        <f t="shared" si="11"/>
        <v>1248</v>
      </c>
      <c r="J63" s="23" t="s">
        <v>480</v>
      </c>
      <c r="K63" s="23" t="s">
        <v>400</v>
      </c>
      <c r="L63" s="28">
        <v>1560</v>
      </c>
      <c r="M63" s="28">
        <v>960</v>
      </c>
      <c r="N63" s="26">
        <v>2160</v>
      </c>
      <c r="O63" s="26">
        <v>5000</v>
      </c>
      <c r="P63" s="22">
        <v>2000</v>
      </c>
      <c r="Q63" s="22"/>
      <c r="R63" s="26" t="s">
        <v>13</v>
      </c>
      <c r="S63" s="6" t="s">
        <v>265</v>
      </c>
      <c r="T63" s="44"/>
      <c r="U63" s="70">
        <v>1.3512</v>
      </c>
      <c r="W63" s="76"/>
      <c r="X63" s="30">
        <v>325.94422143074667</v>
      </c>
      <c r="Y63" s="26" t="s">
        <v>389</v>
      </c>
      <c r="Z63" s="26">
        <f t="shared" si="22"/>
        <v>275.51167930541231</v>
      </c>
      <c r="AA63" s="26">
        <f t="shared" si="22"/>
        <v>434.10985175706821</v>
      </c>
      <c r="AB63" s="77" t="s">
        <v>428</v>
      </c>
      <c r="AC63" s="77" t="s">
        <v>400</v>
      </c>
      <c r="AD63" s="77">
        <v>275.51167930541231</v>
      </c>
      <c r="AE63" s="77">
        <v>434.10985175706821</v>
      </c>
      <c r="AF63" s="26" t="s">
        <v>395</v>
      </c>
      <c r="AG63" s="25" t="s">
        <v>13</v>
      </c>
      <c r="AH63" s="6" t="s">
        <v>16</v>
      </c>
      <c r="AI63" s="44" t="s">
        <v>192</v>
      </c>
      <c r="AJ63" s="62">
        <f t="shared" si="26"/>
        <v>313.5</v>
      </c>
      <c r="AK63" s="62">
        <v>319</v>
      </c>
      <c r="AL63" s="62">
        <v>308</v>
      </c>
      <c r="AM63" s="26">
        <f t="shared" si="29"/>
        <v>366</v>
      </c>
      <c r="AN63" s="26" t="s">
        <v>389</v>
      </c>
      <c r="AO63" s="66">
        <f t="shared" si="27"/>
        <v>256.2</v>
      </c>
      <c r="AP63" s="100">
        <f t="shared" si="28"/>
        <v>603.9</v>
      </c>
      <c r="AQ63" s="29" t="s">
        <v>512</v>
      </c>
      <c r="AR63" s="23" t="s">
        <v>424</v>
      </c>
      <c r="AS63" s="23">
        <v>366</v>
      </c>
      <c r="AT63" s="29">
        <v>333</v>
      </c>
      <c r="AU63" s="29">
        <v>399</v>
      </c>
      <c r="AV63" s="23" t="s">
        <v>236</v>
      </c>
      <c r="AW63" s="29" t="s">
        <v>740</v>
      </c>
      <c r="AX63" s="29" t="s">
        <v>13</v>
      </c>
      <c r="AY63" s="16" t="s">
        <v>835</v>
      </c>
      <c r="AZ63" s="67" t="s">
        <v>13</v>
      </c>
      <c r="BA63" s="97">
        <v>3.9610699999999999</v>
      </c>
      <c r="BB63" s="59"/>
      <c r="BC63" s="59"/>
      <c r="BD63" s="29">
        <v>393.71080000000001</v>
      </c>
      <c r="BE63" s="29" t="s">
        <v>239</v>
      </c>
      <c r="BF63" s="29">
        <f t="shared" si="17"/>
        <v>354.78339999999997</v>
      </c>
      <c r="BG63" s="29">
        <f t="shared" si="17"/>
        <v>434.49590000000001</v>
      </c>
      <c r="BH63" s="29" t="s">
        <v>542</v>
      </c>
      <c r="BI63" s="23" t="s">
        <v>419</v>
      </c>
      <c r="BJ63" s="29">
        <v>354.78339999999997</v>
      </c>
      <c r="BK63" s="29">
        <v>434.49590000000001</v>
      </c>
      <c r="BL63" s="29" t="s">
        <v>834</v>
      </c>
      <c r="BM63" s="25" t="s">
        <v>13</v>
      </c>
      <c r="BO63" s="44"/>
      <c r="CA63" s="25" t="s">
        <v>13</v>
      </c>
      <c r="CC63" s="25" t="s">
        <v>13</v>
      </c>
    </row>
    <row r="64" spans="1:81">
      <c r="A64" s="13" t="s">
        <v>6</v>
      </c>
      <c r="B64" s="39" t="s">
        <v>158</v>
      </c>
      <c r="C64" s="68">
        <f t="shared" si="25"/>
        <v>130.1</v>
      </c>
      <c r="D64" s="60">
        <v>133.9</v>
      </c>
      <c r="E64" s="60">
        <v>126.3</v>
      </c>
      <c r="F64" s="23">
        <f t="shared" si="9"/>
        <v>1150</v>
      </c>
      <c r="G64" s="23" t="s">
        <v>389</v>
      </c>
      <c r="H64" s="23">
        <f t="shared" si="10"/>
        <v>575</v>
      </c>
      <c r="I64" s="23">
        <f t="shared" si="11"/>
        <v>2300</v>
      </c>
      <c r="J64" s="23" t="s">
        <v>480</v>
      </c>
      <c r="K64" s="23" t="s">
        <v>400</v>
      </c>
      <c r="L64" s="34">
        <v>2300</v>
      </c>
      <c r="M64" s="34">
        <v>2200</v>
      </c>
      <c r="N64" s="34">
        <v>2400</v>
      </c>
      <c r="O64" s="34">
        <v>4000</v>
      </c>
      <c r="P64" s="23">
        <v>2000</v>
      </c>
      <c r="Q64" s="23"/>
      <c r="R64" s="26" t="s">
        <v>13</v>
      </c>
      <c r="S64" s="6" t="s">
        <v>265</v>
      </c>
      <c r="T64" s="44"/>
      <c r="U64" s="70">
        <v>1.6407</v>
      </c>
      <c r="W64" s="76"/>
      <c r="X64" s="30">
        <v>297.8576960040109</v>
      </c>
      <c r="Y64" s="26" t="s">
        <v>389</v>
      </c>
      <c r="Z64" s="26">
        <f t="shared" si="22"/>
        <v>254.97090905706878</v>
      </c>
      <c r="AA64" s="26">
        <f t="shared" si="22"/>
        <v>391.95739392919472</v>
      </c>
      <c r="AB64" s="77" t="s">
        <v>428</v>
      </c>
      <c r="AC64" s="77" t="s">
        <v>400</v>
      </c>
      <c r="AD64" s="77">
        <v>254.97090905706878</v>
      </c>
      <c r="AE64" s="77">
        <v>391.95739392919472</v>
      </c>
      <c r="AF64" s="26" t="s">
        <v>395</v>
      </c>
      <c r="AG64" s="25" t="s">
        <v>13</v>
      </c>
      <c r="AH64" s="6" t="s">
        <v>16</v>
      </c>
      <c r="AI64" s="44" t="s">
        <v>192</v>
      </c>
      <c r="AJ64" s="62">
        <f t="shared" si="26"/>
        <v>313.5</v>
      </c>
      <c r="AK64" s="62">
        <v>319</v>
      </c>
      <c r="AL64" s="62">
        <v>308</v>
      </c>
      <c r="AM64" s="26">
        <f t="shared" si="29"/>
        <v>368</v>
      </c>
      <c r="AN64" s="26" t="s">
        <v>389</v>
      </c>
      <c r="AO64" s="66">
        <f t="shared" si="27"/>
        <v>257.59999999999997</v>
      </c>
      <c r="AP64" s="100">
        <f t="shared" si="28"/>
        <v>607.19999999999993</v>
      </c>
      <c r="AQ64" s="29" t="s">
        <v>512</v>
      </c>
      <c r="AR64" s="23" t="s">
        <v>424</v>
      </c>
      <c r="AS64" s="23">
        <v>368</v>
      </c>
      <c r="AT64" s="29">
        <v>336</v>
      </c>
      <c r="AU64" s="29">
        <v>400</v>
      </c>
      <c r="AV64" s="23" t="s">
        <v>236</v>
      </c>
      <c r="AW64" s="29" t="s">
        <v>740</v>
      </c>
      <c r="AX64" s="29" t="s">
        <v>13</v>
      </c>
      <c r="AY64" s="16" t="s">
        <v>835</v>
      </c>
      <c r="AZ64" s="67" t="s">
        <v>13</v>
      </c>
      <c r="BA64" s="97">
        <v>4.0361799999999999</v>
      </c>
      <c r="BB64" s="59"/>
      <c r="BC64" s="59"/>
      <c r="BD64" s="29">
        <v>406.90170000000001</v>
      </c>
      <c r="BE64" s="29" t="s">
        <v>239</v>
      </c>
      <c r="BF64" s="29">
        <f t="shared" si="17"/>
        <v>367.17939999999999</v>
      </c>
      <c r="BG64" s="29">
        <f t="shared" si="17"/>
        <v>448.51</v>
      </c>
      <c r="BH64" s="29" t="s">
        <v>542</v>
      </c>
      <c r="BI64" s="23" t="s">
        <v>419</v>
      </c>
      <c r="BJ64" s="29">
        <v>367.17939999999999</v>
      </c>
      <c r="BK64" s="29">
        <v>448.51</v>
      </c>
      <c r="BL64" s="29" t="s">
        <v>834</v>
      </c>
      <c r="BM64" s="25" t="s">
        <v>13</v>
      </c>
      <c r="BO64" s="44"/>
      <c r="CA64" s="25" t="s">
        <v>13</v>
      </c>
      <c r="CC64" s="25" t="s">
        <v>13</v>
      </c>
    </row>
    <row r="65" spans="1:81">
      <c r="A65" s="4" t="s">
        <v>81</v>
      </c>
      <c r="B65" s="37" t="s">
        <v>126</v>
      </c>
      <c r="C65" s="68">
        <f t="shared" si="25"/>
        <v>134.25</v>
      </c>
      <c r="D65" s="68">
        <v>136.5</v>
      </c>
      <c r="E65" s="68">
        <v>132</v>
      </c>
      <c r="F65" s="23">
        <f t="shared" si="9"/>
        <v>653.33333333333337</v>
      </c>
      <c r="G65" s="23" t="s">
        <v>389</v>
      </c>
      <c r="H65" s="23">
        <f t="shared" si="10"/>
        <v>326.66666666666669</v>
      </c>
      <c r="I65" s="23">
        <f t="shared" si="11"/>
        <v>1306.6666666666667</v>
      </c>
      <c r="J65" s="23" t="s">
        <v>480</v>
      </c>
      <c r="K65" s="23" t="s">
        <v>400</v>
      </c>
      <c r="L65" s="28">
        <v>2450</v>
      </c>
      <c r="M65" s="28">
        <v>1700</v>
      </c>
      <c r="N65" s="28">
        <v>3200</v>
      </c>
      <c r="O65" s="28">
        <v>7500</v>
      </c>
      <c r="P65" s="22">
        <v>2000</v>
      </c>
      <c r="Q65" s="22"/>
      <c r="R65" s="26" t="s">
        <v>13</v>
      </c>
      <c r="S65" s="6" t="s">
        <v>265</v>
      </c>
      <c r="T65" s="44"/>
      <c r="U65" s="70">
        <v>1.7295</v>
      </c>
      <c r="W65" s="76"/>
      <c r="X65" s="30">
        <v>312.12452776363517</v>
      </c>
      <c r="Y65" s="26" t="s">
        <v>389</v>
      </c>
      <c r="Z65" s="26">
        <f t="shared" si="22"/>
        <v>271.01815867860364</v>
      </c>
      <c r="AA65" s="26">
        <f t="shared" si="22"/>
        <v>405.20806875405617</v>
      </c>
      <c r="AB65" s="77" t="s">
        <v>428</v>
      </c>
      <c r="AC65" s="77" t="s">
        <v>400</v>
      </c>
      <c r="AD65" s="77">
        <v>271.01815867860364</v>
      </c>
      <c r="AE65" s="77">
        <v>405.20806875405617</v>
      </c>
      <c r="AF65" s="26" t="s">
        <v>395</v>
      </c>
      <c r="AG65" s="25" t="s">
        <v>13</v>
      </c>
      <c r="AH65" s="6" t="s">
        <v>16</v>
      </c>
      <c r="AI65" s="44" t="s">
        <v>192</v>
      </c>
      <c r="AJ65" s="62">
        <f t="shared" si="26"/>
        <v>313.5</v>
      </c>
      <c r="AK65" s="62">
        <v>319</v>
      </c>
      <c r="AL65" s="62">
        <v>308</v>
      </c>
      <c r="AM65" s="26">
        <f t="shared" si="29"/>
        <v>358</v>
      </c>
      <c r="AN65" s="26" t="s">
        <v>389</v>
      </c>
      <c r="AO65" s="66">
        <f t="shared" si="27"/>
        <v>250.6</v>
      </c>
      <c r="AP65" s="100">
        <f t="shared" si="28"/>
        <v>590.69999999999993</v>
      </c>
      <c r="AQ65" s="29" t="s">
        <v>512</v>
      </c>
      <c r="AR65" s="23" t="s">
        <v>424</v>
      </c>
      <c r="AS65" s="23">
        <v>358</v>
      </c>
      <c r="AT65" s="29">
        <v>326</v>
      </c>
      <c r="AU65" s="29">
        <v>390</v>
      </c>
      <c r="AV65" s="23" t="s">
        <v>236</v>
      </c>
      <c r="AW65" s="29" t="s">
        <v>740</v>
      </c>
      <c r="AX65" s="29" t="s">
        <v>13</v>
      </c>
      <c r="AY65" s="16" t="s">
        <v>835</v>
      </c>
      <c r="AZ65" s="67" t="s">
        <v>13</v>
      </c>
      <c r="BA65" s="97">
        <v>4.1171300000000004</v>
      </c>
      <c r="BB65" s="59"/>
      <c r="BC65" s="59"/>
      <c r="BD65" s="29">
        <v>444.77159999999998</v>
      </c>
      <c r="BE65" s="29" t="s">
        <v>239</v>
      </c>
      <c r="BF65" s="29">
        <f t="shared" si="17"/>
        <v>399.62119999999999</v>
      </c>
      <c r="BG65" s="29">
        <f t="shared" si="17"/>
        <v>491.11149999999998</v>
      </c>
      <c r="BH65" s="29" t="s">
        <v>542</v>
      </c>
      <c r="BI65" s="23" t="s">
        <v>419</v>
      </c>
      <c r="BJ65" s="29">
        <v>399.62119999999999</v>
      </c>
      <c r="BK65" s="29">
        <v>491.11149999999998</v>
      </c>
      <c r="BL65" s="29" t="s">
        <v>834</v>
      </c>
      <c r="BM65" s="25" t="s">
        <v>13</v>
      </c>
      <c r="BO65" s="44"/>
      <c r="CA65" s="25" t="s">
        <v>13</v>
      </c>
      <c r="CC65" s="25" t="s">
        <v>13</v>
      </c>
    </row>
    <row r="66" spans="1:81">
      <c r="A66" s="4" t="s">
        <v>27</v>
      </c>
      <c r="B66" s="37" t="s">
        <v>122</v>
      </c>
      <c r="C66" s="68">
        <f t="shared" si="25"/>
        <v>365.54999999999995</v>
      </c>
      <c r="D66" s="68">
        <v>372.2</v>
      </c>
      <c r="E66" s="68">
        <v>358.9</v>
      </c>
      <c r="F66" s="23">
        <f t="shared" si="9"/>
        <v>1140</v>
      </c>
      <c r="G66" s="23" t="s">
        <v>389</v>
      </c>
      <c r="H66" s="23">
        <f t="shared" si="10"/>
        <v>570</v>
      </c>
      <c r="I66" s="23">
        <f t="shared" si="11"/>
        <v>2280</v>
      </c>
      <c r="J66" s="23" t="s">
        <v>480</v>
      </c>
      <c r="K66" s="23" t="s">
        <v>400</v>
      </c>
      <c r="L66" s="28">
        <v>2850</v>
      </c>
      <c r="M66" s="28">
        <v>2100</v>
      </c>
      <c r="N66" s="26">
        <v>3600</v>
      </c>
      <c r="O66" s="26">
        <v>5000</v>
      </c>
      <c r="P66" s="22">
        <v>2000</v>
      </c>
      <c r="Q66" s="26" t="s">
        <v>324</v>
      </c>
      <c r="R66" s="26" t="s">
        <v>13</v>
      </c>
      <c r="S66" s="6" t="s">
        <v>265</v>
      </c>
      <c r="T66" s="44"/>
      <c r="U66" s="70">
        <v>1.9650000000000001</v>
      </c>
      <c r="W66" s="76"/>
      <c r="X66" s="30">
        <v>309.05308788347708</v>
      </c>
      <c r="Y66" s="26" t="s">
        <v>389</v>
      </c>
      <c r="Z66" s="26">
        <f t="shared" si="22"/>
        <v>263.39371099817419</v>
      </c>
      <c r="AA66" s="26">
        <f t="shared" si="22"/>
        <v>408.36146393528043</v>
      </c>
      <c r="AB66" s="77" t="s">
        <v>428</v>
      </c>
      <c r="AC66" s="77" t="s">
        <v>400</v>
      </c>
      <c r="AD66" s="77">
        <v>263.39371099817419</v>
      </c>
      <c r="AE66" s="77">
        <v>408.36146393528043</v>
      </c>
      <c r="AF66" s="26" t="s">
        <v>395</v>
      </c>
      <c r="AG66" s="25" t="s">
        <v>13</v>
      </c>
      <c r="AH66" s="6" t="s">
        <v>16</v>
      </c>
      <c r="AI66" s="44" t="s">
        <v>192</v>
      </c>
      <c r="AJ66" s="62">
        <f t="shared" si="26"/>
        <v>313.5</v>
      </c>
      <c r="AK66" s="62">
        <v>319</v>
      </c>
      <c r="AL66" s="62">
        <v>308</v>
      </c>
      <c r="AM66" s="26">
        <f t="shared" si="29"/>
        <v>303</v>
      </c>
      <c r="AN66" s="26" t="s">
        <v>389</v>
      </c>
      <c r="AO66" s="66">
        <f t="shared" si="27"/>
        <v>212.1</v>
      </c>
      <c r="AP66" s="100">
        <f t="shared" si="28"/>
        <v>499.95</v>
      </c>
      <c r="AQ66" s="29" t="s">
        <v>512</v>
      </c>
      <c r="AR66" s="23" t="s">
        <v>424</v>
      </c>
      <c r="AS66" s="23">
        <v>303</v>
      </c>
      <c r="AT66" s="29">
        <v>272</v>
      </c>
      <c r="AU66" s="29">
        <v>334</v>
      </c>
      <c r="AV66" s="23" t="s">
        <v>236</v>
      </c>
      <c r="AW66" s="29" t="s">
        <v>740</v>
      </c>
      <c r="AX66" s="29" t="s">
        <v>13</v>
      </c>
      <c r="AY66" s="16" t="s">
        <v>835</v>
      </c>
      <c r="AZ66" s="67" t="s">
        <v>13</v>
      </c>
      <c r="BA66" s="97">
        <v>4.1874900000000004</v>
      </c>
      <c r="BB66" s="59"/>
      <c r="BC66" s="59"/>
      <c r="BD66" s="29">
        <v>360.3954</v>
      </c>
      <c r="BE66" s="29" t="s">
        <v>239</v>
      </c>
      <c r="BF66" s="29">
        <f t="shared" si="17"/>
        <v>325.25080000000003</v>
      </c>
      <c r="BG66" s="29">
        <f t="shared" si="17"/>
        <v>395.49250000000001</v>
      </c>
      <c r="BH66" s="29" t="s">
        <v>542</v>
      </c>
      <c r="BI66" s="23" t="s">
        <v>419</v>
      </c>
      <c r="BJ66" s="29">
        <v>325.25080000000003</v>
      </c>
      <c r="BK66" s="29">
        <v>395.49250000000001</v>
      </c>
      <c r="BL66" s="29" t="s">
        <v>834</v>
      </c>
      <c r="BM66" s="25" t="s">
        <v>13</v>
      </c>
      <c r="BO66" s="44"/>
      <c r="CA66" s="25" t="s">
        <v>13</v>
      </c>
      <c r="CC66" s="25" t="s">
        <v>13</v>
      </c>
    </row>
    <row r="67" spans="1:81">
      <c r="A67" s="4" t="s">
        <v>27</v>
      </c>
      <c r="B67" s="37" t="s">
        <v>122</v>
      </c>
      <c r="C67" s="68">
        <f t="shared" si="25"/>
        <v>365.54999999999995</v>
      </c>
      <c r="D67" s="68">
        <v>372.2</v>
      </c>
      <c r="E67" s="68">
        <v>358.9</v>
      </c>
      <c r="F67" s="23">
        <f t="shared" si="9"/>
        <v>1260</v>
      </c>
      <c r="G67" s="23" t="s">
        <v>389</v>
      </c>
      <c r="H67" s="23">
        <f t="shared" si="10"/>
        <v>630</v>
      </c>
      <c r="I67" s="23">
        <f t="shared" si="11"/>
        <v>2520</v>
      </c>
      <c r="J67" s="23" t="s">
        <v>480</v>
      </c>
      <c r="K67" s="23" t="s">
        <v>400</v>
      </c>
      <c r="L67" s="28">
        <v>3150</v>
      </c>
      <c r="M67" s="28">
        <v>2400</v>
      </c>
      <c r="N67" s="26">
        <v>3900</v>
      </c>
      <c r="O67" s="26">
        <v>5000</v>
      </c>
      <c r="P67" s="22">
        <v>2000</v>
      </c>
      <c r="Q67" s="26" t="s">
        <v>324</v>
      </c>
      <c r="R67" s="26" t="s">
        <v>13</v>
      </c>
      <c r="S67" s="6" t="s">
        <v>265</v>
      </c>
      <c r="T67" s="44"/>
      <c r="U67" s="70">
        <v>2.0926</v>
      </c>
      <c r="W67" s="76"/>
      <c r="X67" s="30">
        <v>328.63895804321317</v>
      </c>
      <c r="Y67" s="26" t="s">
        <v>389</v>
      </c>
      <c r="Z67" s="26">
        <f t="shared" si="22"/>
        <v>274.60207033849736</v>
      </c>
      <c r="AA67" s="26">
        <f t="shared" si="22"/>
        <v>442.46339304598291</v>
      </c>
      <c r="AB67" s="77" t="s">
        <v>428</v>
      </c>
      <c r="AC67" s="77" t="s">
        <v>400</v>
      </c>
      <c r="AD67" s="77">
        <v>274.60207033849736</v>
      </c>
      <c r="AE67" s="77">
        <v>442.46339304598291</v>
      </c>
      <c r="AF67" s="26" t="s">
        <v>395</v>
      </c>
      <c r="AG67" s="25" t="s">
        <v>13</v>
      </c>
      <c r="AH67" s="6" t="s">
        <v>16</v>
      </c>
      <c r="AI67" s="44" t="s">
        <v>192</v>
      </c>
      <c r="AJ67" s="62">
        <f t="shared" si="26"/>
        <v>313.5</v>
      </c>
      <c r="AK67" s="62">
        <v>319</v>
      </c>
      <c r="AL67" s="62">
        <v>308</v>
      </c>
      <c r="AM67" s="26">
        <f t="shared" si="29"/>
        <v>367</v>
      </c>
      <c r="AN67" s="26" t="s">
        <v>389</v>
      </c>
      <c r="AO67" s="66">
        <f t="shared" si="27"/>
        <v>256.89999999999998</v>
      </c>
      <c r="AP67" s="100">
        <f t="shared" si="28"/>
        <v>605.54999999999995</v>
      </c>
      <c r="AQ67" s="29" t="s">
        <v>512</v>
      </c>
      <c r="AR67" s="23" t="s">
        <v>424</v>
      </c>
      <c r="AS67" s="23">
        <v>367</v>
      </c>
      <c r="AT67" s="29">
        <v>333</v>
      </c>
      <c r="AU67" s="29">
        <v>401</v>
      </c>
      <c r="AV67" s="23" t="s">
        <v>236</v>
      </c>
      <c r="AW67" s="29" t="s">
        <v>740</v>
      </c>
      <c r="AX67" s="29" t="s">
        <v>13</v>
      </c>
      <c r="AY67" s="16" t="s">
        <v>835</v>
      </c>
      <c r="AZ67" s="67" t="s">
        <v>13</v>
      </c>
      <c r="BA67" s="97">
        <v>4.1874900000000004</v>
      </c>
      <c r="BB67" s="59"/>
      <c r="BC67" s="59"/>
      <c r="BD67" s="29">
        <v>657.9357</v>
      </c>
      <c r="BE67" s="29" t="s">
        <v>239</v>
      </c>
      <c r="BF67" s="29">
        <f t="shared" si="17"/>
        <v>591.04250000000002</v>
      </c>
      <c r="BG67" s="29">
        <f t="shared" si="17"/>
        <v>732.7247000000001</v>
      </c>
      <c r="BH67" s="29" t="s">
        <v>542</v>
      </c>
      <c r="BI67" s="23" t="s">
        <v>419</v>
      </c>
      <c r="BJ67" s="29">
        <v>591.04250000000002</v>
      </c>
      <c r="BK67" s="29">
        <v>732.7247000000001</v>
      </c>
      <c r="BL67" s="29" t="s">
        <v>834</v>
      </c>
      <c r="BM67" s="25" t="s">
        <v>13</v>
      </c>
      <c r="BO67" s="44"/>
      <c r="CA67" s="25" t="s">
        <v>13</v>
      </c>
      <c r="CC67" s="25" t="s">
        <v>13</v>
      </c>
    </row>
    <row r="68" spans="1:81">
      <c r="A68" s="4" t="s">
        <v>27</v>
      </c>
      <c r="B68" s="37" t="s">
        <v>128</v>
      </c>
      <c r="C68" s="68">
        <f t="shared" si="25"/>
        <v>402.55</v>
      </c>
      <c r="D68" s="68">
        <v>407.6</v>
      </c>
      <c r="E68" s="68">
        <v>397.5</v>
      </c>
      <c r="F68" s="23">
        <f t="shared" si="9"/>
        <v>1320</v>
      </c>
      <c r="G68" s="23" t="s">
        <v>389</v>
      </c>
      <c r="H68" s="23">
        <f t="shared" si="10"/>
        <v>660</v>
      </c>
      <c r="I68" s="23">
        <f t="shared" si="11"/>
        <v>2640</v>
      </c>
      <c r="J68" s="23" t="s">
        <v>480</v>
      </c>
      <c r="K68" s="23" t="s">
        <v>400</v>
      </c>
      <c r="L68" s="28">
        <v>3300</v>
      </c>
      <c r="M68" s="28">
        <v>2400</v>
      </c>
      <c r="N68" s="28">
        <v>4200</v>
      </c>
      <c r="O68" s="28">
        <v>5000</v>
      </c>
      <c r="P68" s="22">
        <v>2000</v>
      </c>
      <c r="Q68" s="26" t="s">
        <v>324</v>
      </c>
      <c r="R68" s="26" t="s">
        <v>13</v>
      </c>
      <c r="S68" s="6" t="s">
        <v>265</v>
      </c>
      <c r="T68" s="44"/>
      <c r="U68" s="70">
        <v>2.1915</v>
      </c>
      <c r="W68" s="76"/>
      <c r="X68" s="30">
        <v>330.57643399365156</v>
      </c>
      <c r="Y68" s="26" t="s">
        <v>389</v>
      </c>
      <c r="Z68" s="26">
        <f t="shared" ref="Z68:AA99" si="30">AD68</f>
        <v>279.00430740342074</v>
      </c>
      <c r="AA68" s="26">
        <f t="shared" si="30"/>
        <v>440.89601172605717</v>
      </c>
      <c r="AB68" s="77" t="s">
        <v>428</v>
      </c>
      <c r="AC68" s="77" t="s">
        <v>400</v>
      </c>
      <c r="AD68" s="77">
        <v>279.00430740342074</v>
      </c>
      <c r="AE68" s="77">
        <v>440.89601172605717</v>
      </c>
      <c r="AF68" s="26" t="s">
        <v>396</v>
      </c>
      <c r="AG68" s="25" t="s">
        <v>13</v>
      </c>
      <c r="AH68" s="6" t="s">
        <v>16</v>
      </c>
      <c r="AI68" s="44" t="s">
        <v>192</v>
      </c>
      <c r="AJ68" s="62">
        <f t="shared" si="26"/>
        <v>313.5</v>
      </c>
      <c r="AK68" s="62">
        <v>319</v>
      </c>
      <c r="AL68" s="62">
        <v>308</v>
      </c>
      <c r="AM68" s="26">
        <f t="shared" si="29"/>
        <v>350</v>
      </c>
      <c r="AN68" s="26" t="s">
        <v>389</v>
      </c>
      <c r="AO68" s="66">
        <f t="shared" si="27"/>
        <v>244.99999999999997</v>
      </c>
      <c r="AP68" s="100">
        <f t="shared" si="28"/>
        <v>577.5</v>
      </c>
      <c r="AQ68" s="29" t="s">
        <v>512</v>
      </c>
      <c r="AR68" s="23" t="s">
        <v>424</v>
      </c>
      <c r="AS68" s="23">
        <v>350</v>
      </c>
      <c r="AT68" s="29">
        <v>316</v>
      </c>
      <c r="AU68" s="29">
        <v>384</v>
      </c>
      <c r="AV68" s="23" t="s">
        <v>236</v>
      </c>
      <c r="AW68" s="29" t="s">
        <v>740</v>
      </c>
      <c r="AX68" s="29" t="s">
        <v>13</v>
      </c>
      <c r="AY68" s="16" t="s">
        <v>835</v>
      </c>
      <c r="AZ68" s="67" t="s">
        <v>13</v>
      </c>
      <c r="BA68" s="97">
        <v>4.5803000000000003</v>
      </c>
      <c r="BB68" s="59"/>
      <c r="BC68" s="59"/>
      <c r="BD68" s="29">
        <v>470.98080000000004</v>
      </c>
      <c r="BE68" s="29" t="s">
        <v>239</v>
      </c>
      <c r="BF68" s="29">
        <f t="shared" si="17"/>
        <v>424.92719999999997</v>
      </c>
      <c r="BG68" s="29">
        <f t="shared" si="17"/>
        <v>520.73810000000003</v>
      </c>
      <c r="BH68" s="29" t="s">
        <v>542</v>
      </c>
      <c r="BI68" s="23" t="s">
        <v>419</v>
      </c>
      <c r="BJ68" s="29">
        <v>424.92719999999997</v>
      </c>
      <c r="BK68" s="29">
        <v>520.73810000000003</v>
      </c>
      <c r="BL68" s="29" t="s">
        <v>834</v>
      </c>
      <c r="BM68" s="25" t="s">
        <v>13</v>
      </c>
      <c r="BO68" s="44"/>
      <c r="CA68" s="25" t="s">
        <v>13</v>
      </c>
      <c r="CC68" s="25" t="s">
        <v>13</v>
      </c>
    </row>
    <row r="69" spans="1:81">
      <c r="A69" s="4" t="s">
        <v>27</v>
      </c>
      <c r="B69" s="37" t="s">
        <v>131</v>
      </c>
      <c r="C69" s="68">
        <f t="shared" si="25"/>
        <v>421.1</v>
      </c>
      <c r="D69" s="68">
        <v>423</v>
      </c>
      <c r="E69" s="68">
        <v>419.2</v>
      </c>
      <c r="F69" s="23">
        <f t="shared" ref="F69:F132" si="31">L69*$P69/$O69</f>
        <v>1440</v>
      </c>
      <c r="G69" s="23" t="s">
        <v>389</v>
      </c>
      <c r="H69" s="23">
        <f t="shared" ref="H69:H132" si="32">F69*0.5</f>
        <v>720</v>
      </c>
      <c r="I69" s="23">
        <f t="shared" ref="I69:I132" si="33">F69*2</f>
        <v>2880</v>
      </c>
      <c r="J69" s="23" t="s">
        <v>480</v>
      </c>
      <c r="K69" s="23" t="s">
        <v>400</v>
      </c>
      <c r="L69" s="28">
        <v>3600</v>
      </c>
      <c r="M69" s="28">
        <v>2700</v>
      </c>
      <c r="N69" s="26">
        <v>4500</v>
      </c>
      <c r="O69" s="26">
        <v>5000</v>
      </c>
      <c r="P69" s="22">
        <v>2000</v>
      </c>
      <c r="Q69" s="26" t="s">
        <v>324</v>
      </c>
      <c r="R69" s="26" t="s">
        <v>13</v>
      </c>
      <c r="S69" s="6" t="s">
        <v>265</v>
      </c>
      <c r="T69" s="44"/>
      <c r="U69" s="70">
        <v>2.2968000000000002</v>
      </c>
      <c r="W69" s="76"/>
      <c r="X69" s="30">
        <v>337.39391325819116</v>
      </c>
      <c r="Y69" s="26" t="s">
        <v>389</v>
      </c>
      <c r="Z69" s="26">
        <f t="shared" si="30"/>
        <v>285.06986745984779</v>
      </c>
      <c r="AA69" s="26">
        <f t="shared" si="30"/>
        <v>449.58244613670774</v>
      </c>
      <c r="AB69" s="77" t="s">
        <v>428</v>
      </c>
      <c r="AC69" s="77" t="s">
        <v>400</v>
      </c>
      <c r="AD69" s="77">
        <v>285.06986745984779</v>
      </c>
      <c r="AE69" s="77">
        <v>449.58244613670774</v>
      </c>
      <c r="AF69" s="26" t="s">
        <v>395</v>
      </c>
      <c r="AG69" s="25" t="s">
        <v>13</v>
      </c>
      <c r="AH69" s="6" t="s">
        <v>16</v>
      </c>
      <c r="AI69" s="44" t="s">
        <v>192</v>
      </c>
      <c r="AJ69" s="62">
        <f t="shared" si="26"/>
        <v>313.5</v>
      </c>
      <c r="AK69" s="62">
        <v>319</v>
      </c>
      <c r="AL69" s="62">
        <v>308</v>
      </c>
      <c r="AM69" s="26">
        <f t="shared" si="29"/>
        <v>401</v>
      </c>
      <c r="AN69" s="26" t="s">
        <v>389</v>
      </c>
      <c r="AO69" s="66">
        <f t="shared" si="27"/>
        <v>280.7</v>
      </c>
      <c r="AP69" s="100">
        <f t="shared" si="28"/>
        <v>661.65</v>
      </c>
      <c r="AQ69" s="29" t="s">
        <v>512</v>
      </c>
      <c r="AR69" s="23" t="s">
        <v>424</v>
      </c>
      <c r="AS69" s="23">
        <v>401</v>
      </c>
      <c r="AT69" s="29">
        <v>367</v>
      </c>
      <c r="AU69" s="29">
        <v>435</v>
      </c>
      <c r="AV69" s="23" t="s">
        <v>236</v>
      </c>
      <c r="AW69" s="29" t="s">
        <v>740</v>
      </c>
      <c r="AX69" s="29" t="s">
        <v>13</v>
      </c>
      <c r="AY69" s="16" t="s">
        <v>835</v>
      </c>
      <c r="AZ69" s="67" t="s">
        <v>13</v>
      </c>
      <c r="BA69" s="97">
        <v>4.5803000000000003</v>
      </c>
      <c r="BB69" s="59"/>
      <c r="BC69" s="59"/>
      <c r="BD69" s="29">
        <v>455.75349999999997</v>
      </c>
      <c r="BE69" s="29" t="s">
        <v>239</v>
      </c>
      <c r="BF69" s="29">
        <f t="shared" si="17"/>
        <v>409.77750000000003</v>
      </c>
      <c r="BG69" s="29">
        <f t="shared" si="17"/>
        <v>503.31040000000002</v>
      </c>
      <c r="BH69" s="29" t="s">
        <v>542</v>
      </c>
      <c r="BI69" s="23" t="s">
        <v>419</v>
      </c>
      <c r="BJ69" s="29">
        <v>409.77750000000003</v>
      </c>
      <c r="BK69" s="29">
        <v>503.31040000000002</v>
      </c>
      <c r="BL69" s="29" t="s">
        <v>834</v>
      </c>
      <c r="BM69" s="25" t="s">
        <v>13</v>
      </c>
      <c r="BO69" s="44"/>
      <c r="CA69" s="25" t="s">
        <v>13</v>
      </c>
      <c r="CC69" s="25" t="s">
        <v>13</v>
      </c>
    </row>
    <row r="70" spans="1:81">
      <c r="A70" s="14" t="s">
        <v>37</v>
      </c>
      <c r="B70" s="39" t="s">
        <v>130</v>
      </c>
      <c r="C70" s="68">
        <f t="shared" si="25"/>
        <v>377.45</v>
      </c>
      <c r="D70" s="60">
        <v>382.7</v>
      </c>
      <c r="E70" s="60">
        <v>372.2</v>
      </c>
      <c r="F70" s="23">
        <f t="shared" si="31"/>
        <v>1120</v>
      </c>
      <c r="G70" s="23" t="s">
        <v>389</v>
      </c>
      <c r="H70" s="23">
        <f t="shared" si="32"/>
        <v>560</v>
      </c>
      <c r="I70" s="23">
        <f t="shared" si="33"/>
        <v>2240</v>
      </c>
      <c r="J70" s="23" t="s">
        <v>480</v>
      </c>
      <c r="K70" s="23" t="s">
        <v>400</v>
      </c>
      <c r="L70" s="34">
        <v>2800</v>
      </c>
      <c r="M70" s="34">
        <v>2300</v>
      </c>
      <c r="N70" s="29">
        <v>3200</v>
      </c>
      <c r="O70" s="29">
        <v>5000</v>
      </c>
      <c r="P70" s="22">
        <v>2000</v>
      </c>
      <c r="Q70" s="22"/>
      <c r="R70" s="26" t="s">
        <v>13</v>
      </c>
      <c r="S70" s="6" t="s">
        <v>265</v>
      </c>
      <c r="T70" s="44"/>
      <c r="U70" s="70">
        <v>2.4020000000000001</v>
      </c>
      <c r="W70" s="76"/>
      <c r="X70" s="30">
        <v>343.62569303184068</v>
      </c>
      <c r="Y70" s="26" t="s">
        <v>389</v>
      </c>
      <c r="Z70" s="26">
        <f t="shared" si="30"/>
        <v>288.00230129135764</v>
      </c>
      <c r="AA70" s="26">
        <f t="shared" si="30"/>
        <v>461.39752406893899</v>
      </c>
      <c r="AB70" s="77" t="s">
        <v>428</v>
      </c>
      <c r="AC70" s="77" t="s">
        <v>400</v>
      </c>
      <c r="AD70" s="77">
        <v>288.00230129135764</v>
      </c>
      <c r="AE70" s="77">
        <v>461.39752406893899</v>
      </c>
      <c r="AF70" s="26" t="s">
        <v>396</v>
      </c>
      <c r="AG70" s="25" t="s">
        <v>13</v>
      </c>
      <c r="AH70" s="6" t="s">
        <v>16</v>
      </c>
      <c r="AI70" s="44" t="s">
        <v>192</v>
      </c>
      <c r="AJ70" s="62">
        <f t="shared" si="26"/>
        <v>313.5</v>
      </c>
      <c r="AK70" s="62">
        <v>319</v>
      </c>
      <c r="AL70" s="62">
        <v>308</v>
      </c>
      <c r="AM70" s="26">
        <f t="shared" si="29"/>
        <v>287</v>
      </c>
      <c r="AN70" s="26" t="s">
        <v>389</v>
      </c>
      <c r="AO70" s="66">
        <f t="shared" si="27"/>
        <v>200.89999999999998</v>
      </c>
      <c r="AP70" s="100">
        <f t="shared" si="28"/>
        <v>473.54999999999995</v>
      </c>
      <c r="AQ70" s="29" t="s">
        <v>512</v>
      </c>
      <c r="AR70" s="23" t="s">
        <v>424</v>
      </c>
      <c r="AS70" s="23">
        <v>287</v>
      </c>
      <c r="AT70" s="29">
        <v>254</v>
      </c>
      <c r="AU70" s="29">
        <v>320</v>
      </c>
      <c r="AV70" s="23" t="s">
        <v>236</v>
      </c>
      <c r="AW70" s="29" t="s">
        <v>740</v>
      </c>
      <c r="AX70" s="29" t="s">
        <v>13</v>
      </c>
      <c r="AY70" s="16" t="s">
        <v>836</v>
      </c>
      <c r="AZ70" s="67" t="s">
        <v>13</v>
      </c>
      <c r="BA70" s="97">
        <v>11.69787</v>
      </c>
      <c r="BB70" s="59"/>
      <c r="BC70" s="59"/>
      <c r="BD70" s="29">
        <v>410.05869999999999</v>
      </c>
      <c r="BE70" s="29" t="s">
        <v>239</v>
      </c>
      <c r="BF70" s="29">
        <f t="shared" ref="BF70:BG85" si="34">BJ70</f>
        <v>364.66040000000004</v>
      </c>
      <c r="BG70" s="29">
        <f t="shared" si="34"/>
        <v>457.96210000000002</v>
      </c>
      <c r="BH70" s="29" t="s">
        <v>542</v>
      </c>
      <c r="BI70" s="23" t="s">
        <v>419</v>
      </c>
      <c r="BJ70" s="29">
        <v>364.66040000000004</v>
      </c>
      <c r="BK70" s="29">
        <v>457.96210000000002</v>
      </c>
      <c r="BL70" s="29" t="s">
        <v>837</v>
      </c>
      <c r="BM70" s="25" t="s">
        <v>13</v>
      </c>
      <c r="BO70" s="44"/>
      <c r="CA70" s="25" t="s">
        <v>13</v>
      </c>
      <c r="CC70" s="25" t="s">
        <v>13</v>
      </c>
    </row>
    <row r="71" spans="1:81">
      <c r="A71" s="14" t="s">
        <v>37</v>
      </c>
      <c r="B71" s="39" t="s">
        <v>129</v>
      </c>
      <c r="C71" s="68">
        <f t="shared" si="25"/>
        <v>385.2</v>
      </c>
      <c r="D71" s="60">
        <v>387.7</v>
      </c>
      <c r="E71" s="60">
        <v>382.7</v>
      </c>
      <c r="F71" s="23">
        <f t="shared" si="31"/>
        <v>1560</v>
      </c>
      <c r="G71" s="23" t="s">
        <v>389</v>
      </c>
      <c r="H71" s="23">
        <f t="shared" si="32"/>
        <v>780</v>
      </c>
      <c r="I71" s="23">
        <f t="shared" si="33"/>
        <v>3120</v>
      </c>
      <c r="J71" s="23" t="s">
        <v>480</v>
      </c>
      <c r="K71" s="23" t="s">
        <v>400</v>
      </c>
      <c r="L71" s="34">
        <v>3900</v>
      </c>
      <c r="M71" s="34">
        <v>2900</v>
      </c>
      <c r="N71" s="29">
        <v>5200</v>
      </c>
      <c r="O71" s="29">
        <v>5000</v>
      </c>
      <c r="P71" s="22">
        <v>2000</v>
      </c>
      <c r="Q71" s="22"/>
      <c r="R71" s="26" t="s">
        <v>13</v>
      </c>
      <c r="S71" s="6" t="s">
        <v>265</v>
      </c>
      <c r="T71" s="44"/>
      <c r="U71" s="70">
        <v>2.5870000000000002</v>
      </c>
      <c r="W71" s="76"/>
      <c r="X71" s="30">
        <v>333.45190550532078</v>
      </c>
      <c r="Y71" s="26" t="s">
        <v>389</v>
      </c>
      <c r="Z71" s="26">
        <f t="shared" si="30"/>
        <v>280.45045078353616</v>
      </c>
      <c r="AA71" s="26">
        <f t="shared" si="30"/>
        <v>446.22705921978206</v>
      </c>
      <c r="AB71" s="77" t="s">
        <v>428</v>
      </c>
      <c r="AC71" s="77" t="s">
        <v>400</v>
      </c>
      <c r="AD71" s="77">
        <v>280.45045078353616</v>
      </c>
      <c r="AE71" s="77">
        <v>446.22705921978206</v>
      </c>
      <c r="AF71" s="26" t="s">
        <v>396</v>
      </c>
      <c r="AG71" s="25" t="s">
        <v>13</v>
      </c>
      <c r="AH71" s="6" t="s">
        <v>16</v>
      </c>
      <c r="AI71" s="44" t="s">
        <v>192</v>
      </c>
      <c r="AJ71" s="62">
        <f t="shared" si="26"/>
        <v>313.5</v>
      </c>
      <c r="AK71" s="62">
        <v>319</v>
      </c>
      <c r="AL71" s="62">
        <v>308</v>
      </c>
      <c r="AM71" s="26">
        <f t="shared" si="29"/>
        <v>311</v>
      </c>
      <c r="AN71" s="26" t="s">
        <v>389</v>
      </c>
      <c r="AO71" s="66">
        <f t="shared" si="27"/>
        <v>217.7</v>
      </c>
      <c r="AP71" s="100">
        <f t="shared" si="28"/>
        <v>513.15</v>
      </c>
      <c r="AQ71" s="29" t="s">
        <v>512</v>
      </c>
      <c r="AR71" s="23" t="s">
        <v>424</v>
      </c>
      <c r="AS71" s="23">
        <v>311</v>
      </c>
      <c r="AT71" s="29">
        <v>278</v>
      </c>
      <c r="AU71" s="29">
        <v>344</v>
      </c>
      <c r="AV71" s="23" t="s">
        <v>236</v>
      </c>
      <c r="AW71" s="29" t="s">
        <v>740</v>
      </c>
      <c r="AX71" s="29" t="s">
        <v>13</v>
      </c>
      <c r="AY71" s="16" t="s">
        <v>836</v>
      </c>
      <c r="AZ71" s="67" t="s">
        <v>13</v>
      </c>
      <c r="BA71" s="97">
        <v>12.37458</v>
      </c>
      <c r="BB71" s="59"/>
      <c r="BC71" s="59"/>
      <c r="BD71" s="29">
        <v>318.13289999999995</v>
      </c>
      <c r="BE71" s="29" t="s">
        <v>239</v>
      </c>
      <c r="BF71" s="29">
        <f t="shared" si="34"/>
        <v>284.41160000000002</v>
      </c>
      <c r="BG71" s="29">
        <f t="shared" si="34"/>
        <v>353.8621</v>
      </c>
      <c r="BH71" s="29" t="s">
        <v>542</v>
      </c>
      <c r="BI71" s="23" t="s">
        <v>419</v>
      </c>
      <c r="BJ71" s="29">
        <v>284.41160000000002</v>
      </c>
      <c r="BK71" s="29">
        <v>353.8621</v>
      </c>
      <c r="BL71" s="29" t="s">
        <v>837</v>
      </c>
      <c r="BM71" s="25" t="s">
        <v>13</v>
      </c>
      <c r="BO71" s="44"/>
      <c r="CA71" s="25" t="s">
        <v>13</v>
      </c>
      <c r="CC71" s="25" t="s">
        <v>13</v>
      </c>
    </row>
    <row r="72" spans="1:81">
      <c r="A72" s="7" t="s">
        <v>447</v>
      </c>
      <c r="B72" s="25" t="s">
        <v>432</v>
      </c>
      <c r="C72" s="62">
        <f>53.4+Q72</f>
        <v>54.165999999999997</v>
      </c>
      <c r="D72" s="62">
        <f t="shared" ref="D72:D78" si="35">C72+0.3</f>
        <v>54.465999999999994</v>
      </c>
      <c r="E72" s="62">
        <f t="shared" ref="E72:E78" si="36">C72-0.3</f>
        <v>53.866</v>
      </c>
      <c r="F72" s="23">
        <f t="shared" si="31"/>
        <v>813.6</v>
      </c>
      <c r="G72" s="23" t="s">
        <v>389</v>
      </c>
      <c r="H72" s="23">
        <f t="shared" si="32"/>
        <v>406.8</v>
      </c>
      <c r="I72" s="23">
        <f t="shared" si="33"/>
        <v>1627.2</v>
      </c>
      <c r="J72" s="23" t="s">
        <v>480</v>
      </c>
      <c r="K72" s="23" t="s">
        <v>400</v>
      </c>
      <c r="L72" s="28">
        <v>2034</v>
      </c>
      <c r="M72" s="26">
        <v>1434</v>
      </c>
      <c r="N72" s="26">
        <v>2634</v>
      </c>
      <c r="O72" s="26">
        <v>5000</v>
      </c>
      <c r="P72" s="22">
        <v>2000</v>
      </c>
      <c r="Q72" s="85">
        <v>0.76600000000000001</v>
      </c>
      <c r="S72" s="6" t="s">
        <v>265</v>
      </c>
      <c r="T72" s="44"/>
      <c r="U72" s="70">
        <v>2.6043000000000003</v>
      </c>
      <c r="W72" s="76"/>
      <c r="X72" s="30">
        <v>305.06301810297037</v>
      </c>
      <c r="Y72" s="26" t="s">
        <v>389</v>
      </c>
      <c r="Z72" s="26">
        <f t="shared" si="30"/>
        <v>255.17705015959862</v>
      </c>
      <c r="AA72" s="26">
        <f t="shared" si="30"/>
        <v>410.20269702016742</v>
      </c>
      <c r="AB72" s="77" t="s">
        <v>428</v>
      </c>
      <c r="AC72" s="77" t="s">
        <v>400</v>
      </c>
      <c r="AD72" s="77">
        <v>255.17705015959862</v>
      </c>
      <c r="AE72" s="77">
        <v>410.20269702016742</v>
      </c>
      <c r="AF72" s="26" t="s">
        <v>395</v>
      </c>
      <c r="AG72" s="25" t="s">
        <v>13</v>
      </c>
      <c r="AH72" s="6" t="s">
        <v>16</v>
      </c>
      <c r="AI72" s="44" t="s">
        <v>192</v>
      </c>
      <c r="AJ72" s="62">
        <f t="shared" si="26"/>
        <v>313.5</v>
      </c>
      <c r="AK72" s="62">
        <v>319</v>
      </c>
      <c r="AL72" s="62">
        <v>308</v>
      </c>
      <c r="AM72" s="26">
        <f t="shared" si="29"/>
        <v>284</v>
      </c>
      <c r="AN72" s="26" t="s">
        <v>389</v>
      </c>
      <c r="AO72" s="66">
        <f t="shared" si="27"/>
        <v>198.79999999999998</v>
      </c>
      <c r="AP72" s="100">
        <f t="shared" si="28"/>
        <v>468.59999999999997</v>
      </c>
      <c r="AQ72" s="29" t="s">
        <v>512</v>
      </c>
      <c r="AR72" s="23" t="s">
        <v>424</v>
      </c>
      <c r="AS72" s="23">
        <v>284</v>
      </c>
      <c r="AT72" s="29">
        <v>253</v>
      </c>
      <c r="AU72" s="29">
        <v>315</v>
      </c>
      <c r="AV72" s="23" t="s">
        <v>236</v>
      </c>
      <c r="AW72" s="29" t="s">
        <v>740</v>
      </c>
      <c r="AX72" s="29" t="s">
        <v>13</v>
      </c>
      <c r="AY72" s="16" t="s">
        <v>836</v>
      </c>
      <c r="AZ72" s="67" t="s">
        <v>13</v>
      </c>
      <c r="BA72" s="97">
        <v>12.774050000000001</v>
      </c>
      <c r="BB72" s="59"/>
      <c r="BC72" s="59"/>
      <c r="BD72" s="29">
        <v>365.0804</v>
      </c>
      <c r="BE72" s="29" t="s">
        <v>239</v>
      </c>
      <c r="BF72" s="29">
        <f t="shared" si="34"/>
        <v>326.10290000000003</v>
      </c>
      <c r="BG72" s="29">
        <f t="shared" si="34"/>
        <v>406.84829999999999</v>
      </c>
      <c r="BH72" s="29" t="s">
        <v>542</v>
      </c>
      <c r="BI72" s="23" t="s">
        <v>419</v>
      </c>
      <c r="BJ72" s="29">
        <v>326.10290000000003</v>
      </c>
      <c r="BK72" s="29">
        <v>406.84829999999999</v>
      </c>
      <c r="BL72" s="29" t="s">
        <v>837</v>
      </c>
      <c r="BM72" s="25" t="s">
        <v>13</v>
      </c>
      <c r="BO72" s="44"/>
      <c r="CA72" s="25" t="s">
        <v>13</v>
      </c>
      <c r="CC72" s="25" t="s">
        <v>13</v>
      </c>
    </row>
    <row r="73" spans="1:81">
      <c r="A73" s="7" t="s">
        <v>447</v>
      </c>
      <c r="B73" s="25" t="s">
        <v>432</v>
      </c>
      <c r="C73" s="62">
        <f>54.09+Q72</f>
        <v>54.856000000000002</v>
      </c>
      <c r="D73" s="62">
        <f t="shared" si="35"/>
        <v>55.155999999999999</v>
      </c>
      <c r="E73" s="62">
        <f t="shared" si="36"/>
        <v>54.556000000000004</v>
      </c>
      <c r="F73" s="23">
        <f t="shared" si="31"/>
        <v>230.8</v>
      </c>
      <c r="G73" s="23" t="s">
        <v>389</v>
      </c>
      <c r="H73" s="23">
        <f t="shared" si="32"/>
        <v>115.4</v>
      </c>
      <c r="I73" s="23">
        <f t="shared" si="33"/>
        <v>461.6</v>
      </c>
      <c r="J73" s="23" t="s">
        <v>480</v>
      </c>
      <c r="K73" s="23" t="s">
        <v>400</v>
      </c>
      <c r="L73" s="28">
        <v>577</v>
      </c>
      <c r="M73" s="26">
        <v>177</v>
      </c>
      <c r="N73" s="26">
        <v>977</v>
      </c>
      <c r="O73" s="26">
        <v>5000</v>
      </c>
      <c r="P73" s="22">
        <v>2000</v>
      </c>
      <c r="Q73" s="22"/>
      <c r="R73" s="26" t="s">
        <v>13</v>
      </c>
      <c r="S73" s="6" t="s">
        <v>265</v>
      </c>
      <c r="T73" s="44"/>
      <c r="U73" s="70">
        <v>2.718</v>
      </c>
      <c r="W73" s="76"/>
      <c r="X73" s="30">
        <v>316.51165535199783</v>
      </c>
      <c r="Y73" s="26" t="s">
        <v>389</v>
      </c>
      <c r="Z73" s="26">
        <f t="shared" si="30"/>
        <v>265.74735705502354</v>
      </c>
      <c r="AA73" s="26">
        <f t="shared" si="30"/>
        <v>424.15486000999516</v>
      </c>
      <c r="AB73" s="77" t="s">
        <v>428</v>
      </c>
      <c r="AC73" s="77" t="s">
        <v>400</v>
      </c>
      <c r="AD73" s="77">
        <v>265.74735705502354</v>
      </c>
      <c r="AE73" s="77">
        <v>424.15486000999516</v>
      </c>
      <c r="AF73" s="26" t="s">
        <v>395</v>
      </c>
      <c r="AG73" s="25" t="s">
        <v>13</v>
      </c>
      <c r="AH73" s="6" t="s">
        <v>16</v>
      </c>
      <c r="AI73" s="44" t="s">
        <v>192</v>
      </c>
      <c r="AJ73" s="62">
        <f t="shared" si="26"/>
        <v>313.5</v>
      </c>
      <c r="AK73" s="62">
        <v>319</v>
      </c>
      <c r="AL73" s="62">
        <v>308</v>
      </c>
      <c r="AM73" s="26">
        <f t="shared" si="29"/>
        <v>325</v>
      </c>
      <c r="AN73" s="26" t="s">
        <v>389</v>
      </c>
      <c r="AO73" s="66">
        <f t="shared" si="27"/>
        <v>227.49999999999997</v>
      </c>
      <c r="AP73" s="100">
        <f t="shared" si="28"/>
        <v>536.25</v>
      </c>
      <c r="AQ73" s="29" t="s">
        <v>512</v>
      </c>
      <c r="AR73" s="23" t="s">
        <v>424</v>
      </c>
      <c r="AS73" s="23">
        <v>325</v>
      </c>
      <c r="AT73" s="29">
        <v>294</v>
      </c>
      <c r="AU73" s="29">
        <v>356</v>
      </c>
      <c r="AV73" s="23" t="s">
        <v>236</v>
      </c>
      <c r="AW73" s="29" t="s">
        <v>740</v>
      </c>
      <c r="AX73" s="29" t="s">
        <v>13</v>
      </c>
      <c r="AY73" s="16" t="s">
        <v>836</v>
      </c>
      <c r="AZ73" s="67" t="s">
        <v>13</v>
      </c>
      <c r="BA73" s="97">
        <v>13.22438</v>
      </c>
      <c r="BB73" s="59"/>
      <c r="BC73" s="59"/>
      <c r="BD73" s="29">
        <v>393.71659999999997</v>
      </c>
      <c r="BE73" s="29" t="s">
        <v>239</v>
      </c>
      <c r="BF73" s="29">
        <f t="shared" si="34"/>
        <v>352.35380000000004</v>
      </c>
      <c r="BG73" s="29">
        <f t="shared" si="34"/>
        <v>440.55690000000004</v>
      </c>
      <c r="BH73" s="29" t="s">
        <v>542</v>
      </c>
      <c r="BI73" s="23" t="s">
        <v>419</v>
      </c>
      <c r="BJ73" s="29">
        <v>352.35380000000004</v>
      </c>
      <c r="BK73" s="29">
        <v>440.55690000000004</v>
      </c>
      <c r="BL73" s="29" t="s">
        <v>837</v>
      </c>
      <c r="BM73" s="25" t="s">
        <v>13</v>
      </c>
      <c r="BO73" s="44"/>
      <c r="CA73" s="25" t="s">
        <v>13</v>
      </c>
      <c r="CC73" s="25" t="s">
        <v>13</v>
      </c>
    </row>
    <row r="74" spans="1:81">
      <c r="A74" s="7" t="s">
        <v>447</v>
      </c>
      <c r="B74" s="25" t="s">
        <v>433</v>
      </c>
      <c r="C74" s="62">
        <f>55.4+Q72</f>
        <v>56.165999999999997</v>
      </c>
      <c r="D74" s="62">
        <f t="shared" si="35"/>
        <v>56.465999999999994</v>
      </c>
      <c r="E74" s="62">
        <f t="shared" si="36"/>
        <v>55.866</v>
      </c>
      <c r="F74" s="23">
        <f t="shared" si="31"/>
        <v>460.8</v>
      </c>
      <c r="G74" s="23" t="s">
        <v>389</v>
      </c>
      <c r="H74" s="23">
        <f t="shared" si="32"/>
        <v>230.4</v>
      </c>
      <c r="I74" s="23">
        <f t="shared" si="33"/>
        <v>921.6</v>
      </c>
      <c r="J74" s="23" t="s">
        <v>480</v>
      </c>
      <c r="K74" s="23" t="s">
        <v>400</v>
      </c>
      <c r="L74" s="28">
        <v>1152</v>
      </c>
      <c r="M74" s="26">
        <v>652</v>
      </c>
      <c r="N74" s="26">
        <v>1652</v>
      </c>
      <c r="O74" s="26">
        <v>5000</v>
      </c>
      <c r="P74" s="22">
        <v>2000</v>
      </c>
      <c r="Q74" s="22"/>
      <c r="R74" s="26" t="s">
        <v>13</v>
      </c>
      <c r="S74" s="6" t="s">
        <v>265</v>
      </c>
      <c r="T74" s="44"/>
      <c r="U74" s="70">
        <v>2.94</v>
      </c>
      <c r="W74" s="76"/>
      <c r="X74" s="30">
        <v>307.31549200667848</v>
      </c>
      <c r="Y74" s="26" t="s">
        <v>389</v>
      </c>
      <c r="Z74" s="26">
        <f t="shared" si="30"/>
        <v>261.35974925398676</v>
      </c>
      <c r="AA74" s="26">
        <f t="shared" si="30"/>
        <v>406.86218572671839</v>
      </c>
      <c r="AB74" s="77" t="s">
        <v>428</v>
      </c>
      <c r="AC74" s="77" t="s">
        <v>400</v>
      </c>
      <c r="AD74" s="77">
        <v>261.35974925398676</v>
      </c>
      <c r="AE74" s="77">
        <v>406.86218572671839</v>
      </c>
      <c r="AF74" s="26" t="s">
        <v>395</v>
      </c>
      <c r="AG74" s="25" t="s">
        <v>13</v>
      </c>
      <c r="AH74" s="6" t="s">
        <v>16</v>
      </c>
      <c r="AI74" s="44" t="s">
        <v>193</v>
      </c>
      <c r="AJ74" s="62">
        <f t="shared" si="26"/>
        <v>324</v>
      </c>
      <c r="AK74" s="62">
        <v>329</v>
      </c>
      <c r="AL74" s="62">
        <v>319</v>
      </c>
      <c r="AM74" s="26">
        <f t="shared" si="29"/>
        <v>385</v>
      </c>
      <c r="AN74" s="26" t="s">
        <v>389</v>
      </c>
      <c r="AO74" s="66">
        <f t="shared" si="27"/>
        <v>269.5</v>
      </c>
      <c r="AP74" s="100">
        <f t="shared" si="28"/>
        <v>635.25</v>
      </c>
      <c r="AQ74" s="29" t="s">
        <v>512</v>
      </c>
      <c r="AR74" s="23" t="s">
        <v>424</v>
      </c>
      <c r="AS74" s="23">
        <v>385</v>
      </c>
      <c r="AT74" s="29">
        <v>351</v>
      </c>
      <c r="AU74" s="29">
        <v>419</v>
      </c>
      <c r="AV74" s="23" t="s">
        <v>236</v>
      </c>
      <c r="AW74" s="29" t="s">
        <v>740</v>
      </c>
      <c r="AX74" s="29" t="s">
        <v>13</v>
      </c>
      <c r="AY74" s="16" t="s">
        <v>836</v>
      </c>
      <c r="AZ74" s="67" t="s">
        <v>13</v>
      </c>
      <c r="BA74" s="97">
        <v>13.385</v>
      </c>
      <c r="BB74" s="59"/>
      <c r="BC74" s="59"/>
      <c r="BD74" s="29">
        <v>393.44100000000003</v>
      </c>
      <c r="BE74" s="29" t="s">
        <v>239</v>
      </c>
      <c r="BF74" s="29">
        <f t="shared" si="34"/>
        <v>350.94080000000002</v>
      </c>
      <c r="BG74" s="29">
        <f t="shared" si="34"/>
        <v>437.1388</v>
      </c>
      <c r="BH74" s="29" t="s">
        <v>542</v>
      </c>
      <c r="BI74" s="23" t="s">
        <v>419</v>
      </c>
      <c r="BJ74" s="29">
        <v>350.94080000000002</v>
      </c>
      <c r="BK74" s="29">
        <v>437.1388</v>
      </c>
      <c r="BL74" s="29" t="s">
        <v>837</v>
      </c>
      <c r="BM74" s="25" t="s">
        <v>13</v>
      </c>
      <c r="BO74" s="44"/>
      <c r="CA74" s="25" t="s">
        <v>13</v>
      </c>
      <c r="CC74" s="25" t="s">
        <v>13</v>
      </c>
    </row>
    <row r="75" spans="1:81">
      <c r="A75" s="7" t="s">
        <v>447</v>
      </c>
      <c r="B75" s="25" t="s">
        <v>433</v>
      </c>
      <c r="C75" s="62">
        <f>55.725+Q72</f>
        <v>56.491</v>
      </c>
      <c r="D75" s="62">
        <f t="shared" si="35"/>
        <v>56.790999999999997</v>
      </c>
      <c r="E75" s="62">
        <f t="shared" si="36"/>
        <v>56.191000000000003</v>
      </c>
      <c r="F75" s="23">
        <f t="shared" si="31"/>
        <v>486.8</v>
      </c>
      <c r="G75" s="23" t="s">
        <v>389</v>
      </c>
      <c r="H75" s="23">
        <f t="shared" si="32"/>
        <v>243.4</v>
      </c>
      <c r="I75" s="23">
        <f t="shared" si="33"/>
        <v>973.6</v>
      </c>
      <c r="J75" s="23" t="s">
        <v>480</v>
      </c>
      <c r="K75" s="23" t="s">
        <v>400</v>
      </c>
      <c r="L75" s="26">
        <v>1217</v>
      </c>
      <c r="M75" s="26">
        <v>727</v>
      </c>
      <c r="N75" s="26">
        <v>1717</v>
      </c>
      <c r="O75" s="26">
        <v>5000</v>
      </c>
      <c r="P75" s="22">
        <v>2000</v>
      </c>
      <c r="Q75" s="22"/>
      <c r="R75" s="26" t="s">
        <v>13</v>
      </c>
      <c r="S75" s="6" t="s">
        <v>265</v>
      </c>
      <c r="T75" s="44"/>
      <c r="U75" s="70">
        <v>3.0819999999999999</v>
      </c>
      <c r="W75" s="76"/>
      <c r="X75" s="30">
        <v>338.05241393484636</v>
      </c>
      <c r="Y75" s="26" t="s">
        <v>389</v>
      </c>
      <c r="Z75" s="26">
        <f t="shared" si="30"/>
        <v>289.80788826007733</v>
      </c>
      <c r="AA75" s="26">
        <f t="shared" si="30"/>
        <v>444.30346763590376</v>
      </c>
      <c r="AB75" s="77" t="s">
        <v>428</v>
      </c>
      <c r="AC75" s="77" t="s">
        <v>400</v>
      </c>
      <c r="AD75" s="77">
        <v>289.80788826007733</v>
      </c>
      <c r="AE75" s="77">
        <v>444.30346763590376</v>
      </c>
      <c r="AF75" s="26" t="s">
        <v>395</v>
      </c>
      <c r="AG75" s="25" t="s">
        <v>13</v>
      </c>
      <c r="AH75" s="6" t="s">
        <v>16</v>
      </c>
      <c r="AI75" s="44" t="s">
        <v>193</v>
      </c>
      <c r="AJ75" s="62">
        <f t="shared" si="26"/>
        <v>324</v>
      </c>
      <c r="AK75" s="62">
        <v>329</v>
      </c>
      <c r="AL75" s="62">
        <v>319</v>
      </c>
      <c r="AM75" s="26">
        <f t="shared" si="29"/>
        <v>392</v>
      </c>
      <c r="AN75" s="26" t="s">
        <v>389</v>
      </c>
      <c r="AO75" s="66">
        <f t="shared" si="27"/>
        <v>274.39999999999998</v>
      </c>
      <c r="AP75" s="100">
        <f t="shared" si="28"/>
        <v>646.79999999999995</v>
      </c>
      <c r="AQ75" s="29" t="s">
        <v>512</v>
      </c>
      <c r="AR75" s="23" t="s">
        <v>424</v>
      </c>
      <c r="AS75" s="23">
        <v>392</v>
      </c>
      <c r="AT75" s="29">
        <v>359</v>
      </c>
      <c r="AU75" s="29">
        <v>425</v>
      </c>
      <c r="AV75" s="23" t="s">
        <v>236</v>
      </c>
      <c r="AW75" s="29" t="s">
        <v>740</v>
      </c>
      <c r="AX75" s="29" t="s">
        <v>13</v>
      </c>
      <c r="AY75" s="16" t="s">
        <v>836</v>
      </c>
      <c r="AZ75" s="67" t="s">
        <v>13</v>
      </c>
      <c r="BA75" s="97">
        <v>13.535</v>
      </c>
      <c r="BB75" s="59"/>
      <c r="BC75" s="59"/>
      <c r="BD75" s="29">
        <v>387.31440000000003</v>
      </c>
      <c r="BE75" s="29" t="s">
        <v>239</v>
      </c>
      <c r="BF75" s="29">
        <f t="shared" si="34"/>
        <v>344.03480000000002</v>
      </c>
      <c r="BG75" s="29">
        <f t="shared" si="34"/>
        <v>431.93510000000003</v>
      </c>
      <c r="BH75" s="29" t="s">
        <v>542</v>
      </c>
      <c r="BI75" s="23" t="s">
        <v>419</v>
      </c>
      <c r="BJ75" s="29">
        <v>344.03480000000002</v>
      </c>
      <c r="BK75" s="29">
        <v>431.93510000000003</v>
      </c>
      <c r="BL75" s="29" t="s">
        <v>837</v>
      </c>
      <c r="BM75" s="25" t="s">
        <v>13</v>
      </c>
      <c r="BO75" s="44"/>
      <c r="CA75" s="25" t="s">
        <v>13</v>
      </c>
      <c r="CC75" s="25" t="s">
        <v>13</v>
      </c>
    </row>
    <row r="76" spans="1:81">
      <c r="A76" s="7" t="s">
        <v>447</v>
      </c>
      <c r="B76" s="25" t="s">
        <v>433</v>
      </c>
      <c r="C76" s="62">
        <f>55.943+Q72</f>
        <v>56.708999999999996</v>
      </c>
      <c r="D76" s="62">
        <f t="shared" si="35"/>
        <v>57.008999999999993</v>
      </c>
      <c r="E76" s="62">
        <f t="shared" si="36"/>
        <v>56.408999999999999</v>
      </c>
      <c r="F76" s="23">
        <f t="shared" si="31"/>
        <v>579.20000000000005</v>
      </c>
      <c r="G76" s="23" t="s">
        <v>389</v>
      </c>
      <c r="H76" s="23">
        <f t="shared" si="32"/>
        <v>289.60000000000002</v>
      </c>
      <c r="I76" s="23">
        <f t="shared" si="33"/>
        <v>1158.4000000000001</v>
      </c>
      <c r="J76" s="23" t="s">
        <v>480</v>
      </c>
      <c r="K76" s="23" t="s">
        <v>400</v>
      </c>
      <c r="L76" s="26">
        <v>1448</v>
      </c>
      <c r="M76" s="26">
        <v>948</v>
      </c>
      <c r="N76" s="26">
        <v>1948</v>
      </c>
      <c r="O76" s="26">
        <v>5000</v>
      </c>
      <c r="P76" s="22">
        <v>2000</v>
      </c>
      <c r="Q76" s="22"/>
      <c r="R76" s="26" t="s">
        <v>13</v>
      </c>
      <c r="S76" s="6" t="s">
        <v>265</v>
      </c>
      <c r="T76" s="44"/>
      <c r="U76" s="70">
        <v>3.1313</v>
      </c>
      <c r="W76" s="76"/>
      <c r="X76" s="30">
        <v>317.74730469243286</v>
      </c>
      <c r="Y76" s="26" t="s">
        <v>389</v>
      </c>
      <c r="Z76" s="26">
        <f t="shared" si="30"/>
        <v>265.32845178669163</v>
      </c>
      <c r="AA76" s="26">
        <f t="shared" si="30"/>
        <v>427.98943811200655</v>
      </c>
      <c r="AB76" s="77" t="s">
        <v>428</v>
      </c>
      <c r="AC76" s="77" t="s">
        <v>400</v>
      </c>
      <c r="AD76" s="77">
        <v>265.32845178669163</v>
      </c>
      <c r="AE76" s="77">
        <v>427.98943811200655</v>
      </c>
      <c r="AF76" s="26" t="s">
        <v>396</v>
      </c>
      <c r="AG76" s="25" t="s">
        <v>13</v>
      </c>
      <c r="AH76" s="6" t="s">
        <v>16</v>
      </c>
      <c r="AI76" s="44" t="s">
        <v>193</v>
      </c>
      <c r="AJ76" s="62">
        <f t="shared" si="26"/>
        <v>324</v>
      </c>
      <c r="AK76" s="62">
        <v>329</v>
      </c>
      <c r="AL76" s="62">
        <v>319</v>
      </c>
      <c r="AM76" s="26">
        <f t="shared" si="29"/>
        <v>359</v>
      </c>
      <c r="AN76" s="26" t="s">
        <v>389</v>
      </c>
      <c r="AO76" s="66">
        <f t="shared" si="27"/>
        <v>251.29999999999998</v>
      </c>
      <c r="AP76" s="100">
        <f t="shared" si="28"/>
        <v>592.35</v>
      </c>
      <c r="AQ76" s="29" t="s">
        <v>512</v>
      </c>
      <c r="AR76" s="23" t="s">
        <v>424</v>
      </c>
      <c r="AS76" s="23">
        <v>359</v>
      </c>
      <c r="AT76" s="29">
        <v>327</v>
      </c>
      <c r="AU76" s="29">
        <v>391</v>
      </c>
      <c r="AV76" s="23" t="s">
        <v>236</v>
      </c>
      <c r="AW76" s="29" t="s">
        <v>740</v>
      </c>
      <c r="AX76" s="29" t="s">
        <v>13</v>
      </c>
      <c r="AY76" s="16" t="s">
        <v>836</v>
      </c>
      <c r="AZ76" s="67" t="s">
        <v>13</v>
      </c>
      <c r="BA76" s="97">
        <v>13.61</v>
      </c>
      <c r="BB76" s="59"/>
      <c r="BC76" s="59"/>
      <c r="BD76" s="29">
        <v>411.01299999999998</v>
      </c>
      <c r="BE76" s="29" t="s">
        <v>239</v>
      </c>
      <c r="BF76" s="29">
        <f t="shared" si="34"/>
        <v>366.42219999999998</v>
      </c>
      <c r="BG76" s="29">
        <f t="shared" si="34"/>
        <v>459.4325</v>
      </c>
      <c r="BH76" s="29" t="s">
        <v>542</v>
      </c>
      <c r="BI76" s="23" t="s">
        <v>419</v>
      </c>
      <c r="BJ76" s="29">
        <v>366.42219999999998</v>
      </c>
      <c r="BK76" s="29">
        <v>459.4325</v>
      </c>
      <c r="BL76" s="29" t="s">
        <v>837</v>
      </c>
      <c r="BM76" s="25" t="s">
        <v>13</v>
      </c>
      <c r="BO76" s="44"/>
      <c r="CA76" s="25" t="s">
        <v>13</v>
      </c>
      <c r="CC76" s="25" t="s">
        <v>13</v>
      </c>
    </row>
    <row r="77" spans="1:81">
      <c r="A77" s="7" t="s">
        <v>447</v>
      </c>
      <c r="B77" s="25" t="s">
        <v>433</v>
      </c>
      <c r="C77" s="62">
        <f>56.543+Q72</f>
        <v>57.308999999999997</v>
      </c>
      <c r="D77" s="62">
        <f t="shared" si="35"/>
        <v>57.608999999999995</v>
      </c>
      <c r="E77" s="62">
        <f t="shared" si="36"/>
        <v>57.009</v>
      </c>
      <c r="F77" s="23">
        <f t="shared" si="31"/>
        <v>816.4</v>
      </c>
      <c r="G77" s="23" t="s">
        <v>389</v>
      </c>
      <c r="H77" s="23">
        <f t="shared" si="32"/>
        <v>408.2</v>
      </c>
      <c r="I77" s="23">
        <f t="shared" si="33"/>
        <v>1632.8</v>
      </c>
      <c r="J77" s="23" t="s">
        <v>480</v>
      </c>
      <c r="K77" s="23" t="s">
        <v>400</v>
      </c>
      <c r="L77" s="26">
        <v>2041</v>
      </c>
      <c r="M77" s="26">
        <v>1441</v>
      </c>
      <c r="N77" s="26">
        <v>2641</v>
      </c>
      <c r="O77" s="26">
        <v>5000</v>
      </c>
      <c r="P77" s="22">
        <v>2000</v>
      </c>
      <c r="Q77" s="22"/>
      <c r="R77" s="26" t="s">
        <v>13</v>
      </c>
      <c r="S77" s="6" t="s">
        <v>265</v>
      </c>
      <c r="T77" s="44"/>
      <c r="U77" s="70">
        <v>3.3210000000000002</v>
      </c>
      <c r="W77" s="76"/>
      <c r="X77" s="30">
        <v>335.87349300605774</v>
      </c>
      <c r="Y77" s="26" t="s">
        <v>389</v>
      </c>
      <c r="Z77" s="26">
        <f t="shared" si="30"/>
        <v>291.09683182172552</v>
      </c>
      <c r="AA77" s="26">
        <f t="shared" si="30"/>
        <v>436.86723445507261</v>
      </c>
      <c r="AB77" s="77" t="s">
        <v>428</v>
      </c>
      <c r="AC77" s="77" t="s">
        <v>400</v>
      </c>
      <c r="AD77" s="77">
        <v>291.09683182172552</v>
      </c>
      <c r="AE77" s="77">
        <v>436.86723445507261</v>
      </c>
      <c r="AF77" s="26" t="s">
        <v>396</v>
      </c>
      <c r="AG77" s="25" t="s">
        <v>13</v>
      </c>
      <c r="AH77" s="6" t="s">
        <v>26</v>
      </c>
      <c r="AI77" s="44" t="s">
        <v>162</v>
      </c>
      <c r="AJ77" s="62">
        <f t="shared" si="26"/>
        <v>168.39999999999998</v>
      </c>
      <c r="AK77" s="62">
        <v>175.6</v>
      </c>
      <c r="AL77" s="62">
        <v>161.19999999999999</v>
      </c>
      <c r="AM77" s="66">
        <f>AVERAGE(AO77:AP77)</f>
        <v>1210</v>
      </c>
      <c r="AN77" s="26" t="s">
        <v>389</v>
      </c>
      <c r="AO77" s="29">
        <f>AT77</f>
        <v>806.66666666666663</v>
      </c>
      <c r="AP77" s="29">
        <f>AU77</f>
        <v>1613.3333333333333</v>
      </c>
      <c r="AQ77" s="29" t="s">
        <v>426</v>
      </c>
      <c r="AR77" s="26" t="s">
        <v>422</v>
      </c>
      <c r="AS77" s="29"/>
      <c r="AT77" s="29">
        <f>12.1/4.5*1*300</f>
        <v>806.66666666666663</v>
      </c>
      <c r="AU77" s="29">
        <f>12.1/4.5*2*300</f>
        <v>1613.3333333333333</v>
      </c>
      <c r="AV77" s="23" t="s">
        <v>60</v>
      </c>
      <c r="AW77" s="23"/>
      <c r="AX77" s="29" t="s">
        <v>13</v>
      </c>
      <c r="AY77" s="16" t="s">
        <v>836</v>
      </c>
      <c r="AZ77" s="67" t="s">
        <v>13</v>
      </c>
      <c r="BA77" s="97">
        <v>13.76313</v>
      </c>
      <c r="BB77" s="59"/>
      <c r="BC77" s="59"/>
      <c r="BD77" s="29">
        <v>378.13069999999999</v>
      </c>
      <c r="BE77" s="29" t="s">
        <v>239</v>
      </c>
      <c r="BF77" s="29">
        <f t="shared" si="34"/>
        <v>337.8972</v>
      </c>
      <c r="BG77" s="29">
        <f t="shared" si="34"/>
        <v>421.46049999999997</v>
      </c>
      <c r="BH77" s="29" t="s">
        <v>542</v>
      </c>
      <c r="BI77" s="23" t="s">
        <v>419</v>
      </c>
      <c r="BJ77" s="29">
        <v>337.8972</v>
      </c>
      <c r="BK77" s="29">
        <v>421.46049999999997</v>
      </c>
      <c r="BL77" s="29" t="s">
        <v>837</v>
      </c>
      <c r="BM77" s="25" t="s">
        <v>13</v>
      </c>
      <c r="BO77" s="44"/>
      <c r="CA77" s="25" t="s">
        <v>13</v>
      </c>
      <c r="CC77" s="25" t="s">
        <v>13</v>
      </c>
    </row>
    <row r="78" spans="1:81">
      <c r="A78" s="7" t="s">
        <v>447</v>
      </c>
      <c r="B78" s="25" t="s">
        <v>433</v>
      </c>
      <c r="C78" s="62">
        <f>56.954+Q72</f>
        <v>57.72</v>
      </c>
      <c r="D78" s="62">
        <f t="shared" si="35"/>
        <v>58.019999999999996</v>
      </c>
      <c r="E78" s="62">
        <f t="shared" si="36"/>
        <v>57.42</v>
      </c>
      <c r="F78" s="23">
        <f t="shared" si="31"/>
        <v>474</v>
      </c>
      <c r="G78" s="23" t="s">
        <v>389</v>
      </c>
      <c r="H78" s="23">
        <f t="shared" si="32"/>
        <v>237</v>
      </c>
      <c r="I78" s="23">
        <f t="shared" si="33"/>
        <v>948</v>
      </c>
      <c r="J78" s="23" t="s">
        <v>480</v>
      </c>
      <c r="K78" s="23" t="s">
        <v>400</v>
      </c>
      <c r="L78" s="26">
        <v>1185</v>
      </c>
      <c r="M78" s="26">
        <v>685</v>
      </c>
      <c r="N78" s="26">
        <v>1685</v>
      </c>
      <c r="O78" s="26">
        <v>5000</v>
      </c>
      <c r="P78" s="22">
        <v>2000</v>
      </c>
      <c r="Q78" s="22"/>
      <c r="R78" s="26" t="s">
        <v>13</v>
      </c>
      <c r="S78" s="6" t="s">
        <v>265</v>
      </c>
      <c r="T78" s="44"/>
      <c r="U78" s="70">
        <v>3.3639999999999999</v>
      </c>
      <c r="W78" s="76"/>
      <c r="X78" s="30">
        <v>320.96523178462195</v>
      </c>
      <c r="Y78" s="26" t="s">
        <v>389</v>
      </c>
      <c r="Z78" s="26">
        <f t="shared" si="30"/>
        <v>278.18820391404176</v>
      </c>
      <c r="AA78" s="26">
        <f t="shared" si="30"/>
        <v>417.43690745368781</v>
      </c>
      <c r="AB78" s="77" t="s">
        <v>428</v>
      </c>
      <c r="AC78" s="77" t="s">
        <v>400</v>
      </c>
      <c r="AD78" s="77">
        <v>278.18820391404176</v>
      </c>
      <c r="AE78" s="77">
        <v>417.43690745368781</v>
      </c>
      <c r="AF78" s="26" t="s">
        <v>395</v>
      </c>
      <c r="AG78" s="25" t="s">
        <v>13</v>
      </c>
      <c r="AH78" s="6" t="s">
        <v>64</v>
      </c>
      <c r="AI78" s="44" t="s">
        <v>284</v>
      </c>
      <c r="AJ78" s="62">
        <f t="shared" si="26"/>
        <v>63.8</v>
      </c>
      <c r="AK78" s="62">
        <v>66</v>
      </c>
      <c r="AL78" s="62">
        <v>61.6</v>
      </c>
      <c r="AM78" s="26">
        <f t="shared" si="29"/>
        <v>366.85500000000002</v>
      </c>
      <c r="AN78" s="21" t="s">
        <v>239</v>
      </c>
      <c r="AO78" s="22">
        <f>AM78-0.7*(AM78-AT78)</f>
        <v>337.13720000000001</v>
      </c>
      <c r="AP78" s="23">
        <f>AM78+0.6*(AU78-AM78)</f>
        <v>570.69900000000007</v>
      </c>
      <c r="AQ78" s="89" t="s">
        <v>423</v>
      </c>
      <c r="AR78" s="23" t="s">
        <v>400</v>
      </c>
      <c r="AS78" s="23">
        <v>366.85500000000002</v>
      </c>
      <c r="AT78" s="23">
        <v>324.40100000000001</v>
      </c>
      <c r="AU78" s="23">
        <v>706.59500000000003</v>
      </c>
      <c r="AV78" s="23" t="s">
        <v>236</v>
      </c>
      <c r="AW78" s="23"/>
      <c r="AX78" s="29" t="s">
        <v>13</v>
      </c>
      <c r="AY78" s="16" t="s">
        <v>836</v>
      </c>
      <c r="AZ78" s="67" t="s">
        <v>13</v>
      </c>
      <c r="BA78" s="97">
        <v>13.870520000000001</v>
      </c>
      <c r="BB78" s="59"/>
      <c r="BC78" s="59"/>
      <c r="BD78" s="29">
        <v>425.54589999999996</v>
      </c>
      <c r="BE78" s="29" t="s">
        <v>239</v>
      </c>
      <c r="BF78" s="29">
        <f t="shared" si="34"/>
        <v>378.92839999999995</v>
      </c>
      <c r="BG78" s="29">
        <f t="shared" si="34"/>
        <v>477.15289999999999</v>
      </c>
      <c r="BH78" s="29" t="s">
        <v>542</v>
      </c>
      <c r="BI78" s="23" t="s">
        <v>419</v>
      </c>
      <c r="BJ78" s="29">
        <v>378.92839999999995</v>
      </c>
      <c r="BK78" s="29">
        <v>477.15289999999999</v>
      </c>
      <c r="BL78" s="29" t="s">
        <v>837</v>
      </c>
      <c r="BM78" s="25" t="s">
        <v>13</v>
      </c>
      <c r="BO78" s="44"/>
      <c r="CA78" s="25" t="s">
        <v>13</v>
      </c>
      <c r="CC78" s="25" t="s">
        <v>13</v>
      </c>
    </row>
    <row r="79" spans="1:81">
      <c r="A79" s="7" t="s">
        <v>17</v>
      </c>
      <c r="B79" s="25" t="s">
        <v>132</v>
      </c>
      <c r="C79" s="68">
        <f t="shared" ref="C79:C87" si="37">AVERAGE(D79:E79)</f>
        <v>200.3</v>
      </c>
      <c r="D79" s="62">
        <v>201.3</v>
      </c>
      <c r="E79" s="62">
        <v>199.3</v>
      </c>
      <c r="F79" s="23">
        <f t="shared" si="31"/>
        <v>992</v>
      </c>
      <c r="G79" s="23" t="s">
        <v>389</v>
      </c>
      <c r="H79" s="23">
        <f t="shared" si="32"/>
        <v>496</v>
      </c>
      <c r="I79" s="23">
        <f t="shared" si="33"/>
        <v>1984</v>
      </c>
      <c r="J79" s="23" t="s">
        <v>480</v>
      </c>
      <c r="K79" s="23" t="s">
        <v>400</v>
      </c>
      <c r="L79" s="26">
        <v>2480</v>
      </c>
      <c r="M79" s="26">
        <v>1490</v>
      </c>
      <c r="N79" s="26">
        <v>3470</v>
      </c>
      <c r="O79" s="26">
        <v>5000</v>
      </c>
      <c r="P79" s="22">
        <v>2000</v>
      </c>
      <c r="Q79" s="22"/>
      <c r="R79" s="26" t="s">
        <v>13</v>
      </c>
      <c r="S79" s="6" t="s">
        <v>265</v>
      </c>
      <c r="T79" s="44"/>
      <c r="U79" s="70">
        <v>3.4569999999999999</v>
      </c>
      <c r="W79" s="76"/>
      <c r="X79" s="30">
        <v>339.24980379746347</v>
      </c>
      <c r="Y79" s="26" t="s">
        <v>389</v>
      </c>
      <c r="Z79" s="26">
        <f t="shared" si="30"/>
        <v>299.10693147082588</v>
      </c>
      <c r="AA79" s="26">
        <f t="shared" si="30"/>
        <v>434.05570774099255</v>
      </c>
      <c r="AB79" s="77" t="s">
        <v>428</v>
      </c>
      <c r="AC79" s="77" t="s">
        <v>400</v>
      </c>
      <c r="AD79" s="77">
        <v>299.10693147082588</v>
      </c>
      <c r="AE79" s="77">
        <v>434.05570774099255</v>
      </c>
      <c r="AF79" s="26" t="s">
        <v>395</v>
      </c>
      <c r="AG79" s="25" t="s">
        <v>13</v>
      </c>
      <c r="AH79" s="6" t="s">
        <v>64</v>
      </c>
      <c r="AI79" s="44" t="s">
        <v>189</v>
      </c>
      <c r="AJ79" s="62">
        <v>64.13</v>
      </c>
      <c r="AK79" s="62">
        <f>AJ79+0.21</f>
        <v>64.339999999999989</v>
      </c>
      <c r="AL79" s="62">
        <f>AJ79-0.21</f>
        <v>63.919999999999995</v>
      </c>
      <c r="AM79" s="26">
        <f t="shared" si="29"/>
        <v>330.32400000000001</v>
      </c>
      <c r="AN79" s="21" t="s">
        <v>239</v>
      </c>
      <c r="AO79" s="22">
        <f>AM79-0.7*(AM79-AT79)</f>
        <v>321.33949999999999</v>
      </c>
      <c r="AP79" s="23">
        <f>AM79+0.6*(AU79-AM79)</f>
        <v>401.10599999999999</v>
      </c>
      <c r="AQ79" s="89" t="s">
        <v>423</v>
      </c>
      <c r="AR79" s="23" t="s">
        <v>400</v>
      </c>
      <c r="AS79" s="23">
        <v>330.32400000000001</v>
      </c>
      <c r="AT79" s="23">
        <v>317.48899999999998</v>
      </c>
      <c r="AU79" s="23">
        <v>448.29399999999998</v>
      </c>
      <c r="AV79" s="23" t="s">
        <v>236</v>
      </c>
      <c r="AW79" s="23"/>
      <c r="AX79" s="29" t="s">
        <v>13</v>
      </c>
      <c r="AY79" s="16" t="s">
        <v>836</v>
      </c>
      <c r="AZ79" s="67" t="s">
        <v>13</v>
      </c>
      <c r="BA79" s="97">
        <v>13.93665</v>
      </c>
      <c r="BB79" s="59"/>
      <c r="BC79" s="59"/>
      <c r="BD79" s="29">
        <v>430.71119999999996</v>
      </c>
      <c r="BE79" s="29" t="s">
        <v>239</v>
      </c>
      <c r="BF79" s="29">
        <f t="shared" si="34"/>
        <v>382.99720000000002</v>
      </c>
      <c r="BG79" s="29">
        <f t="shared" si="34"/>
        <v>480.72149999999999</v>
      </c>
      <c r="BH79" s="29" t="s">
        <v>542</v>
      </c>
      <c r="BI79" s="23" t="s">
        <v>419</v>
      </c>
      <c r="BJ79" s="29">
        <v>382.99720000000002</v>
      </c>
      <c r="BK79" s="29">
        <v>480.72149999999999</v>
      </c>
      <c r="BL79" s="29" t="s">
        <v>837</v>
      </c>
      <c r="BM79" s="25" t="s">
        <v>13</v>
      </c>
      <c r="BO79" s="44"/>
      <c r="CA79" s="25" t="s">
        <v>13</v>
      </c>
      <c r="CC79" s="25" t="s">
        <v>13</v>
      </c>
    </row>
    <row r="80" spans="1:81">
      <c r="A80" s="7" t="s">
        <v>17</v>
      </c>
      <c r="B80" s="25" t="s">
        <v>105</v>
      </c>
      <c r="C80" s="68">
        <f t="shared" si="37"/>
        <v>223.25</v>
      </c>
      <c r="D80" s="68">
        <v>237</v>
      </c>
      <c r="E80" s="68">
        <v>209.5</v>
      </c>
      <c r="F80" s="23">
        <f t="shared" si="31"/>
        <v>900</v>
      </c>
      <c r="G80" s="23" t="s">
        <v>389</v>
      </c>
      <c r="H80" s="23">
        <f t="shared" si="32"/>
        <v>450</v>
      </c>
      <c r="I80" s="23">
        <f t="shared" si="33"/>
        <v>1800</v>
      </c>
      <c r="J80" s="23" t="s">
        <v>480</v>
      </c>
      <c r="K80" s="23" t="s">
        <v>400</v>
      </c>
      <c r="L80" s="26">
        <v>2250</v>
      </c>
      <c r="M80" s="26">
        <v>1350</v>
      </c>
      <c r="N80" s="26">
        <v>3150</v>
      </c>
      <c r="O80" s="26">
        <v>5000</v>
      </c>
      <c r="P80" s="22">
        <v>2000</v>
      </c>
      <c r="Q80" s="22"/>
      <c r="R80" s="26" t="s">
        <v>13</v>
      </c>
      <c r="S80" s="6" t="s">
        <v>265</v>
      </c>
      <c r="T80" s="44"/>
      <c r="U80" s="79">
        <v>3.51</v>
      </c>
      <c r="W80" s="76"/>
      <c r="X80" s="30">
        <v>393.11817513045088</v>
      </c>
      <c r="Y80" s="26" t="s">
        <v>389</v>
      </c>
      <c r="Z80" s="26">
        <f t="shared" si="30"/>
        <v>340.06840178718659</v>
      </c>
      <c r="AA80" s="26">
        <f t="shared" si="30"/>
        <v>512.42744342456911</v>
      </c>
      <c r="AB80" s="77" t="s">
        <v>428</v>
      </c>
      <c r="AC80" s="77" t="s">
        <v>400</v>
      </c>
      <c r="AD80" s="77">
        <v>340.06840178718659</v>
      </c>
      <c r="AE80" s="77">
        <v>512.42744342456911</v>
      </c>
      <c r="AF80" s="26" t="s">
        <v>274</v>
      </c>
      <c r="AG80" s="25" t="s">
        <v>13</v>
      </c>
      <c r="AH80" s="6" t="s">
        <v>64</v>
      </c>
      <c r="AI80" s="44" t="s">
        <v>187</v>
      </c>
      <c r="AJ80" s="62">
        <f>AVERAGE(AK80:AL80)</f>
        <v>65.375</v>
      </c>
      <c r="AK80" s="62">
        <v>66</v>
      </c>
      <c r="AL80" s="62">
        <v>64.75</v>
      </c>
      <c r="AM80" s="26">
        <f t="shared" si="29"/>
        <v>469.53</v>
      </c>
      <c r="AN80" s="21" t="s">
        <v>239</v>
      </c>
      <c r="AO80" s="22">
        <f>AM80-0.7*(AM80-AT80)</f>
        <v>370.01100000000002</v>
      </c>
      <c r="AP80" s="23">
        <f>AM80+0.6*(AU80-AM80)</f>
        <v>641.91599999999994</v>
      </c>
      <c r="AQ80" s="89" t="s">
        <v>423</v>
      </c>
      <c r="AR80" s="23" t="s">
        <v>400</v>
      </c>
      <c r="AS80" s="23">
        <v>469.53</v>
      </c>
      <c r="AT80" s="23">
        <v>327.36</v>
      </c>
      <c r="AU80" s="23">
        <v>756.84</v>
      </c>
      <c r="AV80" s="23" t="s">
        <v>236</v>
      </c>
      <c r="AW80" s="23"/>
      <c r="AX80" s="29" t="s">
        <v>13</v>
      </c>
      <c r="AY80" s="16" t="s">
        <v>836</v>
      </c>
      <c r="AZ80" s="67" t="s">
        <v>13</v>
      </c>
      <c r="BA80" s="97">
        <v>14.18422</v>
      </c>
      <c r="BB80" s="59"/>
      <c r="BC80" s="59"/>
      <c r="BD80" s="29">
        <v>577.43619999999999</v>
      </c>
      <c r="BE80" s="29" t="s">
        <v>239</v>
      </c>
      <c r="BF80" s="29">
        <f t="shared" si="34"/>
        <v>511.83</v>
      </c>
      <c r="BG80" s="29">
        <f t="shared" si="34"/>
        <v>651.05000000000007</v>
      </c>
      <c r="BH80" s="29" t="s">
        <v>542</v>
      </c>
      <c r="BI80" s="23" t="s">
        <v>419</v>
      </c>
      <c r="BJ80" s="29">
        <v>511.83</v>
      </c>
      <c r="BK80" s="29">
        <v>651.05000000000007</v>
      </c>
      <c r="BL80" s="29" t="s">
        <v>837</v>
      </c>
      <c r="BM80" s="25" t="s">
        <v>13</v>
      </c>
      <c r="BO80" s="44"/>
      <c r="CA80" s="25" t="s">
        <v>13</v>
      </c>
      <c r="CC80" s="25" t="s">
        <v>13</v>
      </c>
    </row>
    <row r="81" spans="1:81">
      <c r="A81" s="7" t="s">
        <v>14</v>
      </c>
      <c r="B81" s="25" t="s">
        <v>133</v>
      </c>
      <c r="C81" s="68">
        <f t="shared" si="37"/>
        <v>130.10000000000002</v>
      </c>
      <c r="D81" s="62">
        <v>130.80000000000001</v>
      </c>
      <c r="E81" s="62">
        <v>129.4</v>
      </c>
      <c r="F81" s="23">
        <f t="shared" si="31"/>
        <v>112</v>
      </c>
      <c r="G81" s="23" t="s">
        <v>389</v>
      </c>
      <c r="H81" s="23">
        <f t="shared" si="32"/>
        <v>56</v>
      </c>
      <c r="I81" s="23">
        <f t="shared" si="33"/>
        <v>224</v>
      </c>
      <c r="J81" s="23" t="s">
        <v>480</v>
      </c>
      <c r="K81" s="23" t="s">
        <v>400</v>
      </c>
      <c r="L81" s="26">
        <v>560</v>
      </c>
      <c r="M81" s="26">
        <v>244</v>
      </c>
      <c r="N81" s="26">
        <v>895</v>
      </c>
      <c r="O81" s="26">
        <v>10000</v>
      </c>
      <c r="P81" s="22">
        <v>2000</v>
      </c>
      <c r="Q81" s="22" t="s">
        <v>327</v>
      </c>
      <c r="R81" s="26" t="s">
        <v>13</v>
      </c>
      <c r="S81" s="6" t="s">
        <v>265</v>
      </c>
      <c r="T81" s="44"/>
      <c r="U81" s="70">
        <v>3.5219999999999998</v>
      </c>
      <c r="W81" s="76"/>
      <c r="X81" s="30">
        <v>345.72211115553478</v>
      </c>
      <c r="Y81" s="26" t="s">
        <v>389</v>
      </c>
      <c r="Z81" s="26">
        <f t="shared" si="30"/>
        <v>302.72380747946818</v>
      </c>
      <c r="AA81" s="26">
        <f t="shared" si="30"/>
        <v>445.2933591015306</v>
      </c>
      <c r="AB81" s="77" t="s">
        <v>428</v>
      </c>
      <c r="AC81" s="77" t="s">
        <v>400</v>
      </c>
      <c r="AD81" s="77">
        <v>302.72380747946818</v>
      </c>
      <c r="AE81" s="77">
        <v>445.2933591015306</v>
      </c>
      <c r="AF81" s="26" t="s">
        <v>396</v>
      </c>
      <c r="AG81" s="25" t="s">
        <v>13</v>
      </c>
      <c r="AH81" s="6" t="s">
        <v>573</v>
      </c>
      <c r="AI81" s="44" t="s">
        <v>186</v>
      </c>
      <c r="AJ81" s="62">
        <f>54.09+0.2</f>
        <v>54.290000000000006</v>
      </c>
      <c r="AK81" s="62">
        <f>AJ81+0.1</f>
        <v>54.390000000000008</v>
      </c>
      <c r="AL81" s="62">
        <f>AJ81-0.1</f>
        <v>54.190000000000005</v>
      </c>
      <c r="AM81" s="66">
        <f t="shared" ref="AM81:AM106" si="38">AVERAGE(AO81:AP81)</f>
        <v>558.03150000000005</v>
      </c>
      <c r="AN81" s="26" t="s">
        <v>389</v>
      </c>
      <c r="AO81" s="22">
        <v>341.185</v>
      </c>
      <c r="AP81" s="23">
        <v>774.87800000000004</v>
      </c>
      <c r="AQ81" s="29" t="s">
        <v>426</v>
      </c>
      <c r="AR81" s="26" t="s">
        <v>422</v>
      </c>
      <c r="AS81" s="29"/>
      <c r="AT81" s="23">
        <v>350</v>
      </c>
      <c r="AU81" s="23">
        <v>390</v>
      </c>
      <c r="AV81" s="23" t="s">
        <v>60</v>
      </c>
      <c r="AW81" s="23"/>
      <c r="AX81" s="29" t="s">
        <v>13</v>
      </c>
      <c r="AY81" s="16" t="s">
        <v>836</v>
      </c>
      <c r="AZ81" s="67" t="s">
        <v>13</v>
      </c>
      <c r="BA81" s="97">
        <v>15.136559999999999</v>
      </c>
      <c r="BB81" s="59"/>
      <c r="BC81" s="59"/>
      <c r="BD81" s="29">
        <v>506.21599999999995</v>
      </c>
      <c r="BE81" s="29" t="s">
        <v>239</v>
      </c>
      <c r="BF81" s="29">
        <f t="shared" si="34"/>
        <v>447.8116</v>
      </c>
      <c r="BG81" s="29">
        <f t="shared" si="34"/>
        <v>567.90070000000003</v>
      </c>
      <c r="BH81" s="29" t="s">
        <v>542</v>
      </c>
      <c r="BI81" s="23" t="s">
        <v>419</v>
      </c>
      <c r="BJ81" s="29">
        <v>447.8116</v>
      </c>
      <c r="BK81" s="29">
        <v>567.90070000000003</v>
      </c>
      <c r="BL81" s="29" t="s">
        <v>837</v>
      </c>
      <c r="BM81" s="25" t="s">
        <v>13</v>
      </c>
      <c r="BO81" s="44"/>
      <c r="CA81" s="25" t="s">
        <v>13</v>
      </c>
      <c r="CC81" s="25" t="s">
        <v>13</v>
      </c>
    </row>
    <row r="82" spans="1:81">
      <c r="A82" s="7" t="s">
        <v>15</v>
      </c>
      <c r="B82" s="25" t="s">
        <v>138</v>
      </c>
      <c r="C82" s="15">
        <f t="shared" si="37"/>
        <v>64.814999999999998</v>
      </c>
      <c r="D82" s="15">
        <v>64.959999999999994</v>
      </c>
      <c r="E82" s="15">
        <f>D82-0.29</f>
        <v>64.669999999999987</v>
      </c>
      <c r="F82" s="23">
        <f t="shared" si="31"/>
        <v>400</v>
      </c>
      <c r="G82" s="23" t="s">
        <v>389</v>
      </c>
      <c r="H82" s="23">
        <f t="shared" si="32"/>
        <v>200</v>
      </c>
      <c r="I82" s="23">
        <f t="shared" si="33"/>
        <v>800</v>
      </c>
      <c r="J82" s="23" t="s">
        <v>480</v>
      </c>
      <c r="K82" s="23" t="s">
        <v>400</v>
      </c>
      <c r="L82" s="10">
        <v>1000</v>
      </c>
      <c r="M82" s="26">
        <v>800</v>
      </c>
      <c r="N82" s="26">
        <v>1200</v>
      </c>
      <c r="O82" s="26">
        <v>5000</v>
      </c>
      <c r="P82" s="22">
        <v>2000</v>
      </c>
      <c r="Q82" s="22"/>
      <c r="R82" s="26" t="s">
        <v>13</v>
      </c>
      <c r="S82" s="6" t="s">
        <v>265</v>
      </c>
      <c r="T82" s="44"/>
      <c r="U82" s="70">
        <v>3.673</v>
      </c>
      <c r="W82" s="76"/>
      <c r="X82" s="30">
        <v>345.89688180139893</v>
      </c>
      <c r="Y82" s="26" t="s">
        <v>389</v>
      </c>
      <c r="Z82" s="26">
        <f t="shared" si="30"/>
        <v>309.23365737393158</v>
      </c>
      <c r="AA82" s="26">
        <f t="shared" si="30"/>
        <v>436.64454096868451</v>
      </c>
      <c r="AB82" s="77" t="s">
        <v>428</v>
      </c>
      <c r="AC82" s="77" t="s">
        <v>400</v>
      </c>
      <c r="AD82" s="77">
        <v>309.23365737393158</v>
      </c>
      <c r="AE82" s="77">
        <v>436.64454096868451</v>
      </c>
      <c r="AF82" s="26" t="s">
        <v>395</v>
      </c>
      <c r="AG82" s="25" t="s">
        <v>13</v>
      </c>
      <c r="AH82" s="6" t="s">
        <v>65</v>
      </c>
      <c r="AI82" s="44" t="s">
        <v>190</v>
      </c>
      <c r="AJ82" s="62">
        <f>AVERAGE(AK82:AL82)</f>
        <v>61.099999999999994</v>
      </c>
      <c r="AK82" s="62">
        <v>64.8</v>
      </c>
      <c r="AL82" s="62">
        <v>57.4</v>
      </c>
      <c r="AM82" s="23">
        <f>AS82</f>
        <v>317.48899999999998</v>
      </c>
      <c r="AN82" s="21" t="s">
        <v>239</v>
      </c>
      <c r="AO82" s="22">
        <f>AM82-0.7*(AM82-AT82)</f>
        <v>310.5779</v>
      </c>
      <c r="AP82" s="23">
        <f>AM82+0.6*(AU82-AM82)</f>
        <v>324.83359999999999</v>
      </c>
      <c r="AQ82" s="89" t="s">
        <v>423</v>
      </c>
      <c r="AR82" s="23" t="s">
        <v>400</v>
      </c>
      <c r="AS82" s="23">
        <v>317.48899999999998</v>
      </c>
      <c r="AT82" s="23">
        <v>307.61599999999999</v>
      </c>
      <c r="AU82" s="23">
        <v>329.73</v>
      </c>
      <c r="AV82" s="23" t="s">
        <v>236</v>
      </c>
      <c r="AW82" s="23"/>
      <c r="AX82" s="29" t="s">
        <v>13</v>
      </c>
      <c r="AY82" s="16" t="s">
        <v>836</v>
      </c>
      <c r="AZ82" s="67" t="s">
        <v>13</v>
      </c>
      <c r="BA82" s="97">
        <v>15.67094</v>
      </c>
      <c r="BB82" s="59"/>
      <c r="BC82" s="59"/>
      <c r="BD82" s="29">
        <v>458.7654</v>
      </c>
      <c r="BE82" s="29" t="s">
        <v>239</v>
      </c>
      <c r="BF82" s="29">
        <f t="shared" si="34"/>
        <v>406.47449999999998</v>
      </c>
      <c r="BG82" s="29">
        <f t="shared" si="34"/>
        <v>512.80669999999998</v>
      </c>
      <c r="BH82" s="29" t="s">
        <v>542</v>
      </c>
      <c r="BI82" s="23" t="s">
        <v>419</v>
      </c>
      <c r="BJ82" s="29">
        <v>406.47449999999998</v>
      </c>
      <c r="BK82" s="29">
        <v>512.80669999999998</v>
      </c>
      <c r="BL82" s="29" t="s">
        <v>837</v>
      </c>
      <c r="BM82" s="25" t="s">
        <v>13</v>
      </c>
      <c r="BO82" s="44"/>
      <c r="CA82" s="25" t="s">
        <v>13</v>
      </c>
      <c r="CC82" s="25" t="s">
        <v>13</v>
      </c>
    </row>
    <row r="83" spans="1:81">
      <c r="A83" s="7" t="s">
        <v>15</v>
      </c>
      <c r="B83" s="25" t="s">
        <v>137</v>
      </c>
      <c r="C83" s="15">
        <f t="shared" si="37"/>
        <v>65.324999999999989</v>
      </c>
      <c r="D83" s="15">
        <v>65.69</v>
      </c>
      <c r="E83" s="15">
        <f>D83-0.73</f>
        <v>64.959999999999994</v>
      </c>
      <c r="F83" s="23">
        <f t="shared" si="31"/>
        <v>340</v>
      </c>
      <c r="G83" s="23" t="s">
        <v>389</v>
      </c>
      <c r="H83" s="23">
        <f t="shared" si="32"/>
        <v>170</v>
      </c>
      <c r="I83" s="23">
        <f t="shared" si="33"/>
        <v>680</v>
      </c>
      <c r="J83" s="23" t="s">
        <v>480</v>
      </c>
      <c r="K83" s="23" t="s">
        <v>400</v>
      </c>
      <c r="L83" s="10">
        <v>850</v>
      </c>
      <c r="M83" s="26">
        <v>700</v>
      </c>
      <c r="N83" s="26">
        <v>1000</v>
      </c>
      <c r="O83" s="26">
        <v>5000</v>
      </c>
      <c r="P83" s="22">
        <v>2000</v>
      </c>
      <c r="Q83" s="22"/>
      <c r="R83" s="26" t="s">
        <v>13</v>
      </c>
      <c r="S83" s="6" t="s">
        <v>265</v>
      </c>
      <c r="T83" s="44"/>
      <c r="U83" s="70">
        <v>3.8485</v>
      </c>
      <c r="W83" s="76"/>
      <c r="X83" s="30">
        <v>326.63287118311763</v>
      </c>
      <c r="Y83" s="26" t="s">
        <v>389</v>
      </c>
      <c r="Z83" s="26">
        <f t="shared" si="30"/>
        <v>290.98515994967516</v>
      </c>
      <c r="AA83" s="26">
        <f t="shared" si="30"/>
        <v>413.72135838471871</v>
      </c>
      <c r="AB83" s="77" t="s">
        <v>428</v>
      </c>
      <c r="AC83" s="77" t="s">
        <v>400</v>
      </c>
      <c r="AD83" s="77">
        <v>290.98515994967516</v>
      </c>
      <c r="AE83" s="77">
        <v>413.72135838471871</v>
      </c>
      <c r="AF83" s="26" t="s">
        <v>396</v>
      </c>
      <c r="AG83" s="25" t="s">
        <v>13</v>
      </c>
      <c r="AH83" s="6" t="s">
        <v>18</v>
      </c>
      <c r="AI83" s="44" t="s">
        <v>659</v>
      </c>
      <c r="AJ83" s="62">
        <f>AVERAGE(AK83:AL83)</f>
        <v>51.05</v>
      </c>
      <c r="AK83" s="62">
        <v>52.7</v>
      </c>
      <c r="AL83" s="62">
        <v>49.4</v>
      </c>
      <c r="AM83" s="66">
        <f t="shared" si="38"/>
        <v>658.5</v>
      </c>
      <c r="AN83" s="26" t="s">
        <v>389</v>
      </c>
      <c r="AO83" s="66">
        <v>439</v>
      </c>
      <c r="AP83" s="100">
        <v>878</v>
      </c>
      <c r="AQ83" s="29" t="s">
        <v>426</v>
      </c>
      <c r="AR83" s="26" t="s">
        <v>422</v>
      </c>
      <c r="AS83" s="29">
        <v>349</v>
      </c>
      <c r="AT83" s="29">
        <f>AS83-11.6</f>
        <v>337.4</v>
      </c>
      <c r="AU83" s="29">
        <f>AS83+11.6</f>
        <v>360.6</v>
      </c>
      <c r="AV83" s="29" t="s">
        <v>60</v>
      </c>
      <c r="AW83" s="29" t="s">
        <v>822</v>
      </c>
      <c r="AX83" s="29" t="s">
        <v>13</v>
      </c>
      <c r="AY83" s="16" t="s">
        <v>836</v>
      </c>
      <c r="AZ83" s="67" t="s">
        <v>13</v>
      </c>
      <c r="BA83" s="97">
        <v>15.83807</v>
      </c>
      <c r="BB83" s="59"/>
      <c r="BC83" s="59"/>
      <c r="BD83" s="29">
        <v>527.60120000000006</v>
      </c>
      <c r="BE83" s="29" t="s">
        <v>239</v>
      </c>
      <c r="BF83" s="29">
        <f t="shared" si="34"/>
        <v>468.43290000000002</v>
      </c>
      <c r="BG83" s="29">
        <f t="shared" si="34"/>
        <v>593.11970000000008</v>
      </c>
      <c r="BH83" s="29" t="s">
        <v>542</v>
      </c>
      <c r="BI83" s="23" t="s">
        <v>419</v>
      </c>
      <c r="BJ83" s="29">
        <v>468.43290000000002</v>
      </c>
      <c r="BK83" s="29">
        <v>593.11970000000008</v>
      </c>
      <c r="BL83" s="29" t="s">
        <v>838</v>
      </c>
      <c r="BM83" s="25" t="s">
        <v>13</v>
      </c>
      <c r="BO83" s="44"/>
      <c r="CA83" s="25" t="s">
        <v>13</v>
      </c>
      <c r="CC83" s="25" t="s">
        <v>13</v>
      </c>
    </row>
    <row r="84" spans="1:81">
      <c r="A84" s="7" t="s">
        <v>15</v>
      </c>
      <c r="B84" s="25" t="s">
        <v>136</v>
      </c>
      <c r="C84" s="15">
        <f t="shared" si="37"/>
        <v>65.875</v>
      </c>
      <c r="D84" s="15">
        <v>66.25</v>
      </c>
      <c r="E84" s="15">
        <v>65.5</v>
      </c>
      <c r="F84" s="23">
        <f t="shared" si="31"/>
        <v>300</v>
      </c>
      <c r="G84" s="23" t="s">
        <v>389</v>
      </c>
      <c r="H84" s="23">
        <f t="shared" si="32"/>
        <v>150</v>
      </c>
      <c r="I84" s="23">
        <f t="shared" si="33"/>
        <v>600</v>
      </c>
      <c r="J84" s="23" t="s">
        <v>480</v>
      </c>
      <c r="K84" s="23" t="s">
        <v>400</v>
      </c>
      <c r="L84" s="10">
        <v>750</v>
      </c>
      <c r="M84" s="26">
        <v>600</v>
      </c>
      <c r="N84" s="26">
        <v>900</v>
      </c>
      <c r="O84" s="26">
        <v>5000</v>
      </c>
      <c r="P84" s="22">
        <v>2000</v>
      </c>
      <c r="Q84" s="22"/>
      <c r="R84" s="26" t="s">
        <v>13</v>
      </c>
      <c r="S84" s="6" t="s">
        <v>265</v>
      </c>
      <c r="T84" s="44"/>
      <c r="U84" s="70">
        <v>3.9855</v>
      </c>
      <c r="W84" s="76"/>
      <c r="X84" s="30">
        <v>333.79774716408605</v>
      </c>
      <c r="Y84" s="26" t="s">
        <v>389</v>
      </c>
      <c r="Z84" s="26">
        <f t="shared" si="30"/>
        <v>294.66841129666432</v>
      </c>
      <c r="AA84" s="26">
        <f t="shared" si="30"/>
        <v>426.55668146434363</v>
      </c>
      <c r="AB84" s="77" t="s">
        <v>428</v>
      </c>
      <c r="AC84" s="77" t="s">
        <v>400</v>
      </c>
      <c r="AD84" s="77">
        <v>294.66841129666432</v>
      </c>
      <c r="AE84" s="77">
        <v>426.55668146434363</v>
      </c>
      <c r="AF84" s="26" t="s">
        <v>395</v>
      </c>
      <c r="AG84" s="25" t="s">
        <v>13</v>
      </c>
      <c r="AH84" s="6" t="s">
        <v>809</v>
      </c>
      <c r="AI84" s="44" t="s">
        <v>197</v>
      </c>
      <c r="AJ84" s="62">
        <f>AVERAGE(AK84:AL84)</f>
        <v>409.20000000000005</v>
      </c>
      <c r="AK84" s="62">
        <v>410.8</v>
      </c>
      <c r="AL84" s="62">
        <v>407.6</v>
      </c>
      <c r="AM84" s="26">
        <f>AS84</f>
        <v>2836</v>
      </c>
      <c r="AN84" s="26" t="s">
        <v>389</v>
      </c>
      <c r="AO84" s="66">
        <f>AT84</f>
        <v>2505</v>
      </c>
      <c r="AP84" s="100">
        <f>AU84</f>
        <v>4561</v>
      </c>
      <c r="AQ84" s="29" t="s">
        <v>435</v>
      </c>
      <c r="AR84" s="23" t="s">
        <v>400</v>
      </c>
      <c r="AS84" s="23">
        <v>2836</v>
      </c>
      <c r="AT84" s="29">
        <v>2505</v>
      </c>
      <c r="AU84" s="29">
        <v>4561</v>
      </c>
      <c r="AV84" s="29" t="s">
        <v>233</v>
      </c>
      <c r="AW84" s="29"/>
      <c r="AX84" s="29" t="s">
        <v>13</v>
      </c>
      <c r="AY84" s="16" t="s">
        <v>836</v>
      </c>
      <c r="AZ84" s="67" t="s">
        <v>13</v>
      </c>
      <c r="BA84" s="97">
        <v>15.99437</v>
      </c>
      <c r="BB84" s="59"/>
      <c r="BC84" s="59"/>
      <c r="BD84" s="29">
        <v>586.08909999999992</v>
      </c>
      <c r="BE84" s="29" t="s">
        <v>239</v>
      </c>
      <c r="BF84" s="29">
        <f t="shared" si="34"/>
        <v>516.60829999999999</v>
      </c>
      <c r="BG84" s="29">
        <f t="shared" si="34"/>
        <v>663.21100000000001</v>
      </c>
      <c r="BH84" s="29" t="s">
        <v>542</v>
      </c>
      <c r="BI84" s="23" t="s">
        <v>419</v>
      </c>
      <c r="BJ84" s="29">
        <v>516.60829999999999</v>
      </c>
      <c r="BK84" s="29">
        <v>663.21100000000001</v>
      </c>
      <c r="BL84" s="29" t="s">
        <v>838</v>
      </c>
      <c r="BM84" s="25" t="s">
        <v>13</v>
      </c>
      <c r="BO84" s="44"/>
      <c r="CA84" s="25" t="s">
        <v>13</v>
      </c>
      <c r="CC84" s="25" t="s">
        <v>13</v>
      </c>
    </row>
    <row r="85" spans="1:81">
      <c r="A85" s="7" t="s">
        <v>15</v>
      </c>
      <c r="B85" s="25" t="s">
        <v>135</v>
      </c>
      <c r="C85" s="15">
        <f t="shared" si="37"/>
        <v>67.174999999999997</v>
      </c>
      <c r="D85" s="15">
        <v>68.099999999999994</v>
      </c>
      <c r="E85" s="15">
        <v>66.25</v>
      </c>
      <c r="F85" s="23">
        <f t="shared" si="31"/>
        <v>560</v>
      </c>
      <c r="G85" s="23" t="s">
        <v>389</v>
      </c>
      <c r="H85" s="23">
        <f t="shared" si="32"/>
        <v>280</v>
      </c>
      <c r="I85" s="23">
        <f t="shared" si="33"/>
        <v>1120</v>
      </c>
      <c r="J85" s="23" t="s">
        <v>480</v>
      </c>
      <c r="K85" s="23" t="s">
        <v>400</v>
      </c>
      <c r="L85" s="10">
        <v>1400</v>
      </c>
      <c r="M85" s="26">
        <v>1100</v>
      </c>
      <c r="N85" s="26">
        <v>1700</v>
      </c>
      <c r="O85" s="26">
        <v>5000</v>
      </c>
      <c r="P85" s="22">
        <v>2000</v>
      </c>
      <c r="Q85" s="22"/>
      <c r="R85" s="26" t="s">
        <v>13</v>
      </c>
      <c r="S85" s="6" t="s">
        <v>265</v>
      </c>
      <c r="T85" s="44"/>
      <c r="U85" s="70">
        <v>4.1061999999999994</v>
      </c>
      <c r="W85" s="76"/>
      <c r="X85" s="30">
        <v>348.03923494424782</v>
      </c>
      <c r="Y85" s="26" t="s">
        <v>389</v>
      </c>
      <c r="Z85" s="26">
        <f t="shared" si="30"/>
        <v>307.02877186693951</v>
      </c>
      <c r="AA85" s="26">
        <f t="shared" si="30"/>
        <v>445.0728158329722</v>
      </c>
      <c r="AB85" s="77" t="s">
        <v>428</v>
      </c>
      <c r="AC85" s="77" t="s">
        <v>400</v>
      </c>
      <c r="AD85" s="77">
        <v>307.02877186693951</v>
      </c>
      <c r="AE85" s="77">
        <v>445.0728158329722</v>
      </c>
      <c r="AF85" s="26" t="s">
        <v>396</v>
      </c>
      <c r="AG85" s="25" t="s">
        <v>13</v>
      </c>
      <c r="AH85" s="6" t="s">
        <v>34</v>
      </c>
      <c r="AI85" s="44" t="s">
        <v>198</v>
      </c>
      <c r="AJ85" s="62">
        <v>182.5</v>
      </c>
      <c r="AK85" s="62"/>
      <c r="AL85" s="62"/>
      <c r="AM85" s="66">
        <f t="shared" si="38"/>
        <v>1050</v>
      </c>
      <c r="AN85" s="26" t="s">
        <v>389</v>
      </c>
      <c r="AO85" s="66">
        <v>800</v>
      </c>
      <c r="AP85" s="100">
        <v>1300</v>
      </c>
      <c r="AQ85" s="29" t="s">
        <v>426</v>
      </c>
      <c r="AR85" s="26" t="s">
        <v>422</v>
      </c>
      <c r="AS85" s="29"/>
      <c r="AT85" s="29"/>
      <c r="AU85" s="29"/>
      <c r="AV85" s="29" t="s">
        <v>60</v>
      </c>
      <c r="AW85" s="29"/>
      <c r="AX85" s="29" t="s">
        <v>13</v>
      </c>
      <c r="AY85" s="16" t="s">
        <v>836</v>
      </c>
      <c r="AZ85" s="67" t="s">
        <v>13</v>
      </c>
      <c r="BA85" s="97">
        <v>16.22</v>
      </c>
      <c r="BB85" s="59"/>
      <c r="BC85" s="59"/>
      <c r="BD85" s="29">
        <v>349.48169999999999</v>
      </c>
      <c r="BE85" s="29" t="s">
        <v>239</v>
      </c>
      <c r="BF85" s="29">
        <f t="shared" si="34"/>
        <v>311.48559999999998</v>
      </c>
      <c r="BG85" s="29">
        <f t="shared" si="34"/>
        <v>390.99559999999997</v>
      </c>
      <c r="BH85" s="29" t="s">
        <v>542</v>
      </c>
      <c r="BI85" s="23" t="s">
        <v>419</v>
      </c>
      <c r="BJ85" s="29">
        <v>311.48559999999998</v>
      </c>
      <c r="BK85" s="29">
        <v>390.99559999999997</v>
      </c>
      <c r="BL85" s="29" t="s">
        <v>838</v>
      </c>
      <c r="BM85" s="25" t="s">
        <v>13</v>
      </c>
      <c r="BO85" s="44"/>
      <c r="CA85" s="25" t="s">
        <v>13</v>
      </c>
      <c r="CC85" s="25" t="s">
        <v>13</v>
      </c>
    </row>
    <row r="86" spans="1:81">
      <c r="A86" s="7" t="s">
        <v>15</v>
      </c>
      <c r="B86" s="25" t="s">
        <v>135</v>
      </c>
      <c r="C86" s="15">
        <f t="shared" si="37"/>
        <v>67.174999999999997</v>
      </c>
      <c r="D86" s="15">
        <v>68.099999999999994</v>
      </c>
      <c r="E86" s="15">
        <v>66.25</v>
      </c>
      <c r="F86" s="23">
        <f t="shared" si="31"/>
        <v>300</v>
      </c>
      <c r="G86" s="23" t="s">
        <v>389</v>
      </c>
      <c r="H86" s="23">
        <f t="shared" si="32"/>
        <v>150</v>
      </c>
      <c r="I86" s="23">
        <f t="shared" si="33"/>
        <v>600</v>
      </c>
      <c r="J86" s="23" t="s">
        <v>480</v>
      </c>
      <c r="K86" s="23" t="s">
        <v>400</v>
      </c>
      <c r="L86" s="10">
        <v>750</v>
      </c>
      <c r="M86" s="26">
        <v>600</v>
      </c>
      <c r="N86" s="26">
        <v>900</v>
      </c>
      <c r="O86" s="26">
        <v>5000</v>
      </c>
      <c r="P86" s="22">
        <v>2000</v>
      </c>
      <c r="Q86" s="22"/>
      <c r="R86" s="26" t="s">
        <v>13</v>
      </c>
      <c r="S86" s="6" t="s">
        <v>265</v>
      </c>
      <c r="T86" s="44"/>
      <c r="U86" s="70">
        <v>4.4474999999999998</v>
      </c>
      <c r="W86" s="76"/>
      <c r="X86" s="30">
        <v>379.40156811240678</v>
      </c>
      <c r="Y86" s="26" t="s">
        <v>389</v>
      </c>
      <c r="Z86" s="26">
        <f t="shared" si="30"/>
        <v>345.34775011103227</v>
      </c>
      <c r="AA86" s="26">
        <f t="shared" si="30"/>
        <v>470.57394325510495</v>
      </c>
      <c r="AB86" s="77" t="s">
        <v>428</v>
      </c>
      <c r="AC86" s="77" t="s">
        <v>400</v>
      </c>
      <c r="AD86" s="77">
        <v>345.34775011103227</v>
      </c>
      <c r="AE86" s="77">
        <v>470.57394325510495</v>
      </c>
      <c r="AF86" s="26" t="s">
        <v>395</v>
      </c>
      <c r="AG86" s="25" t="s">
        <v>13</v>
      </c>
      <c r="AH86" s="6" t="s">
        <v>34</v>
      </c>
      <c r="AI86" s="44" t="s">
        <v>198</v>
      </c>
      <c r="AJ86" s="62">
        <v>182.6</v>
      </c>
      <c r="AK86" s="62"/>
      <c r="AL86" s="62"/>
      <c r="AM86" s="66">
        <f t="shared" si="38"/>
        <v>1550</v>
      </c>
      <c r="AN86" s="26" t="s">
        <v>389</v>
      </c>
      <c r="AO86" s="66">
        <v>1200</v>
      </c>
      <c r="AP86" s="100">
        <v>1900</v>
      </c>
      <c r="AQ86" s="29" t="s">
        <v>426</v>
      </c>
      <c r="AR86" s="26" t="s">
        <v>422</v>
      </c>
      <c r="AS86" s="29"/>
      <c r="AT86" s="29"/>
      <c r="AU86" s="29"/>
      <c r="AV86" s="29" t="s">
        <v>60</v>
      </c>
      <c r="AW86" s="29"/>
      <c r="AX86" s="29" t="s">
        <v>13</v>
      </c>
      <c r="AY86" s="16" t="s">
        <v>839</v>
      </c>
      <c r="AZ86" s="55" t="s">
        <v>397</v>
      </c>
      <c r="BA86" s="97">
        <v>13.646800000000001</v>
      </c>
      <c r="BB86" s="59"/>
      <c r="BC86" s="59"/>
      <c r="BD86" s="29">
        <v>432.28150000000005</v>
      </c>
      <c r="BE86" s="29" t="s">
        <v>239</v>
      </c>
      <c r="BF86" s="29">
        <f t="shared" ref="BF86:BG101" si="39">BJ86</f>
        <v>385.63229999999999</v>
      </c>
      <c r="BG86" s="29">
        <f t="shared" si="39"/>
        <v>481.07929999999999</v>
      </c>
      <c r="BH86" s="29" t="s">
        <v>542</v>
      </c>
      <c r="BI86" s="23" t="s">
        <v>419</v>
      </c>
      <c r="BJ86" s="29">
        <v>385.63229999999999</v>
      </c>
      <c r="BK86" s="29">
        <v>481.07929999999999</v>
      </c>
      <c r="BL86" s="29" t="s">
        <v>840</v>
      </c>
      <c r="BM86" s="25" t="s">
        <v>13</v>
      </c>
      <c r="BO86" s="44"/>
      <c r="CA86" s="25" t="s">
        <v>13</v>
      </c>
      <c r="CC86" s="25" t="s">
        <v>13</v>
      </c>
    </row>
    <row r="87" spans="1:81">
      <c r="A87" s="7" t="s">
        <v>15</v>
      </c>
      <c r="B87" s="25" t="s">
        <v>134</v>
      </c>
      <c r="C87" s="68">
        <f t="shared" si="37"/>
        <v>77.125</v>
      </c>
      <c r="D87" s="15">
        <v>80</v>
      </c>
      <c r="E87" s="15">
        <v>74.25</v>
      </c>
      <c r="F87" s="23">
        <f t="shared" si="31"/>
        <v>480</v>
      </c>
      <c r="G87" s="23" t="s">
        <v>389</v>
      </c>
      <c r="H87" s="23">
        <f t="shared" si="32"/>
        <v>240</v>
      </c>
      <c r="I87" s="23">
        <f t="shared" si="33"/>
        <v>960</v>
      </c>
      <c r="J87" s="23" t="s">
        <v>480</v>
      </c>
      <c r="K87" s="23" t="s">
        <v>400</v>
      </c>
      <c r="L87" s="26">
        <v>1200</v>
      </c>
      <c r="M87" s="26">
        <v>900</v>
      </c>
      <c r="N87" s="26">
        <v>1500</v>
      </c>
      <c r="O87" s="26">
        <v>5000</v>
      </c>
      <c r="P87" s="22">
        <v>2000</v>
      </c>
      <c r="Q87" s="22"/>
      <c r="R87" s="26" t="s">
        <v>13</v>
      </c>
      <c r="S87" s="6" t="s">
        <v>265</v>
      </c>
      <c r="T87" s="44"/>
      <c r="U87" s="70">
        <v>4.7762000000000002</v>
      </c>
      <c r="W87" s="76"/>
      <c r="X87" s="30">
        <v>360.95409020204806</v>
      </c>
      <c r="Y87" s="26" t="s">
        <v>389</v>
      </c>
      <c r="Z87" s="26">
        <f t="shared" si="30"/>
        <v>332.02601114684273</v>
      </c>
      <c r="AA87" s="26">
        <f t="shared" si="30"/>
        <v>443.06257967429855</v>
      </c>
      <c r="AB87" s="77" t="s">
        <v>428</v>
      </c>
      <c r="AC87" s="77" t="s">
        <v>400</v>
      </c>
      <c r="AD87" s="77">
        <v>332.02601114684273</v>
      </c>
      <c r="AE87" s="77">
        <v>443.06257967429855</v>
      </c>
      <c r="AF87" s="26" t="s">
        <v>396</v>
      </c>
      <c r="AG87" s="25" t="s">
        <v>13</v>
      </c>
      <c r="AH87" s="6" t="s">
        <v>34</v>
      </c>
      <c r="AI87" s="44" t="s">
        <v>198</v>
      </c>
      <c r="AJ87" s="62">
        <v>182.7</v>
      </c>
      <c r="AK87" s="62"/>
      <c r="AL87" s="62"/>
      <c r="AM87" s="66">
        <f t="shared" si="38"/>
        <v>550</v>
      </c>
      <c r="AN87" s="26" t="s">
        <v>389</v>
      </c>
      <c r="AO87" s="66">
        <v>400</v>
      </c>
      <c r="AP87" s="100">
        <v>700</v>
      </c>
      <c r="AQ87" s="29" t="s">
        <v>426</v>
      </c>
      <c r="AR87" s="26" t="s">
        <v>422</v>
      </c>
      <c r="AS87" s="29"/>
      <c r="AT87" s="29"/>
      <c r="AU87" s="29"/>
      <c r="AV87" s="29" t="s">
        <v>60</v>
      </c>
      <c r="AW87" s="29"/>
      <c r="AX87" s="29" t="s">
        <v>13</v>
      </c>
      <c r="AY87" s="16" t="s">
        <v>839</v>
      </c>
      <c r="AZ87" s="55" t="s">
        <v>397</v>
      </c>
      <c r="BA87" s="97">
        <v>13.70885</v>
      </c>
      <c r="BB87" s="59"/>
      <c r="BC87" s="59"/>
      <c r="BD87" s="29">
        <v>434.48430000000002</v>
      </c>
      <c r="BE87" s="29" t="s">
        <v>239</v>
      </c>
      <c r="BF87" s="29">
        <f t="shared" si="39"/>
        <v>387.22190000000001</v>
      </c>
      <c r="BG87" s="29">
        <f t="shared" si="39"/>
        <v>484.23040000000003</v>
      </c>
      <c r="BH87" s="29" t="s">
        <v>542</v>
      </c>
      <c r="BI87" s="23" t="s">
        <v>419</v>
      </c>
      <c r="BJ87" s="29">
        <v>387.22190000000001</v>
      </c>
      <c r="BK87" s="29">
        <v>484.23040000000003</v>
      </c>
      <c r="BL87" s="29" t="s">
        <v>840</v>
      </c>
      <c r="BM87" s="25" t="s">
        <v>13</v>
      </c>
      <c r="BO87" s="44"/>
      <c r="CA87" s="25" t="s">
        <v>13</v>
      </c>
      <c r="CC87" s="25" t="s">
        <v>13</v>
      </c>
    </row>
    <row r="88" spans="1:81">
      <c r="A88" s="11" t="s">
        <v>31</v>
      </c>
      <c r="B88" s="21" t="s">
        <v>434</v>
      </c>
      <c r="C88" s="80">
        <f>64.15+Q88</f>
        <v>65.150000000000006</v>
      </c>
      <c r="D88" s="15">
        <f t="shared" ref="D88:D123" si="40">C88+1</f>
        <v>66.150000000000006</v>
      </c>
      <c r="E88" s="15">
        <f t="shared" ref="E88:E123" si="41">C88-1</f>
        <v>64.150000000000006</v>
      </c>
      <c r="F88" s="23">
        <f t="shared" si="31"/>
        <v>178.06692593452541</v>
      </c>
      <c r="G88" s="23" t="s">
        <v>389</v>
      </c>
      <c r="H88" s="23">
        <f t="shared" si="32"/>
        <v>89.033462967262707</v>
      </c>
      <c r="I88" s="23">
        <f t="shared" si="33"/>
        <v>356.13385186905083</v>
      </c>
      <c r="J88" s="23" t="s">
        <v>480</v>
      </c>
      <c r="K88" s="23" t="s">
        <v>400</v>
      </c>
      <c r="L88" s="30">
        <v>534.20077780357622</v>
      </c>
      <c r="M88" s="30">
        <v>445.16731483631355</v>
      </c>
      <c r="N88" s="30">
        <v>623.23424077083894</v>
      </c>
      <c r="O88" s="30">
        <v>6000</v>
      </c>
      <c r="P88" s="22">
        <v>2000</v>
      </c>
      <c r="Q88" s="26">
        <v>1</v>
      </c>
      <c r="S88" s="6" t="s">
        <v>265</v>
      </c>
      <c r="T88" s="44"/>
      <c r="U88" s="79">
        <v>7.15</v>
      </c>
      <c r="W88" s="76"/>
      <c r="X88" s="30">
        <v>378.55319642179171</v>
      </c>
      <c r="Y88" s="26" t="s">
        <v>389</v>
      </c>
      <c r="Z88" s="26">
        <f t="shared" si="30"/>
        <v>323.24565825190251</v>
      </c>
      <c r="AA88" s="26">
        <f t="shared" si="30"/>
        <v>499.5765709101716</v>
      </c>
      <c r="AB88" s="77" t="s">
        <v>428</v>
      </c>
      <c r="AC88" s="77" t="s">
        <v>400</v>
      </c>
      <c r="AD88" s="77">
        <v>323.24565825190251</v>
      </c>
      <c r="AE88" s="77">
        <v>499.5765709101716</v>
      </c>
      <c r="AF88" s="26" t="s">
        <v>274</v>
      </c>
      <c r="AG88" s="25" t="s">
        <v>13</v>
      </c>
      <c r="AH88" s="6" t="s">
        <v>34</v>
      </c>
      <c r="AI88" s="44" t="s">
        <v>198</v>
      </c>
      <c r="AJ88" s="62">
        <v>182.8</v>
      </c>
      <c r="AK88" s="62"/>
      <c r="AL88" s="62"/>
      <c r="AM88" s="66">
        <f t="shared" si="38"/>
        <v>950</v>
      </c>
      <c r="AN88" s="26" t="s">
        <v>389</v>
      </c>
      <c r="AO88" s="66">
        <v>700</v>
      </c>
      <c r="AP88" s="100">
        <v>1200</v>
      </c>
      <c r="AQ88" s="29" t="s">
        <v>426</v>
      </c>
      <c r="AR88" s="26" t="s">
        <v>422</v>
      </c>
      <c r="AS88" s="29"/>
      <c r="AT88" s="29"/>
      <c r="AU88" s="29"/>
      <c r="AV88" s="29" t="s">
        <v>60</v>
      </c>
      <c r="AW88" s="29"/>
      <c r="AX88" s="29" t="s">
        <v>13</v>
      </c>
      <c r="AY88" s="16" t="s">
        <v>839</v>
      </c>
      <c r="AZ88" s="55" t="s">
        <v>397</v>
      </c>
      <c r="BA88" s="97">
        <v>13.73297</v>
      </c>
      <c r="BB88" s="59"/>
      <c r="BC88" s="59"/>
      <c r="BD88" s="29">
        <v>399.65139999999997</v>
      </c>
      <c r="BE88" s="29" t="s">
        <v>239</v>
      </c>
      <c r="BF88" s="29">
        <f t="shared" si="39"/>
        <v>357.37290000000002</v>
      </c>
      <c r="BG88" s="29">
        <f t="shared" si="39"/>
        <v>443.62870000000004</v>
      </c>
      <c r="BH88" s="29" t="s">
        <v>542</v>
      </c>
      <c r="BI88" s="23" t="s">
        <v>419</v>
      </c>
      <c r="BJ88" s="29">
        <v>357.37290000000002</v>
      </c>
      <c r="BK88" s="29">
        <v>443.62870000000004</v>
      </c>
      <c r="BL88" s="29" t="s">
        <v>840</v>
      </c>
      <c r="BM88" s="25" t="s">
        <v>13</v>
      </c>
      <c r="BO88" s="44"/>
      <c r="CA88" s="25" t="s">
        <v>13</v>
      </c>
      <c r="CC88" s="25" t="s">
        <v>13</v>
      </c>
    </row>
    <row r="89" spans="1:81">
      <c r="A89" s="11" t="s">
        <v>31</v>
      </c>
      <c r="B89" s="21" t="s">
        <v>434</v>
      </c>
      <c r="C89" s="80">
        <f>64.24+Q88</f>
        <v>65.239999999999995</v>
      </c>
      <c r="D89" s="15">
        <f t="shared" si="40"/>
        <v>66.239999999999995</v>
      </c>
      <c r="E89" s="15">
        <f t="shared" si="41"/>
        <v>64.239999999999995</v>
      </c>
      <c r="F89" s="23">
        <f t="shared" si="31"/>
        <v>162.80423005993634</v>
      </c>
      <c r="G89" s="23" t="s">
        <v>389</v>
      </c>
      <c r="H89" s="23">
        <f t="shared" si="32"/>
        <v>81.402115029968172</v>
      </c>
      <c r="I89" s="23">
        <f t="shared" si="33"/>
        <v>325.60846011987269</v>
      </c>
      <c r="J89" s="23" t="s">
        <v>480</v>
      </c>
      <c r="K89" s="23" t="s">
        <v>400</v>
      </c>
      <c r="L89" s="30">
        <v>488.41269017980898</v>
      </c>
      <c r="M89" s="30">
        <v>407.0105751498408</v>
      </c>
      <c r="N89" s="30">
        <v>569.81480520977709</v>
      </c>
      <c r="O89" s="30">
        <v>6000</v>
      </c>
      <c r="P89" s="22">
        <v>2000</v>
      </c>
      <c r="Q89" s="22"/>
      <c r="R89" s="26" t="s">
        <v>13</v>
      </c>
      <c r="S89" s="6" t="s">
        <v>265</v>
      </c>
      <c r="T89" s="44"/>
      <c r="U89" s="79">
        <v>14.1</v>
      </c>
      <c r="W89" s="76"/>
      <c r="X89" s="30">
        <v>340.66785971086716</v>
      </c>
      <c r="Y89" s="26" t="s">
        <v>389</v>
      </c>
      <c r="Z89" s="26">
        <f t="shared" si="30"/>
        <v>311.26968468059579</v>
      </c>
      <c r="AA89" s="26">
        <f t="shared" si="30"/>
        <v>420.94549815121252</v>
      </c>
      <c r="AB89" s="77" t="s">
        <v>428</v>
      </c>
      <c r="AC89" s="77" t="s">
        <v>400</v>
      </c>
      <c r="AD89" s="77">
        <v>311.26968468059579</v>
      </c>
      <c r="AE89" s="77">
        <v>420.94549815121252</v>
      </c>
      <c r="AF89" s="26" t="s">
        <v>274</v>
      </c>
      <c r="AG89" s="25" t="s">
        <v>13</v>
      </c>
      <c r="AH89" s="6" t="s">
        <v>34</v>
      </c>
      <c r="AI89" s="44" t="s">
        <v>198</v>
      </c>
      <c r="AJ89" s="62">
        <v>182.9</v>
      </c>
      <c r="AK89" s="62"/>
      <c r="AL89" s="62"/>
      <c r="AM89" s="66">
        <f t="shared" si="38"/>
        <v>950</v>
      </c>
      <c r="AN89" s="26" t="s">
        <v>389</v>
      </c>
      <c r="AO89" s="66">
        <v>700</v>
      </c>
      <c r="AP89" s="100">
        <v>1200</v>
      </c>
      <c r="AQ89" s="29" t="s">
        <v>426</v>
      </c>
      <c r="AR89" s="26" t="s">
        <v>422</v>
      </c>
      <c r="AS89" s="29"/>
      <c r="AT89" s="29"/>
      <c r="AU89" s="29"/>
      <c r="AV89" s="29" t="s">
        <v>60</v>
      </c>
      <c r="AW89" s="29"/>
      <c r="AX89" s="29" t="s">
        <v>13</v>
      </c>
      <c r="AY89" s="16" t="s">
        <v>839</v>
      </c>
      <c r="AZ89" s="55" t="s">
        <v>397</v>
      </c>
      <c r="BA89" s="97">
        <v>13.829420000000001</v>
      </c>
      <c r="BB89" s="59"/>
      <c r="BC89" s="59"/>
      <c r="BD89" s="29">
        <v>512.34710000000007</v>
      </c>
      <c r="BE89" s="29" t="s">
        <v>239</v>
      </c>
      <c r="BF89" s="29">
        <f t="shared" si="39"/>
        <v>455.86129999999997</v>
      </c>
      <c r="BG89" s="29">
        <f t="shared" si="39"/>
        <v>570.16030000000001</v>
      </c>
      <c r="BH89" s="29" t="s">
        <v>542</v>
      </c>
      <c r="BI89" s="23" t="s">
        <v>419</v>
      </c>
      <c r="BJ89" s="29">
        <v>455.86129999999997</v>
      </c>
      <c r="BK89" s="29">
        <v>570.16030000000001</v>
      </c>
      <c r="BL89" s="29" t="s">
        <v>840</v>
      </c>
      <c r="BM89" s="25" t="s">
        <v>13</v>
      </c>
      <c r="BO89" s="44"/>
      <c r="CA89" s="25" t="s">
        <v>13</v>
      </c>
      <c r="CC89" s="25" t="s">
        <v>13</v>
      </c>
    </row>
    <row r="90" spans="1:81">
      <c r="A90" s="11" t="s">
        <v>31</v>
      </c>
      <c r="B90" s="21" t="s">
        <v>434</v>
      </c>
      <c r="C90" s="80">
        <f>64.37+Q88</f>
        <v>65.37</v>
      </c>
      <c r="D90" s="15">
        <f t="shared" si="40"/>
        <v>66.37</v>
      </c>
      <c r="E90" s="15">
        <f t="shared" si="41"/>
        <v>64.37</v>
      </c>
      <c r="F90" s="23">
        <f t="shared" si="31"/>
        <v>88.051822402624197</v>
      </c>
      <c r="G90" s="23" t="s">
        <v>389</v>
      </c>
      <c r="H90" s="23">
        <f t="shared" si="32"/>
        <v>44.025911201312098</v>
      </c>
      <c r="I90" s="23">
        <f t="shared" si="33"/>
        <v>176.10364480524839</v>
      </c>
      <c r="J90" s="23" t="s">
        <v>480</v>
      </c>
      <c r="K90" s="23" t="s">
        <v>400</v>
      </c>
      <c r="L90" s="30">
        <v>264.15546720787262</v>
      </c>
      <c r="M90" s="30">
        <v>220.12955600656051</v>
      </c>
      <c r="N90" s="30">
        <v>308.18137840918467</v>
      </c>
      <c r="O90" s="30">
        <v>6000</v>
      </c>
      <c r="P90" s="22">
        <v>2000</v>
      </c>
      <c r="Q90" s="22"/>
      <c r="R90" s="26" t="s">
        <v>13</v>
      </c>
      <c r="S90" s="6" t="s">
        <v>265</v>
      </c>
      <c r="T90" s="44"/>
      <c r="U90" s="79">
        <v>14.74</v>
      </c>
      <c r="W90" s="76"/>
      <c r="X90" s="30">
        <v>430.09710431476753</v>
      </c>
      <c r="Y90" s="26" t="s">
        <v>389</v>
      </c>
      <c r="Z90" s="26">
        <f t="shared" si="30"/>
        <v>387.75516946446925</v>
      </c>
      <c r="AA90" s="26">
        <f t="shared" si="30"/>
        <v>538.54710461375123</v>
      </c>
      <c r="AB90" s="77" t="s">
        <v>428</v>
      </c>
      <c r="AC90" s="77" t="s">
        <v>400</v>
      </c>
      <c r="AD90" s="77">
        <v>387.75516946446925</v>
      </c>
      <c r="AE90" s="77">
        <v>538.54710461375123</v>
      </c>
      <c r="AF90" s="26" t="s">
        <v>274</v>
      </c>
      <c r="AG90" s="25" t="s">
        <v>13</v>
      </c>
      <c r="AH90" s="6" t="s">
        <v>34</v>
      </c>
      <c r="AI90" s="44" t="s">
        <v>198</v>
      </c>
      <c r="AJ90" s="62">
        <v>183</v>
      </c>
      <c r="AK90" s="62"/>
      <c r="AL90" s="62"/>
      <c r="AM90" s="66">
        <f t="shared" si="38"/>
        <v>600</v>
      </c>
      <c r="AN90" s="26" t="s">
        <v>389</v>
      </c>
      <c r="AO90" s="66">
        <v>500</v>
      </c>
      <c r="AP90" s="100">
        <v>700</v>
      </c>
      <c r="AQ90" s="29" t="s">
        <v>426</v>
      </c>
      <c r="AR90" s="26" t="s">
        <v>422</v>
      </c>
      <c r="AS90" s="29"/>
      <c r="AT90" s="29"/>
      <c r="AU90" s="29"/>
      <c r="AV90" s="29" t="s">
        <v>60</v>
      </c>
      <c r="AW90" s="29"/>
      <c r="AX90" s="29" t="s">
        <v>13</v>
      </c>
      <c r="AY90" s="16" t="s">
        <v>839</v>
      </c>
      <c r="AZ90" s="55" t="s">
        <v>397</v>
      </c>
      <c r="BA90" s="97">
        <v>13.901770000000001</v>
      </c>
      <c r="BB90" s="59"/>
      <c r="BC90" s="59"/>
      <c r="BD90" s="29">
        <v>482.01370000000003</v>
      </c>
      <c r="BE90" s="29" t="s">
        <v>239</v>
      </c>
      <c r="BF90" s="29">
        <f t="shared" si="39"/>
        <v>428.47140000000002</v>
      </c>
      <c r="BG90" s="29">
        <f t="shared" si="39"/>
        <v>537.82540000000006</v>
      </c>
      <c r="BH90" s="29" t="s">
        <v>542</v>
      </c>
      <c r="BI90" s="23" t="s">
        <v>419</v>
      </c>
      <c r="BJ90" s="29">
        <v>428.47140000000002</v>
      </c>
      <c r="BK90" s="29">
        <v>537.82540000000006</v>
      </c>
      <c r="BL90" s="29" t="s">
        <v>840</v>
      </c>
      <c r="BM90" s="25" t="s">
        <v>13</v>
      </c>
      <c r="BO90" s="44"/>
      <c r="CA90" s="25" t="s">
        <v>13</v>
      </c>
      <c r="CC90" s="25" t="s">
        <v>13</v>
      </c>
    </row>
    <row r="91" spans="1:81">
      <c r="A91" s="11" t="s">
        <v>31</v>
      </c>
      <c r="B91" s="21" t="s">
        <v>434</v>
      </c>
      <c r="C91" s="80">
        <f>64.61+Q88</f>
        <v>65.61</v>
      </c>
      <c r="D91" s="15">
        <f t="shared" si="40"/>
        <v>66.61</v>
      </c>
      <c r="E91" s="15">
        <f t="shared" si="41"/>
        <v>64.61</v>
      </c>
      <c r="F91" s="23">
        <f t="shared" si="31"/>
        <v>111.16932153392366</v>
      </c>
      <c r="G91" s="23" t="s">
        <v>389</v>
      </c>
      <c r="H91" s="23">
        <f t="shared" si="32"/>
        <v>55.584660766961832</v>
      </c>
      <c r="I91" s="23">
        <f t="shared" si="33"/>
        <v>222.33864306784733</v>
      </c>
      <c r="J91" s="23" t="s">
        <v>480</v>
      </c>
      <c r="K91" s="23" t="s">
        <v>400</v>
      </c>
      <c r="L91" s="30">
        <v>333.50796460177099</v>
      </c>
      <c r="M91" s="30">
        <v>277.92330383480913</v>
      </c>
      <c r="N91" s="30">
        <v>389.0926253687328</v>
      </c>
      <c r="O91" s="30">
        <v>6000</v>
      </c>
      <c r="P91" s="22">
        <v>2000</v>
      </c>
      <c r="Q91" s="22"/>
      <c r="R91" s="26" t="s">
        <v>13</v>
      </c>
      <c r="S91" s="6" t="s">
        <v>265</v>
      </c>
      <c r="T91" s="44"/>
      <c r="U91" s="79">
        <v>15.84</v>
      </c>
      <c r="W91" s="76"/>
      <c r="X91" s="30">
        <v>401.79887907081172</v>
      </c>
      <c r="Y91" s="26" t="s">
        <v>389</v>
      </c>
      <c r="Z91" s="26">
        <f t="shared" si="30"/>
        <v>374.79397672458862</v>
      </c>
      <c r="AA91" s="26">
        <f t="shared" si="30"/>
        <v>486.39161535592746</v>
      </c>
      <c r="AB91" s="77" t="s">
        <v>428</v>
      </c>
      <c r="AC91" s="77" t="s">
        <v>400</v>
      </c>
      <c r="AD91" s="77">
        <v>374.79397672458862</v>
      </c>
      <c r="AE91" s="77">
        <v>486.39161535592746</v>
      </c>
      <c r="AF91" s="26" t="s">
        <v>274</v>
      </c>
      <c r="AG91" s="25" t="s">
        <v>13</v>
      </c>
      <c r="AH91" s="6" t="s">
        <v>36</v>
      </c>
      <c r="AI91" s="55" t="s">
        <v>205</v>
      </c>
      <c r="AJ91" s="59">
        <f t="shared" ref="AJ91:AJ124" si="42">AVERAGE(AK91:AL91)</f>
        <v>104.125</v>
      </c>
      <c r="AK91" s="59">
        <v>107.75</v>
      </c>
      <c r="AL91" s="59">
        <v>100.5</v>
      </c>
      <c r="AM91" s="29">
        <f>AVERAGE(AO91:AP91)</f>
        <v>1110</v>
      </c>
      <c r="AN91" s="29" t="s">
        <v>389</v>
      </c>
      <c r="AO91" s="100">
        <f>2*1*370</f>
        <v>740</v>
      </c>
      <c r="AP91" s="100">
        <f>2*2*370</f>
        <v>1480</v>
      </c>
      <c r="AQ91" s="29" t="s">
        <v>426</v>
      </c>
      <c r="AR91" s="29" t="s">
        <v>422</v>
      </c>
      <c r="AS91" s="29"/>
      <c r="AT91" s="29">
        <f>717-143</f>
        <v>574</v>
      </c>
      <c r="AU91" s="29">
        <f>1195+239</f>
        <v>1434</v>
      </c>
      <c r="AV91" s="29" t="s">
        <v>60</v>
      </c>
      <c r="AW91" s="29" t="s">
        <v>867</v>
      </c>
      <c r="AX91" s="29" t="s">
        <v>13</v>
      </c>
      <c r="AY91" s="16" t="s">
        <v>839</v>
      </c>
      <c r="AZ91" s="55" t="s">
        <v>397</v>
      </c>
      <c r="BA91" s="97">
        <v>13.95</v>
      </c>
      <c r="BB91" s="59"/>
      <c r="BC91" s="59"/>
      <c r="BD91" s="29">
        <v>532.36850000000004</v>
      </c>
      <c r="BE91" s="29" t="s">
        <v>239</v>
      </c>
      <c r="BF91" s="29">
        <f t="shared" si="39"/>
        <v>473.75400000000002</v>
      </c>
      <c r="BG91" s="29">
        <f t="shared" si="39"/>
        <v>593.50259999999992</v>
      </c>
      <c r="BH91" s="29" t="s">
        <v>542</v>
      </c>
      <c r="BI91" s="23" t="s">
        <v>419</v>
      </c>
      <c r="BJ91" s="29">
        <v>473.75400000000002</v>
      </c>
      <c r="BK91" s="29">
        <v>593.50259999999992</v>
      </c>
      <c r="BL91" s="29" t="s">
        <v>840</v>
      </c>
      <c r="BM91" s="25" t="s">
        <v>13</v>
      </c>
      <c r="BO91" s="44"/>
      <c r="CA91" s="25" t="s">
        <v>13</v>
      </c>
      <c r="CC91" s="25" t="s">
        <v>13</v>
      </c>
    </row>
    <row r="92" spans="1:81">
      <c r="A92" s="11" t="s">
        <v>31</v>
      </c>
      <c r="B92" s="21" t="s">
        <v>434</v>
      </c>
      <c r="C92" s="80">
        <f>64.77+Q88</f>
        <v>65.77</v>
      </c>
      <c r="D92" s="15">
        <f t="shared" si="40"/>
        <v>66.77</v>
      </c>
      <c r="E92" s="15">
        <f t="shared" si="41"/>
        <v>64.77</v>
      </c>
      <c r="F92" s="23">
        <f t="shared" si="31"/>
        <v>177.52590366667656</v>
      </c>
      <c r="G92" s="23" t="s">
        <v>389</v>
      </c>
      <c r="H92" s="23">
        <f t="shared" si="32"/>
        <v>88.762951833338278</v>
      </c>
      <c r="I92" s="23">
        <f t="shared" si="33"/>
        <v>355.05180733335311</v>
      </c>
      <c r="J92" s="23" t="s">
        <v>480</v>
      </c>
      <c r="K92" s="23" t="s">
        <v>400</v>
      </c>
      <c r="L92" s="30">
        <v>532.57771100002969</v>
      </c>
      <c r="M92" s="30">
        <v>443.81475916669137</v>
      </c>
      <c r="N92" s="30">
        <v>621.34066283336801</v>
      </c>
      <c r="O92" s="30">
        <v>6000</v>
      </c>
      <c r="P92" s="22">
        <v>2000</v>
      </c>
      <c r="Q92" s="22"/>
      <c r="R92" s="26" t="s">
        <v>13</v>
      </c>
      <c r="S92" s="6" t="s">
        <v>265</v>
      </c>
      <c r="T92" s="44"/>
      <c r="U92" s="79">
        <v>16.82</v>
      </c>
      <c r="W92" s="76"/>
      <c r="X92" s="30">
        <v>400.62638952798272</v>
      </c>
      <c r="Y92" s="26" t="s">
        <v>389</v>
      </c>
      <c r="Z92" s="26">
        <f t="shared" si="30"/>
        <v>369.97911595765765</v>
      </c>
      <c r="AA92" s="26">
        <f t="shared" si="30"/>
        <v>489.83523704952393</v>
      </c>
      <c r="AB92" s="77" t="s">
        <v>428</v>
      </c>
      <c r="AC92" s="77" t="s">
        <v>400</v>
      </c>
      <c r="AD92" s="77">
        <v>369.97911595765765</v>
      </c>
      <c r="AE92" s="77">
        <v>489.83523704952393</v>
      </c>
      <c r="AF92" s="26" t="s">
        <v>274</v>
      </c>
      <c r="AG92" s="25" t="s">
        <v>13</v>
      </c>
      <c r="AH92" s="6" t="s">
        <v>36</v>
      </c>
      <c r="AI92" s="55" t="s">
        <v>204</v>
      </c>
      <c r="AJ92" s="59">
        <f t="shared" si="42"/>
        <v>110.375</v>
      </c>
      <c r="AK92" s="59">
        <v>113</v>
      </c>
      <c r="AL92" s="59">
        <v>107.75</v>
      </c>
      <c r="AM92" s="29">
        <f t="shared" ref="AM92:AM99" si="43">AVERAGE(AO92:AP92)</f>
        <v>1110</v>
      </c>
      <c r="AN92" s="29" t="s">
        <v>389</v>
      </c>
      <c r="AO92" s="100">
        <f>2*1*370</f>
        <v>740</v>
      </c>
      <c r="AP92" s="100">
        <f>2*2*370</f>
        <v>1480</v>
      </c>
      <c r="AQ92" s="29" t="s">
        <v>426</v>
      </c>
      <c r="AR92" s="29" t="s">
        <v>422</v>
      </c>
      <c r="AS92" s="29"/>
      <c r="AT92" s="29">
        <f>723-120</f>
        <v>603</v>
      </c>
      <c r="AU92" s="29">
        <f>1206+200</f>
        <v>1406</v>
      </c>
      <c r="AV92" s="29" t="s">
        <v>60</v>
      </c>
      <c r="AW92" s="29" t="s">
        <v>867</v>
      </c>
      <c r="AX92" s="29" t="s">
        <v>13</v>
      </c>
      <c r="AY92" s="16" t="s">
        <v>841</v>
      </c>
      <c r="AZ92" s="97" t="s">
        <v>13</v>
      </c>
      <c r="BA92" s="97">
        <v>15.65358</v>
      </c>
      <c r="BB92" s="59"/>
      <c r="BC92" s="59"/>
      <c r="BD92" s="29">
        <v>443.0865</v>
      </c>
      <c r="BE92" s="29" t="s">
        <v>239</v>
      </c>
      <c r="BF92" s="29">
        <f t="shared" si="39"/>
        <v>393.22550000000001</v>
      </c>
      <c r="BG92" s="29">
        <f t="shared" si="39"/>
        <v>495.3793</v>
      </c>
      <c r="BH92" s="29" t="s">
        <v>542</v>
      </c>
      <c r="BI92" s="23" t="s">
        <v>419</v>
      </c>
      <c r="BJ92" s="29">
        <v>393.22550000000001</v>
      </c>
      <c r="BK92" s="29">
        <v>495.3793</v>
      </c>
      <c r="BL92" s="29" t="s">
        <v>837</v>
      </c>
      <c r="BM92" s="25" t="s">
        <v>13</v>
      </c>
      <c r="BO92" s="44"/>
      <c r="CA92" s="25" t="s">
        <v>13</v>
      </c>
      <c r="CC92" s="25" t="s">
        <v>13</v>
      </c>
    </row>
    <row r="93" spans="1:81">
      <c r="A93" s="11" t="s">
        <v>31</v>
      </c>
      <c r="B93" s="21" t="s">
        <v>434</v>
      </c>
      <c r="C93" s="80">
        <f>64.91+Q88</f>
        <v>65.91</v>
      </c>
      <c r="D93" s="15">
        <f t="shared" si="40"/>
        <v>66.91</v>
      </c>
      <c r="E93" s="15">
        <f t="shared" si="41"/>
        <v>64.91</v>
      </c>
      <c r="F93" s="23">
        <f t="shared" si="31"/>
        <v>53.751859419697908</v>
      </c>
      <c r="G93" s="23" t="s">
        <v>389</v>
      </c>
      <c r="H93" s="23">
        <f t="shared" si="32"/>
        <v>26.875929709848954</v>
      </c>
      <c r="I93" s="23">
        <f t="shared" si="33"/>
        <v>107.50371883939582</v>
      </c>
      <c r="J93" s="23" t="s">
        <v>480</v>
      </c>
      <c r="K93" s="23" t="s">
        <v>400</v>
      </c>
      <c r="L93" s="30">
        <v>161.25557825909371</v>
      </c>
      <c r="M93" s="30">
        <v>134.37964854924476</v>
      </c>
      <c r="N93" s="30">
        <v>188.13150796894269</v>
      </c>
      <c r="O93" s="30">
        <v>6000</v>
      </c>
      <c r="P93" s="22">
        <v>2000</v>
      </c>
      <c r="Q93" s="22"/>
      <c r="R93" s="26" t="s">
        <v>13</v>
      </c>
      <c r="S93" s="6" t="s">
        <v>265</v>
      </c>
      <c r="T93" s="44"/>
      <c r="U93" s="79">
        <v>18.260000000000002</v>
      </c>
      <c r="W93" s="76"/>
      <c r="X93" s="30">
        <v>411.86085830675381</v>
      </c>
      <c r="Y93" s="26" t="s">
        <v>389</v>
      </c>
      <c r="Z93" s="26">
        <f t="shared" si="30"/>
        <v>383.51452887600766</v>
      </c>
      <c r="AA93" s="26">
        <f t="shared" si="30"/>
        <v>499.43584889305578</v>
      </c>
      <c r="AB93" s="77" t="s">
        <v>428</v>
      </c>
      <c r="AC93" s="77" t="s">
        <v>400</v>
      </c>
      <c r="AD93" s="77">
        <v>383.51452887600766</v>
      </c>
      <c r="AE93" s="77">
        <v>499.43584889305578</v>
      </c>
      <c r="AF93" s="26" t="s">
        <v>274</v>
      </c>
      <c r="AG93" s="25" t="s">
        <v>13</v>
      </c>
      <c r="AH93" s="6" t="s">
        <v>36</v>
      </c>
      <c r="AI93" s="55" t="s">
        <v>203</v>
      </c>
      <c r="AJ93" s="59">
        <f t="shared" si="42"/>
        <v>116.5</v>
      </c>
      <c r="AK93" s="59">
        <v>120</v>
      </c>
      <c r="AL93" s="59">
        <v>113</v>
      </c>
      <c r="AM93" s="29">
        <f t="shared" si="43"/>
        <v>1054.5</v>
      </c>
      <c r="AN93" s="29" t="s">
        <v>389</v>
      </c>
      <c r="AO93" s="100">
        <f>1.9*1*370</f>
        <v>703</v>
      </c>
      <c r="AP93" s="100">
        <f>1.9*2*370</f>
        <v>1406</v>
      </c>
      <c r="AQ93" s="29" t="s">
        <v>426</v>
      </c>
      <c r="AR93" s="29" t="s">
        <v>422</v>
      </c>
      <c r="AS93" s="29"/>
      <c r="AT93" s="29">
        <f>696-102</f>
        <v>594</v>
      </c>
      <c r="AU93" s="29">
        <f>1160+170</f>
        <v>1330</v>
      </c>
      <c r="AV93" s="29" t="s">
        <v>60</v>
      </c>
      <c r="AW93" s="29" t="s">
        <v>867</v>
      </c>
      <c r="AX93" s="29" t="s">
        <v>13</v>
      </c>
      <c r="AY93" s="16" t="s">
        <v>841</v>
      </c>
      <c r="AZ93" s="97" t="s">
        <v>13</v>
      </c>
      <c r="BA93" s="97">
        <v>15.71546</v>
      </c>
      <c r="BB93" s="59"/>
      <c r="BC93" s="59"/>
      <c r="BD93" s="29">
        <v>608.55130000000008</v>
      </c>
      <c r="BE93" s="29" t="s">
        <v>239</v>
      </c>
      <c r="BF93" s="29">
        <f t="shared" si="39"/>
        <v>539.90410000000008</v>
      </c>
      <c r="BG93" s="29">
        <f t="shared" si="39"/>
        <v>689.08920000000001</v>
      </c>
      <c r="BH93" s="29" t="s">
        <v>542</v>
      </c>
      <c r="BI93" s="23" t="s">
        <v>419</v>
      </c>
      <c r="BJ93" s="29">
        <v>539.90410000000008</v>
      </c>
      <c r="BK93" s="29">
        <v>689.08920000000001</v>
      </c>
      <c r="BL93" s="29" t="s">
        <v>837</v>
      </c>
      <c r="BM93" s="25" t="s">
        <v>13</v>
      </c>
      <c r="BO93" s="44"/>
      <c r="CA93" s="25" t="s">
        <v>13</v>
      </c>
      <c r="CC93" s="25" t="s">
        <v>13</v>
      </c>
    </row>
    <row r="94" spans="1:81">
      <c r="A94" s="11" t="s">
        <v>31</v>
      </c>
      <c r="B94" s="21" t="s">
        <v>434</v>
      </c>
      <c r="C94" s="80">
        <f>65.08+Q88</f>
        <v>66.08</v>
      </c>
      <c r="D94" s="15">
        <f t="shared" si="40"/>
        <v>67.08</v>
      </c>
      <c r="E94" s="15">
        <f t="shared" si="41"/>
        <v>65.08</v>
      </c>
      <c r="F94" s="23">
        <f t="shared" si="31"/>
        <v>183.11429896249933</v>
      </c>
      <c r="G94" s="23" t="s">
        <v>389</v>
      </c>
      <c r="H94" s="23">
        <f t="shared" si="32"/>
        <v>91.557149481249667</v>
      </c>
      <c r="I94" s="23">
        <f t="shared" si="33"/>
        <v>366.22859792499867</v>
      </c>
      <c r="J94" s="23" t="s">
        <v>480</v>
      </c>
      <c r="K94" s="23" t="s">
        <v>400</v>
      </c>
      <c r="L94" s="30">
        <v>549.342896887498</v>
      </c>
      <c r="M94" s="30">
        <v>457.78574740624833</v>
      </c>
      <c r="N94" s="30">
        <v>640.90004636874767</v>
      </c>
      <c r="O94" s="30">
        <v>6000</v>
      </c>
      <c r="P94" s="22">
        <v>2000</v>
      </c>
      <c r="Q94" s="22"/>
      <c r="R94" s="26" t="s">
        <v>13</v>
      </c>
      <c r="S94" s="6" t="s">
        <v>265</v>
      </c>
      <c r="T94" s="44"/>
      <c r="U94" s="79">
        <v>20.3</v>
      </c>
      <c r="W94" s="76"/>
      <c r="X94" s="30">
        <v>357.83055533191026</v>
      </c>
      <c r="Y94" s="26" t="s">
        <v>389</v>
      </c>
      <c r="Z94" s="26">
        <f t="shared" si="30"/>
        <v>332.42439337406785</v>
      </c>
      <c r="AA94" s="26">
        <f t="shared" si="30"/>
        <v>434.93045889780836</v>
      </c>
      <c r="AB94" s="77" t="s">
        <v>428</v>
      </c>
      <c r="AC94" s="77" t="s">
        <v>400</v>
      </c>
      <c r="AD94" s="77">
        <v>332.42439337406785</v>
      </c>
      <c r="AE94" s="77">
        <v>434.93045889780836</v>
      </c>
      <c r="AF94" s="26" t="s">
        <v>274</v>
      </c>
      <c r="AG94" s="25" t="s">
        <v>13</v>
      </c>
      <c r="AH94" s="6" t="s">
        <v>36</v>
      </c>
      <c r="AI94" s="55" t="s">
        <v>202</v>
      </c>
      <c r="AJ94" s="59">
        <f t="shared" si="42"/>
        <v>123</v>
      </c>
      <c r="AK94" s="59">
        <v>125</v>
      </c>
      <c r="AL94" s="59">
        <v>121</v>
      </c>
      <c r="AM94" s="29">
        <f t="shared" si="43"/>
        <v>1110</v>
      </c>
      <c r="AN94" s="29" t="s">
        <v>389</v>
      </c>
      <c r="AO94" s="100">
        <f>2*1*370</f>
        <v>740</v>
      </c>
      <c r="AP94" s="100">
        <f>2*2*370</f>
        <v>1480</v>
      </c>
      <c r="AQ94" s="29" t="s">
        <v>426</v>
      </c>
      <c r="AR94" s="29" t="s">
        <v>422</v>
      </c>
      <c r="AS94" s="29"/>
      <c r="AT94" s="29">
        <f>705-123</f>
        <v>582</v>
      </c>
      <c r="AU94" s="29">
        <f>1175+205</f>
        <v>1380</v>
      </c>
      <c r="AV94" s="29" t="s">
        <v>60</v>
      </c>
      <c r="AW94" s="29" t="s">
        <v>867</v>
      </c>
      <c r="AX94" s="29" t="s">
        <v>13</v>
      </c>
      <c r="AY94" s="16" t="s">
        <v>841</v>
      </c>
      <c r="AZ94" s="97" t="s">
        <v>13</v>
      </c>
      <c r="BA94" s="97">
        <v>15.72953</v>
      </c>
      <c r="BB94" s="59"/>
      <c r="BC94" s="59"/>
      <c r="BD94" s="29">
        <v>646.14179999999999</v>
      </c>
      <c r="BE94" s="29" t="s">
        <v>239</v>
      </c>
      <c r="BF94" s="29">
        <f t="shared" si="39"/>
        <v>569.46030000000007</v>
      </c>
      <c r="BG94" s="29">
        <f t="shared" si="39"/>
        <v>730.20510000000002</v>
      </c>
      <c r="BH94" s="29" t="s">
        <v>542</v>
      </c>
      <c r="BI94" s="23" t="s">
        <v>419</v>
      </c>
      <c r="BJ94" s="29">
        <v>569.46030000000007</v>
      </c>
      <c r="BK94" s="29">
        <v>730.20510000000002</v>
      </c>
      <c r="BL94" s="29" t="s">
        <v>837</v>
      </c>
      <c r="BM94" s="25" t="s">
        <v>13</v>
      </c>
      <c r="BO94" s="44"/>
      <c r="CA94" s="25" t="s">
        <v>13</v>
      </c>
      <c r="CC94" s="25" t="s">
        <v>13</v>
      </c>
    </row>
    <row r="95" spans="1:81">
      <c r="A95" s="11" t="s">
        <v>31</v>
      </c>
      <c r="B95" s="21" t="s">
        <v>434</v>
      </c>
      <c r="C95" s="80">
        <f>65.24+Q88</f>
        <v>66.239999999999995</v>
      </c>
      <c r="D95" s="15">
        <f t="shared" si="40"/>
        <v>67.239999999999995</v>
      </c>
      <c r="E95" s="15">
        <f t="shared" si="41"/>
        <v>65.239999999999995</v>
      </c>
      <c r="F95" s="23">
        <f t="shared" si="31"/>
        <v>277.33230490018167</v>
      </c>
      <c r="G95" s="23" t="s">
        <v>389</v>
      </c>
      <c r="H95" s="23">
        <f t="shared" si="32"/>
        <v>138.66615245009083</v>
      </c>
      <c r="I95" s="23">
        <f t="shared" si="33"/>
        <v>554.66460980036334</v>
      </c>
      <c r="J95" s="23" t="s">
        <v>480</v>
      </c>
      <c r="K95" s="23" t="s">
        <v>400</v>
      </c>
      <c r="L95" s="30">
        <v>831.99691470054506</v>
      </c>
      <c r="M95" s="30">
        <v>693.3307622504542</v>
      </c>
      <c r="N95" s="30">
        <v>970.66306715063592</v>
      </c>
      <c r="O95" s="30">
        <v>6000</v>
      </c>
      <c r="P95" s="22">
        <v>2000</v>
      </c>
      <c r="Q95" s="22"/>
      <c r="R95" s="26" t="s">
        <v>13</v>
      </c>
      <c r="S95" s="6" t="s">
        <v>265</v>
      </c>
      <c r="T95" s="44"/>
      <c r="U95" s="79">
        <v>22.94</v>
      </c>
      <c r="W95" s="76"/>
      <c r="X95" s="30">
        <v>461.81713127660055</v>
      </c>
      <c r="Y95" s="26" t="s">
        <v>389</v>
      </c>
      <c r="Z95" s="26">
        <f t="shared" si="30"/>
        <v>430.02264498173173</v>
      </c>
      <c r="AA95" s="26">
        <f t="shared" si="30"/>
        <v>560.02759883896647</v>
      </c>
      <c r="AB95" s="77" t="s">
        <v>428</v>
      </c>
      <c r="AC95" s="77" t="s">
        <v>400</v>
      </c>
      <c r="AD95" s="77">
        <v>430.02264498173173</v>
      </c>
      <c r="AE95" s="77">
        <v>560.02759883896647</v>
      </c>
      <c r="AF95" s="26" t="s">
        <v>274</v>
      </c>
      <c r="AG95" s="25" t="s">
        <v>13</v>
      </c>
      <c r="AH95" s="6" t="s">
        <v>36</v>
      </c>
      <c r="AI95" s="55" t="s">
        <v>53</v>
      </c>
      <c r="AJ95" s="59">
        <f t="shared" si="42"/>
        <v>124.65</v>
      </c>
      <c r="AK95" s="59">
        <v>126.3</v>
      </c>
      <c r="AL95" s="59">
        <v>123</v>
      </c>
      <c r="AM95" s="29">
        <f t="shared" si="43"/>
        <v>999</v>
      </c>
      <c r="AN95" s="29" t="s">
        <v>389</v>
      </c>
      <c r="AO95" s="100">
        <f>1.8*1*370</f>
        <v>666</v>
      </c>
      <c r="AP95" s="100">
        <f>1.8*2*370</f>
        <v>1332</v>
      </c>
      <c r="AQ95" s="29" t="s">
        <v>426</v>
      </c>
      <c r="AR95" s="29" t="s">
        <v>422</v>
      </c>
      <c r="AS95" s="29"/>
      <c r="AT95" s="29">
        <f>637-116</f>
        <v>521</v>
      </c>
      <c r="AU95" s="29">
        <f>1062+194</f>
        <v>1256</v>
      </c>
      <c r="AV95" s="29" t="s">
        <v>60</v>
      </c>
      <c r="AW95" s="29" t="s">
        <v>867</v>
      </c>
      <c r="AX95" s="29" t="s">
        <v>13</v>
      </c>
      <c r="AY95" s="16" t="s">
        <v>841</v>
      </c>
      <c r="AZ95" s="97" t="s">
        <v>13</v>
      </c>
      <c r="BA95" s="97">
        <v>15.743589999999999</v>
      </c>
      <c r="BB95" s="59"/>
      <c r="BC95" s="59"/>
      <c r="BD95" s="29">
        <v>480.30449999999996</v>
      </c>
      <c r="BE95" s="29" t="s">
        <v>239</v>
      </c>
      <c r="BF95" s="29">
        <f t="shared" si="39"/>
        <v>426.2987</v>
      </c>
      <c r="BG95" s="29">
        <f t="shared" si="39"/>
        <v>538.79790000000003</v>
      </c>
      <c r="BH95" s="29" t="s">
        <v>542</v>
      </c>
      <c r="BI95" s="23" t="s">
        <v>419</v>
      </c>
      <c r="BJ95" s="29">
        <v>426.2987</v>
      </c>
      <c r="BK95" s="29">
        <v>538.79790000000003</v>
      </c>
      <c r="BL95" s="29" t="s">
        <v>837</v>
      </c>
      <c r="BM95" s="25" t="s">
        <v>13</v>
      </c>
      <c r="BO95" s="44"/>
      <c r="CA95" s="25" t="s">
        <v>13</v>
      </c>
      <c r="CC95" s="25" t="s">
        <v>13</v>
      </c>
    </row>
    <row r="96" spans="1:81">
      <c r="A96" s="11" t="s">
        <v>31</v>
      </c>
      <c r="B96" s="21" t="s">
        <v>434</v>
      </c>
      <c r="C96" s="80">
        <f>65.43+Q88</f>
        <v>66.430000000000007</v>
      </c>
      <c r="D96" s="15">
        <f t="shared" si="40"/>
        <v>67.430000000000007</v>
      </c>
      <c r="E96" s="15">
        <f t="shared" si="41"/>
        <v>65.430000000000007</v>
      </c>
      <c r="F96" s="23">
        <f t="shared" si="31"/>
        <v>90.239695377860102</v>
      </c>
      <c r="G96" s="23" t="s">
        <v>389</v>
      </c>
      <c r="H96" s="23">
        <f t="shared" si="32"/>
        <v>45.119847688930051</v>
      </c>
      <c r="I96" s="23">
        <f t="shared" si="33"/>
        <v>180.4793907557202</v>
      </c>
      <c r="J96" s="23" t="s">
        <v>480</v>
      </c>
      <c r="K96" s="23" t="s">
        <v>400</v>
      </c>
      <c r="L96" s="30">
        <v>270.71908613358028</v>
      </c>
      <c r="M96" s="30">
        <v>225.59923844465021</v>
      </c>
      <c r="N96" s="30">
        <v>315.83893382251028</v>
      </c>
      <c r="O96" s="30">
        <v>6000</v>
      </c>
      <c r="P96" s="22">
        <v>2000</v>
      </c>
      <c r="Q96" s="22"/>
      <c r="R96" s="26" t="s">
        <v>13</v>
      </c>
      <c r="S96" s="6" t="s">
        <v>265</v>
      </c>
      <c r="T96" s="44"/>
      <c r="U96" s="79">
        <v>23.48</v>
      </c>
      <c r="W96" s="76"/>
      <c r="X96" s="30">
        <v>410.169486547286</v>
      </c>
      <c r="Y96" s="26" t="s">
        <v>389</v>
      </c>
      <c r="Z96" s="26">
        <f t="shared" si="30"/>
        <v>382.50577609292111</v>
      </c>
      <c r="AA96" s="26">
        <f t="shared" si="30"/>
        <v>496.64935626646889</v>
      </c>
      <c r="AB96" s="77" t="s">
        <v>428</v>
      </c>
      <c r="AC96" s="77" t="s">
        <v>400</v>
      </c>
      <c r="AD96" s="77">
        <v>382.50577609292111</v>
      </c>
      <c r="AE96" s="77">
        <v>496.64935626646889</v>
      </c>
      <c r="AF96" s="26" t="s">
        <v>274</v>
      </c>
      <c r="AG96" s="25" t="s">
        <v>13</v>
      </c>
      <c r="AH96" s="6" t="s">
        <v>36</v>
      </c>
      <c r="AI96" s="55" t="s">
        <v>52</v>
      </c>
      <c r="AJ96" s="59">
        <f t="shared" si="42"/>
        <v>127.9</v>
      </c>
      <c r="AK96" s="59">
        <v>129.5</v>
      </c>
      <c r="AL96" s="59">
        <v>126.3</v>
      </c>
      <c r="AM96" s="29">
        <f t="shared" si="43"/>
        <v>999</v>
      </c>
      <c r="AN96" s="29" t="s">
        <v>389</v>
      </c>
      <c r="AO96" s="100">
        <f>1.8*1*370</f>
        <v>666</v>
      </c>
      <c r="AP96" s="100">
        <f>1.8*2*370</f>
        <v>1332</v>
      </c>
      <c r="AQ96" s="29" t="s">
        <v>426</v>
      </c>
      <c r="AR96" s="29" t="s">
        <v>422</v>
      </c>
      <c r="AS96" s="29"/>
      <c r="AT96" s="29">
        <f>640-112</f>
        <v>528</v>
      </c>
      <c r="AU96" s="29">
        <f>1067+186</f>
        <v>1253</v>
      </c>
      <c r="AV96" s="29" t="s">
        <v>60</v>
      </c>
      <c r="AW96" s="29" t="s">
        <v>867</v>
      </c>
      <c r="AX96" s="29" t="s">
        <v>13</v>
      </c>
      <c r="AY96" s="16" t="s">
        <v>841</v>
      </c>
      <c r="AZ96" s="97" t="s">
        <v>13</v>
      </c>
      <c r="BA96" s="97">
        <v>15.77172</v>
      </c>
      <c r="BB96" s="59"/>
      <c r="BC96" s="59"/>
      <c r="BD96" s="29">
        <v>432.15799999999996</v>
      </c>
      <c r="BE96" s="29" t="s">
        <v>239</v>
      </c>
      <c r="BF96" s="29">
        <f t="shared" si="39"/>
        <v>381.62299999999999</v>
      </c>
      <c r="BG96" s="29">
        <f t="shared" si="39"/>
        <v>484.47300000000001</v>
      </c>
      <c r="BH96" s="29" t="s">
        <v>542</v>
      </c>
      <c r="BI96" s="23" t="s">
        <v>419</v>
      </c>
      <c r="BJ96" s="29">
        <v>381.62299999999999</v>
      </c>
      <c r="BK96" s="29">
        <v>484.47300000000001</v>
      </c>
      <c r="BL96" s="29" t="s">
        <v>837</v>
      </c>
      <c r="BM96" s="25" t="s">
        <v>13</v>
      </c>
      <c r="BO96" s="44"/>
      <c r="CA96" s="25" t="s">
        <v>13</v>
      </c>
      <c r="CC96" s="25" t="s">
        <v>13</v>
      </c>
    </row>
    <row r="97" spans="1:81">
      <c r="A97" s="11" t="s">
        <v>31</v>
      </c>
      <c r="B97" s="21" t="s">
        <v>434</v>
      </c>
      <c r="C97" s="80">
        <f>65.5+Q88</f>
        <v>66.5</v>
      </c>
      <c r="D97" s="15">
        <f t="shared" si="40"/>
        <v>67.5</v>
      </c>
      <c r="E97" s="15">
        <f t="shared" si="41"/>
        <v>65.5</v>
      </c>
      <c r="F97" s="23">
        <f t="shared" si="31"/>
        <v>0</v>
      </c>
      <c r="G97" s="23" t="s">
        <v>389</v>
      </c>
      <c r="H97" s="23">
        <f t="shared" si="32"/>
        <v>0</v>
      </c>
      <c r="I97" s="23">
        <f t="shared" si="33"/>
        <v>0</v>
      </c>
      <c r="J97" s="23" t="s">
        <v>480</v>
      </c>
      <c r="K97" s="23" t="s">
        <v>400</v>
      </c>
      <c r="L97" s="30">
        <v>0</v>
      </c>
      <c r="M97" s="30">
        <v>0</v>
      </c>
      <c r="N97" s="30">
        <v>0</v>
      </c>
      <c r="O97" s="30">
        <v>6000</v>
      </c>
      <c r="P97" s="22">
        <v>2000</v>
      </c>
      <c r="Q97" s="22"/>
      <c r="R97" s="26" t="s">
        <v>13</v>
      </c>
      <c r="S97" s="6" t="s">
        <v>265</v>
      </c>
      <c r="T97" s="44"/>
      <c r="U97" s="79">
        <v>25.3</v>
      </c>
      <c r="W97" s="76"/>
      <c r="X97" s="30">
        <v>416.20041488698217</v>
      </c>
      <c r="Y97" s="26" t="s">
        <v>389</v>
      </c>
      <c r="Z97" s="26">
        <f t="shared" si="30"/>
        <v>386.35693465190081</v>
      </c>
      <c r="AA97" s="26">
        <f t="shared" si="30"/>
        <v>506.26051166624325</v>
      </c>
      <c r="AB97" s="77" t="s">
        <v>428</v>
      </c>
      <c r="AC97" s="77" t="s">
        <v>400</v>
      </c>
      <c r="AD97" s="77">
        <v>386.35693465190081</v>
      </c>
      <c r="AE97" s="77">
        <v>506.26051166624325</v>
      </c>
      <c r="AF97" s="26" t="s">
        <v>274</v>
      </c>
      <c r="AG97" s="25" t="s">
        <v>13</v>
      </c>
      <c r="AH97" s="6" t="s">
        <v>36</v>
      </c>
      <c r="AI97" s="55" t="s">
        <v>201</v>
      </c>
      <c r="AJ97" s="59">
        <f t="shared" si="42"/>
        <v>130.15</v>
      </c>
      <c r="AK97" s="59">
        <v>130.80000000000001</v>
      </c>
      <c r="AL97" s="59">
        <v>129.5</v>
      </c>
      <c r="AM97" s="29">
        <f t="shared" si="43"/>
        <v>888</v>
      </c>
      <c r="AN97" s="29" t="s">
        <v>389</v>
      </c>
      <c r="AO97" s="100">
        <f>1.6*1*370</f>
        <v>592</v>
      </c>
      <c r="AP97" s="100">
        <f>1.6*2*370</f>
        <v>1184</v>
      </c>
      <c r="AQ97" s="29" t="s">
        <v>426</v>
      </c>
      <c r="AR97" s="29" t="s">
        <v>422</v>
      </c>
      <c r="AS97" s="29"/>
      <c r="AT97" s="29">
        <f>567-113</f>
        <v>454</v>
      </c>
      <c r="AU97" s="29">
        <f>945+189</f>
        <v>1134</v>
      </c>
      <c r="AV97" s="29" t="s">
        <v>60</v>
      </c>
      <c r="AW97" s="29" t="s">
        <v>867</v>
      </c>
      <c r="AX97" s="29" t="s">
        <v>13</v>
      </c>
      <c r="AY97" s="16" t="s">
        <v>841</v>
      </c>
      <c r="AZ97" s="97" t="s">
        <v>13</v>
      </c>
      <c r="BA97" s="97">
        <v>15.81392</v>
      </c>
      <c r="BB97" s="59"/>
      <c r="BC97" s="59"/>
      <c r="BD97" s="29">
        <v>423.66899999999998</v>
      </c>
      <c r="BE97" s="29" t="s">
        <v>239</v>
      </c>
      <c r="BF97" s="29">
        <f t="shared" si="39"/>
        <v>373.23430000000002</v>
      </c>
      <c r="BG97" s="29">
        <f t="shared" si="39"/>
        <v>479.47680000000003</v>
      </c>
      <c r="BH97" s="29" t="s">
        <v>542</v>
      </c>
      <c r="BI97" s="23" t="s">
        <v>419</v>
      </c>
      <c r="BJ97" s="29">
        <v>373.23430000000002</v>
      </c>
      <c r="BK97" s="29">
        <v>479.47680000000003</v>
      </c>
      <c r="BL97" s="29" t="s">
        <v>837</v>
      </c>
      <c r="BM97" s="25" t="s">
        <v>13</v>
      </c>
      <c r="BO97" s="44"/>
      <c r="CA97" s="25" t="s">
        <v>13</v>
      </c>
      <c r="CC97" s="25" t="s">
        <v>13</v>
      </c>
    </row>
    <row r="98" spans="1:81">
      <c r="A98" s="11" t="s">
        <v>31</v>
      </c>
      <c r="B98" s="21" t="s">
        <v>434</v>
      </c>
      <c r="C98" s="80">
        <f>65.5+Q88</f>
        <v>66.5</v>
      </c>
      <c r="D98" s="15">
        <f t="shared" si="40"/>
        <v>67.5</v>
      </c>
      <c r="E98" s="15">
        <f t="shared" si="41"/>
        <v>65.5</v>
      </c>
      <c r="F98" s="23">
        <f t="shared" si="31"/>
        <v>42.475583748017719</v>
      </c>
      <c r="G98" s="23" t="s">
        <v>389</v>
      </c>
      <c r="H98" s="23">
        <f t="shared" si="32"/>
        <v>21.23779187400886</v>
      </c>
      <c r="I98" s="23">
        <f t="shared" si="33"/>
        <v>84.951167496035438</v>
      </c>
      <c r="J98" s="23" t="s">
        <v>480</v>
      </c>
      <c r="K98" s="23" t="s">
        <v>400</v>
      </c>
      <c r="L98" s="30">
        <v>127.42675124405315</v>
      </c>
      <c r="M98" s="30">
        <v>106.18895937004429</v>
      </c>
      <c r="N98" s="30">
        <v>148.664543118062</v>
      </c>
      <c r="O98" s="30">
        <v>6000</v>
      </c>
      <c r="P98" s="22">
        <v>2000</v>
      </c>
      <c r="Q98" s="22"/>
      <c r="R98" s="26" t="s">
        <v>13</v>
      </c>
      <c r="S98" s="6" t="s">
        <v>265</v>
      </c>
      <c r="T98" s="44"/>
      <c r="U98" s="79">
        <v>26.57</v>
      </c>
      <c r="W98" s="76"/>
      <c r="X98" s="30">
        <v>655.71491851257031</v>
      </c>
      <c r="Y98" s="26" t="s">
        <v>389</v>
      </c>
      <c r="Z98" s="26">
        <f t="shared" si="30"/>
        <v>588.31720139805134</v>
      </c>
      <c r="AA98" s="26">
        <f t="shared" si="30"/>
        <v>825.20013613567767</v>
      </c>
      <c r="AB98" s="77" t="s">
        <v>428</v>
      </c>
      <c r="AC98" s="77" t="s">
        <v>400</v>
      </c>
      <c r="AD98" s="77">
        <v>588.31720139805134</v>
      </c>
      <c r="AE98" s="77">
        <v>825.20013613567767</v>
      </c>
      <c r="AF98" s="26" t="s">
        <v>274</v>
      </c>
      <c r="AG98" s="25" t="s">
        <v>13</v>
      </c>
      <c r="AH98" s="6" t="s">
        <v>36</v>
      </c>
      <c r="AI98" s="55" t="s">
        <v>200</v>
      </c>
      <c r="AJ98" s="59">
        <f t="shared" si="42"/>
        <v>131.4</v>
      </c>
      <c r="AK98" s="59">
        <v>132</v>
      </c>
      <c r="AL98" s="59">
        <v>130.80000000000001</v>
      </c>
      <c r="AM98" s="29">
        <f t="shared" si="43"/>
        <v>999</v>
      </c>
      <c r="AN98" s="29" t="s">
        <v>389</v>
      </c>
      <c r="AO98" s="100">
        <f>1.8*1*370</f>
        <v>666</v>
      </c>
      <c r="AP98" s="100">
        <f>1.8*2*370</f>
        <v>1332</v>
      </c>
      <c r="AQ98" s="29" t="s">
        <v>426</v>
      </c>
      <c r="AR98" s="29" t="s">
        <v>422</v>
      </c>
      <c r="AS98" s="29"/>
      <c r="AT98" s="29">
        <f>630-136</f>
        <v>494</v>
      </c>
      <c r="AU98" s="29">
        <f>1050+227</f>
        <v>1277</v>
      </c>
      <c r="AV98" s="29" t="s">
        <v>60</v>
      </c>
      <c r="AW98" s="29" t="s">
        <v>867</v>
      </c>
      <c r="AX98" s="29" t="s">
        <v>13</v>
      </c>
      <c r="AY98" s="16" t="s">
        <v>841</v>
      </c>
      <c r="AZ98" s="97" t="s">
        <v>13</v>
      </c>
      <c r="BA98" s="97">
        <v>15.84205</v>
      </c>
      <c r="BB98" s="59"/>
      <c r="BC98" s="59"/>
      <c r="BD98" s="29">
        <v>669.38779999999997</v>
      </c>
      <c r="BE98" s="29" t="s">
        <v>239</v>
      </c>
      <c r="BF98" s="29">
        <f t="shared" si="39"/>
        <v>574.96559999999999</v>
      </c>
      <c r="BG98" s="29">
        <f t="shared" si="39"/>
        <v>786.07630000000006</v>
      </c>
      <c r="BH98" s="29" t="s">
        <v>542</v>
      </c>
      <c r="BI98" s="23" t="s">
        <v>419</v>
      </c>
      <c r="BJ98" s="29">
        <v>574.96559999999999</v>
      </c>
      <c r="BK98" s="29">
        <v>786.07630000000006</v>
      </c>
      <c r="BL98" s="29" t="s">
        <v>837</v>
      </c>
      <c r="BM98" s="25" t="s">
        <v>13</v>
      </c>
      <c r="BO98" s="44"/>
      <c r="CA98" s="25" t="s">
        <v>13</v>
      </c>
      <c r="CC98" s="25" t="s">
        <v>13</v>
      </c>
    </row>
    <row r="99" spans="1:81">
      <c r="A99" s="11" t="s">
        <v>31</v>
      </c>
      <c r="B99" s="21" t="s">
        <v>434</v>
      </c>
      <c r="C99" s="80">
        <f>65.6+Q88</f>
        <v>66.599999999999994</v>
      </c>
      <c r="D99" s="15">
        <f t="shared" si="40"/>
        <v>67.599999999999994</v>
      </c>
      <c r="E99" s="15">
        <f t="shared" si="41"/>
        <v>65.599999999999994</v>
      </c>
      <c r="F99" s="23">
        <f t="shared" si="31"/>
        <v>14.995849504097869</v>
      </c>
      <c r="G99" s="23" t="s">
        <v>389</v>
      </c>
      <c r="H99" s="23">
        <f t="shared" si="32"/>
        <v>7.4979247520489345</v>
      </c>
      <c r="I99" s="23">
        <f t="shared" si="33"/>
        <v>29.991699008195738</v>
      </c>
      <c r="J99" s="23" t="s">
        <v>480</v>
      </c>
      <c r="K99" s="23" t="s">
        <v>400</v>
      </c>
      <c r="L99" s="30">
        <v>44.987548512293607</v>
      </c>
      <c r="M99" s="30">
        <v>37.489623760244669</v>
      </c>
      <c r="N99" s="30">
        <v>52.485473264342538</v>
      </c>
      <c r="O99" s="30">
        <v>6000</v>
      </c>
      <c r="P99" s="22">
        <v>2000</v>
      </c>
      <c r="Q99" s="22"/>
      <c r="R99" s="26" t="s">
        <v>13</v>
      </c>
      <c r="S99" s="6" t="s">
        <v>265</v>
      </c>
      <c r="T99" s="44"/>
      <c r="U99" s="79">
        <v>27.85</v>
      </c>
      <c r="W99" s="76"/>
      <c r="X99" s="30">
        <v>711.77477607957348</v>
      </c>
      <c r="Y99" s="26" t="s">
        <v>389</v>
      </c>
      <c r="Z99" s="26">
        <f t="shared" si="30"/>
        <v>625.92555221476471</v>
      </c>
      <c r="AA99" s="26">
        <f t="shared" si="30"/>
        <v>913.98699292968035</v>
      </c>
      <c r="AB99" s="77" t="s">
        <v>428</v>
      </c>
      <c r="AC99" s="77" t="s">
        <v>400</v>
      </c>
      <c r="AD99" s="77">
        <v>625.92555221476471</v>
      </c>
      <c r="AE99" s="77">
        <v>913.98699292968035</v>
      </c>
      <c r="AF99" s="26" t="s">
        <v>274</v>
      </c>
      <c r="AG99" s="25" t="s">
        <v>13</v>
      </c>
      <c r="AH99" s="6" t="s">
        <v>36</v>
      </c>
      <c r="AI99" s="55" t="s">
        <v>199</v>
      </c>
      <c r="AJ99" s="59">
        <f t="shared" si="42"/>
        <v>132.94999999999999</v>
      </c>
      <c r="AK99" s="59">
        <v>133.9</v>
      </c>
      <c r="AL99" s="59">
        <v>132</v>
      </c>
      <c r="AM99" s="29">
        <f t="shared" si="43"/>
        <v>999</v>
      </c>
      <c r="AN99" s="29" t="s">
        <v>389</v>
      </c>
      <c r="AO99" s="100">
        <f>1.8*1*370</f>
        <v>666</v>
      </c>
      <c r="AP99" s="100">
        <f>1.8*2*370</f>
        <v>1332</v>
      </c>
      <c r="AQ99" s="29" t="s">
        <v>426</v>
      </c>
      <c r="AR99" s="29" t="s">
        <v>422</v>
      </c>
      <c r="AS99" s="29"/>
      <c r="AT99" s="29">
        <f>653-142</f>
        <v>511</v>
      </c>
      <c r="AU99" s="29">
        <f>1089+238</f>
        <v>1327</v>
      </c>
      <c r="AV99" s="29" t="s">
        <v>60</v>
      </c>
      <c r="AW99" s="29" t="s">
        <v>867</v>
      </c>
      <c r="AX99" s="29" t="s">
        <v>13</v>
      </c>
      <c r="AY99" s="16" t="s">
        <v>841</v>
      </c>
      <c r="AZ99" s="97" t="s">
        <v>13</v>
      </c>
      <c r="BA99" s="97">
        <v>15.88424</v>
      </c>
      <c r="BB99" s="59"/>
      <c r="BC99" s="59"/>
      <c r="BD99" s="29">
        <v>427.8612</v>
      </c>
      <c r="BE99" s="29" t="s">
        <v>239</v>
      </c>
      <c r="BF99" s="29">
        <f t="shared" si="39"/>
        <v>377.93339999999995</v>
      </c>
      <c r="BG99" s="29">
        <f t="shared" si="39"/>
        <v>483.03339999999997</v>
      </c>
      <c r="BH99" s="29" t="s">
        <v>542</v>
      </c>
      <c r="BI99" s="23" t="s">
        <v>419</v>
      </c>
      <c r="BJ99" s="29">
        <v>377.93339999999995</v>
      </c>
      <c r="BK99" s="29">
        <v>483.03339999999997</v>
      </c>
      <c r="BL99" s="29" t="s">
        <v>837</v>
      </c>
      <c r="BM99" s="25" t="s">
        <v>13</v>
      </c>
      <c r="BO99" s="44"/>
      <c r="CA99" s="25" t="s">
        <v>13</v>
      </c>
      <c r="CC99" s="25" t="s">
        <v>13</v>
      </c>
    </row>
    <row r="100" spans="1:81">
      <c r="A100" s="11" t="s">
        <v>31</v>
      </c>
      <c r="B100" s="21" t="s">
        <v>434</v>
      </c>
      <c r="C100" s="80">
        <f>65.64+Q88</f>
        <v>66.64</v>
      </c>
      <c r="D100" s="15">
        <f t="shared" si="40"/>
        <v>67.64</v>
      </c>
      <c r="E100" s="15">
        <f t="shared" si="41"/>
        <v>65.64</v>
      </c>
      <c r="F100" s="23">
        <f t="shared" si="31"/>
        <v>263.31409209172978</v>
      </c>
      <c r="G100" s="23" t="s">
        <v>389</v>
      </c>
      <c r="H100" s="23">
        <f t="shared" si="32"/>
        <v>131.65704604586489</v>
      </c>
      <c r="I100" s="23">
        <f t="shared" si="33"/>
        <v>526.62818418345955</v>
      </c>
      <c r="J100" s="23" t="s">
        <v>480</v>
      </c>
      <c r="K100" s="23" t="s">
        <v>400</v>
      </c>
      <c r="L100" s="30">
        <v>789.94227627518933</v>
      </c>
      <c r="M100" s="30">
        <v>658.2852302293245</v>
      </c>
      <c r="N100" s="30">
        <v>921.59932232105427</v>
      </c>
      <c r="O100" s="30">
        <v>6000</v>
      </c>
      <c r="P100" s="22">
        <v>2000</v>
      </c>
      <c r="Q100" s="22"/>
      <c r="R100" s="26" t="s">
        <v>13</v>
      </c>
      <c r="S100" s="6" t="s">
        <v>265</v>
      </c>
      <c r="T100" s="44"/>
      <c r="U100" s="79">
        <v>28.78</v>
      </c>
      <c r="W100" s="76"/>
      <c r="X100" s="30">
        <v>730.21410836933273</v>
      </c>
      <c r="Y100" s="26" t="s">
        <v>389</v>
      </c>
      <c r="Z100" s="26">
        <f t="shared" ref="Z100:AA125" si="44">AD100</f>
        <v>661.82324877657675</v>
      </c>
      <c r="AA100" s="26">
        <f t="shared" si="44"/>
        <v>909.76116647707761</v>
      </c>
      <c r="AB100" s="77" t="s">
        <v>428</v>
      </c>
      <c r="AC100" s="77" t="s">
        <v>400</v>
      </c>
      <c r="AD100" s="77">
        <v>661.82324877657675</v>
      </c>
      <c r="AE100" s="77">
        <v>909.76116647707761</v>
      </c>
      <c r="AF100" s="26" t="s">
        <v>274</v>
      </c>
      <c r="AG100" s="25" t="s">
        <v>13</v>
      </c>
      <c r="AH100" s="6" t="s">
        <v>45</v>
      </c>
      <c r="AI100" s="44" t="s">
        <v>248</v>
      </c>
      <c r="AJ100" s="62">
        <f t="shared" si="42"/>
        <v>139.44999999999999</v>
      </c>
      <c r="AK100" s="62">
        <v>145</v>
      </c>
      <c r="AL100" s="62">
        <v>133.9</v>
      </c>
      <c r="AM100" s="66">
        <f t="shared" si="38"/>
        <v>1440</v>
      </c>
      <c r="AN100" s="26" t="s">
        <v>389</v>
      </c>
      <c r="AO100" s="66">
        <f>3.2*1*300</f>
        <v>960</v>
      </c>
      <c r="AP100" s="100">
        <f>3.2*2*300</f>
        <v>1920</v>
      </c>
      <c r="AQ100" s="29" t="s">
        <v>426</v>
      </c>
      <c r="AR100" s="26" t="s">
        <v>422</v>
      </c>
      <c r="AS100" s="29">
        <v>1920</v>
      </c>
      <c r="AT100" s="23"/>
      <c r="AU100" s="29"/>
      <c r="AV100" s="29" t="s">
        <v>60</v>
      </c>
      <c r="AW100" s="29"/>
      <c r="AX100" s="29" t="s">
        <v>13</v>
      </c>
      <c r="AY100" s="16" t="s">
        <v>841</v>
      </c>
      <c r="AZ100" s="97" t="s">
        <v>13</v>
      </c>
      <c r="BA100" s="97">
        <v>15.89831</v>
      </c>
      <c r="BB100" s="59"/>
      <c r="BC100" s="59"/>
      <c r="BD100" s="29">
        <v>451.25990000000002</v>
      </c>
      <c r="BE100" s="29" t="s">
        <v>239</v>
      </c>
      <c r="BF100" s="29">
        <f t="shared" si="39"/>
        <v>397.77569999999997</v>
      </c>
      <c r="BG100" s="29">
        <f t="shared" si="39"/>
        <v>511.62389999999999</v>
      </c>
      <c r="BH100" s="29" t="s">
        <v>542</v>
      </c>
      <c r="BI100" s="23" t="s">
        <v>419</v>
      </c>
      <c r="BJ100" s="29">
        <v>397.77569999999997</v>
      </c>
      <c r="BK100" s="29">
        <v>511.62389999999999</v>
      </c>
      <c r="BL100" s="29" t="s">
        <v>837</v>
      </c>
      <c r="BM100" s="25" t="s">
        <v>13</v>
      </c>
      <c r="BO100" s="44"/>
      <c r="CA100" s="25" t="s">
        <v>13</v>
      </c>
      <c r="CC100" s="25" t="s">
        <v>13</v>
      </c>
    </row>
    <row r="101" spans="1:81">
      <c r="A101" s="11" t="s">
        <v>31</v>
      </c>
      <c r="B101" s="21" t="s">
        <v>434</v>
      </c>
      <c r="C101" s="80">
        <f>65.71+Q88</f>
        <v>66.709999999999994</v>
      </c>
      <c r="D101" s="15">
        <f t="shared" si="40"/>
        <v>67.709999999999994</v>
      </c>
      <c r="E101" s="15">
        <f t="shared" si="41"/>
        <v>65.709999999999994</v>
      </c>
      <c r="F101" s="23">
        <f t="shared" si="31"/>
        <v>452.75840136388962</v>
      </c>
      <c r="G101" s="23" t="s">
        <v>389</v>
      </c>
      <c r="H101" s="23">
        <f t="shared" si="32"/>
        <v>226.37920068194481</v>
      </c>
      <c r="I101" s="23">
        <f t="shared" si="33"/>
        <v>905.51680272777924</v>
      </c>
      <c r="J101" s="23" t="s">
        <v>480</v>
      </c>
      <c r="K101" s="23" t="s">
        <v>400</v>
      </c>
      <c r="L101" s="30">
        <v>1358.2752040916689</v>
      </c>
      <c r="M101" s="30">
        <v>1131.896003409724</v>
      </c>
      <c r="N101" s="30">
        <v>1584.6544047736136</v>
      </c>
      <c r="O101" s="30">
        <v>6000</v>
      </c>
      <c r="P101" s="22">
        <v>2000</v>
      </c>
      <c r="Q101" s="22"/>
      <c r="R101" s="26" t="s">
        <v>13</v>
      </c>
      <c r="S101" s="6" t="s">
        <v>265</v>
      </c>
      <c r="T101" s="44"/>
      <c r="U101" s="79">
        <v>29.21</v>
      </c>
      <c r="W101" s="76"/>
      <c r="X101" s="30">
        <v>853.74844983434161</v>
      </c>
      <c r="Y101" s="26" t="s">
        <v>389</v>
      </c>
      <c r="Z101" s="26">
        <f t="shared" si="44"/>
        <v>791.50995229575619</v>
      </c>
      <c r="AA101" s="26">
        <f t="shared" si="44"/>
        <v>1039.8413158423762</v>
      </c>
      <c r="AB101" s="77" t="s">
        <v>428</v>
      </c>
      <c r="AC101" s="77" t="s">
        <v>400</v>
      </c>
      <c r="AD101" s="77">
        <v>791.50995229575619</v>
      </c>
      <c r="AE101" s="77">
        <v>1039.8413158423762</v>
      </c>
      <c r="AF101" s="26" t="s">
        <v>274</v>
      </c>
      <c r="AG101" s="25" t="s">
        <v>13</v>
      </c>
      <c r="AH101" s="6" t="s">
        <v>45</v>
      </c>
      <c r="AI101" s="44" t="s">
        <v>248</v>
      </c>
      <c r="AJ101" s="62">
        <f t="shared" si="42"/>
        <v>139.44999999999999</v>
      </c>
      <c r="AK101" s="62">
        <v>145</v>
      </c>
      <c r="AL101" s="62">
        <v>133.9</v>
      </c>
      <c r="AM101" s="66">
        <f t="shared" si="38"/>
        <v>1224.0000000000002</v>
      </c>
      <c r="AN101" s="26" t="s">
        <v>389</v>
      </c>
      <c r="AO101" s="66">
        <f>2.72*1*300</f>
        <v>816.00000000000011</v>
      </c>
      <c r="AP101" s="100">
        <f>2.72*2*300</f>
        <v>1632.0000000000002</v>
      </c>
      <c r="AQ101" s="29" t="s">
        <v>426</v>
      </c>
      <c r="AR101" s="26" t="s">
        <v>422</v>
      </c>
      <c r="AS101" s="29">
        <v>1662</v>
      </c>
      <c r="AT101" s="23"/>
      <c r="AU101" s="29"/>
      <c r="AV101" s="29" t="s">
        <v>60</v>
      </c>
      <c r="AW101" s="29"/>
      <c r="AX101" s="29" t="s">
        <v>13</v>
      </c>
      <c r="AY101" s="16" t="s">
        <v>841</v>
      </c>
      <c r="AZ101" s="97" t="s">
        <v>13</v>
      </c>
      <c r="BA101" s="97">
        <v>15.93488</v>
      </c>
      <c r="BB101" s="59"/>
      <c r="BC101" s="59"/>
      <c r="BD101" s="29">
        <v>698.78629999999998</v>
      </c>
      <c r="BE101" s="29" t="s">
        <v>239</v>
      </c>
      <c r="BF101" s="29">
        <f t="shared" si="39"/>
        <v>611.05880000000002</v>
      </c>
      <c r="BG101" s="29">
        <f t="shared" si="39"/>
        <v>794.85469999999998</v>
      </c>
      <c r="BH101" s="29" t="s">
        <v>542</v>
      </c>
      <c r="BI101" s="23" t="s">
        <v>419</v>
      </c>
      <c r="BJ101" s="29">
        <v>611.05880000000002</v>
      </c>
      <c r="BK101" s="29">
        <v>794.85469999999998</v>
      </c>
      <c r="BL101" s="29" t="s">
        <v>837</v>
      </c>
      <c r="BM101" s="25" t="s">
        <v>13</v>
      </c>
      <c r="BO101" s="44"/>
      <c r="CA101" s="25" t="s">
        <v>13</v>
      </c>
      <c r="CC101" s="25" t="s">
        <v>13</v>
      </c>
    </row>
    <row r="102" spans="1:81">
      <c r="A102" s="11" t="s">
        <v>31</v>
      </c>
      <c r="B102" s="21" t="s">
        <v>434</v>
      </c>
      <c r="C102" s="80">
        <f>65.86+Q88</f>
        <v>66.86</v>
      </c>
      <c r="D102" s="15">
        <f t="shared" si="40"/>
        <v>67.86</v>
      </c>
      <c r="E102" s="15">
        <f t="shared" si="41"/>
        <v>65.86</v>
      </c>
      <c r="F102" s="23">
        <f t="shared" si="31"/>
        <v>425.76644417082503</v>
      </c>
      <c r="G102" s="23" t="s">
        <v>389</v>
      </c>
      <c r="H102" s="23">
        <f t="shared" si="32"/>
        <v>212.88322208541251</v>
      </c>
      <c r="I102" s="23">
        <f t="shared" si="33"/>
        <v>851.53288834165005</v>
      </c>
      <c r="J102" s="23" t="s">
        <v>480</v>
      </c>
      <c r="K102" s="23" t="s">
        <v>400</v>
      </c>
      <c r="L102" s="30">
        <v>1277.2993325124751</v>
      </c>
      <c r="M102" s="30">
        <v>1064.4161104270627</v>
      </c>
      <c r="N102" s="30">
        <v>1490.1825545978877</v>
      </c>
      <c r="O102" s="30">
        <v>6000</v>
      </c>
      <c r="P102" s="22">
        <v>2000</v>
      </c>
      <c r="Q102" s="22"/>
      <c r="R102" s="26" t="s">
        <v>13</v>
      </c>
      <c r="S102" s="6" t="s">
        <v>265</v>
      </c>
      <c r="T102" s="44"/>
      <c r="U102" s="79">
        <v>29.57</v>
      </c>
      <c r="W102" s="76"/>
      <c r="X102" s="30">
        <v>971.84459582453576</v>
      </c>
      <c r="Y102" s="26" t="s">
        <v>389</v>
      </c>
      <c r="Z102" s="26">
        <f t="shared" si="44"/>
        <v>904.64292292041659</v>
      </c>
      <c r="AA102" s="26">
        <f t="shared" si="44"/>
        <v>1178.9045019532814</v>
      </c>
      <c r="AB102" s="77" t="s">
        <v>428</v>
      </c>
      <c r="AC102" s="77" t="s">
        <v>400</v>
      </c>
      <c r="AD102" s="77">
        <v>904.64292292041659</v>
      </c>
      <c r="AE102" s="77">
        <v>1178.9045019532814</v>
      </c>
      <c r="AF102" s="26" t="s">
        <v>274</v>
      </c>
      <c r="AG102" s="25" t="s">
        <v>13</v>
      </c>
      <c r="AH102" s="6" t="s">
        <v>45</v>
      </c>
      <c r="AI102" s="44" t="s">
        <v>248</v>
      </c>
      <c r="AJ102" s="62">
        <f t="shared" si="42"/>
        <v>139.44999999999999</v>
      </c>
      <c r="AK102" s="62">
        <v>145</v>
      </c>
      <c r="AL102" s="62">
        <v>133.9</v>
      </c>
      <c r="AM102" s="66">
        <f t="shared" si="38"/>
        <v>1147.5</v>
      </c>
      <c r="AN102" s="26" t="s">
        <v>389</v>
      </c>
      <c r="AO102" s="66">
        <f>2.55*1*300</f>
        <v>765</v>
      </c>
      <c r="AP102" s="100">
        <f>2.55*2*300</f>
        <v>1530</v>
      </c>
      <c r="AQ102" s="29" t="s">
        <v>426</v>
      </c>
      <c r="AR102" s="26" t="s">
        <v>422</v>
      </c>
      <c r="AS102" s="29">
        <v>1530</v>
      </c>
      <c r="AT102" s="23"/>
      <c r="AU102" s="29"/>
      <c r="AV102" s="29" t="s">
        <v>60</v>
      </c>
      <c r="AW102" s="29"/>
      <c r="AX102" s="29" t="s">
        <v>13</v>
      </c>
      <c r="AY102" s="16" t="s">
        <v>841</v>
      </c>
      <c r="AZ102" s="97" t="s">
        <v>13</v>
      </c>
      <c r="BA102" s="97">
        <v>15.968629999999999</v>
      </c>
      <c r="BB102" s="59"/>
      <c r="BC102" s="59"/>
      <c r="BD102" s="29">
        <v>601.39030000000002</v>
      </c>
      <c r="BE102" s="29" t="s">
        <v>239</v>
      </c>
      <c r="BF102" s="29">
        <f t="shared" ref="BF102:BG126" si="45">BJ102</f>
        <v>529.79719999999998</v>
      </c>
      <c r="BG102" s="29">
        <f t="shared" si="45"/>
        <v>683.11139999999989</v>
      </c>
      <c r="BH102" s="29" t="s">
        <v>542</v>
      </c>
      <c r="BI102" s="23" t="s">
        <v>419</v>
      </c>
      <c r="BJ102" s="29">
        <v>529.79719999999998</v>
      </c>
      <c r="BK102" s="29">
        <v>683.11139999999989</v>
      </c>
      <c r="BL102" s="29" t="s">
        <v>837</v>
      </c>
      <c r="BM102" s="25" t="s">
        <v>13</v>
      </c>
      <c r="BO102" s="44"/>
      <c r="CA102" s="25" t="s">
        <v>13</v>
      </c>
      <c r="CC102" s="25" t="s">
        <v>13</v>
      </c>
    </row>
    <row r="103" spans="1:81">
      <c r="A103" s="11" t="s">
        <v>31</v>
      </c>
      <c r="B103" s="21" t="s">
        <v>434</v>
      </c>
      <c r="C103" s="80">
        <f>65.93+Q88</f>
        <v>66.930000000000007</v>
      </c>
      <c r="D103" s="15">
        <f t="shared" si="40"/>
        <v>67.930000000000007</v>
      </c>
      <c r="E103" s="15">
        <f t="shared" si="41"/>
        <v>65.930000000000007</v>
      </c>
      <c r="F103" s="23">
        <f t="shared" si="31"/>
        <v>265.47597109771891</v>
      </c>
      <c r="G103" s="23" t="s">
        <v>389</v>
      </c>
      <c r="H103" s="23">
        <f t="shared" si="32"/>
        <v>132.73798554885946</v>
      </c>
      <c r="I103" s="23">
        <f t="shared" si="33"/>
        <v>530.95194219543782</v>
      </c>
      <c r="J103" s="23" t="s">
        <v>480</v>
      </c>
      <c r="K103" s="23" t="s">
        <v>400</v>
      </c>
      <c r="L103" s="30">
        <v>796.42791329315662</v>
      </c>
      <c r="M103" s="30">
        <v>663.68992774429717</v>
      </c>
      <c r="N103" s="30">
        <v>929.16589884201608</v>
      </c>
      <c r="O103" s="30">
        <v>6000</v>
      </c>
      <c r="P103" s="22">
        <v>2000</v>
      </c>
      <c r="Q103" s="22"/>
      <c r="R103" s="26" t="s">
        <v>13</v>
      </c>
      <c r="S103" s="6" t="s">
        <v>265</v>
      </c>
      <c r="T103" s="44"/>
      <c r="U103" s="79">
        <v>29.64</v>
      </c>
      <c r="W103" s="76"/>
      <c r="X103" s="30">
        <v>895.16371350559814</v>
      </c>
      <c r="Y103" s="26" t="s">
        <v>389</v>
      </c>
      <c r="Z103" s="26">
        <f t="shared" si="44"/>
        <v>817.83576204951623</v>
      </c>
      <c r="AA103" s="26">
        <f t="shared" si="44"/>
        <v>1106.42764109686</v>
      </c>
      <c r="AB103" s="77" t="s">
        <v>428</v>
      </c>
      <c r="AC103" s="77" t="s">
        <v>400</v>
      </c>
      <c r="AD103" s="77">
        <v>817.83576204951623</v>
      </c>
      <c r="AE103" s="77">
        <v>1106.42764109686</v>
      </c>
      <c r="AF103" s="26" t="s">
        <v>274</v>
      </c>
      <c r="AG103" s="25" t="s">
        <v>13</v>
      </c>
      <c r="AH103" s="6" t="s">
        <v>45</v>
      </c>
      <c r="AI103" s="44" t="s">
        <v>207</v>
      </c>
      <c r="AJ103" s="62">
        <f t="shared" si="42"/>
        <v>168</v>
      </c>
      <c r="AK103" s="62">
        <v>168.3</v>
      </c>
      <c r="AL103" s="62">
        <v>167.7</v>
      </c>
      <c r="AM103" s="66">
        <f t="shared" si="38"/>
        <v>1035</v>
      </c>
      <c r="AN103" s="26" t="s">
        <v>389</v>
      </c>
      <c r="AO103" s="66">
        <f>2.3*1*300</f>
        <v>690</v>
      </c>
      <c r="AP103" s="100">
        <f>2.3*2*300</f>
        <v>1380</v>
      </c>
      <c r="AQ103" s="29" t="s">
        <v>426</v>
      </c>
      <c r="AR103" s="26" t="s">
        <v>422</v>
      </c>
      <c r="AS103" s="29">
        <v>1370</v>
      </c>
      <c r="AT103" s="23"/>
      <c r="AU103" s="29"/>
      <c r="AV103" s="29" t="s">
        <v>60</v>
      </c>
      <c r="AW103" s="29"/>
      <c r="AX103" s="29" t="s">
        <v>13</v>
      </c>
      <c r="AY103" s="16" t="s">
        <v>841</v>
      </c>
      <c r="AZ103" s="97" t="s">
        <v>13</v>
      </c>
      <c r="BA103" s="97">
        <v>16.011510000000001</v>
      </c>
      <c r="BB103" s="59"/>
      <c r="BC103" s="59"/>
      <c r="BD103" s="29">
        <v>417.86160000000001</v>
      </c>
      <c r="BE103" s="29" t="s">
        <v>239</v>
      </c>
      <c r="BF103" s="29">
        <f t="shared" si="45"/>
        <v>371.99489999999997</v>
      </c>
      <c r="BG103" s="29">
        <f t="shared" si="45"/>
        <v>466.5752</v>
      </c>
      <c r="BH103" s="29" t="s">
        <v>542</v>
      </c>
      <c r="BI103" s="23" t="s">
        <v>419</v>
      </c>
      <c r="BJ103" s="29">
        <v>371.99489999999997</v>
      </c>
      <c r="BK103" s="29">
        <v>466.5752</v>
      </c>
      <c r="BL103" s="29" t="s">
        <v>837</v>
      </c>
      <c r="BM103" s="25" t="s">
        <v>13</v>
      </c>
      <c r="BO103" s="44"/>
      <c r="CA103" s="25" t="s">
        <v>13</v>
      </c>
      <c r="CC103" s="25" t="s">
        <v>13</v>
      </c>
    </row>
    <row r="104" spans="1:81">
      <c r="A104" s="11" t="s">
        <v>31</v>
      </c>
      <c r="B104" s="21" t="s">
        <v>434</v>
      </c>
      <c r="C104" s="80">
        <f>65.99+Q88</f>
        <v>66.989999999999995</v>
      </c>
      <c r="D104" s="15">
        <f t="shared" si="40"/>
        <v>67.989999999999995</v>
      </c>
      <c r="E104" s="15">
        <f t="shared" si="41"/>
        <v>65.989999999999995</v>
      </c>
      <c r="F104" s="23">
        <f t="shared" si="31"/>
        <v>219.13705613847904</v>
      </c>
      <c r="G104" s="23" t="s">
        <v>389</v>
      </c>
      <c r="H104" s="23">
        <f t="shared" si="32"/>
        <v>109.56852806923952</v>
      </c>
      <c r="I104" s="23">
        <f t="shared" si="33"/>
        <v>438.27411227695808</v>
      </c>
      <c r="J104" s="23" t="s">
        <v>480</v>
      </c>
      <c r="K104" s="23" t="s">
        <v>400</v>
      </c>
      <c r="L104" s="30">
        <v>657.41116841543715</v>
      </c>
      <c r="M104" s="30">
        <v>547.84264034619764</v>
      </c>
      <c r="N104" s="30">
        <v>766.97969648467665</v>
      </c>
      <c r="O104" s="30">
        <v>6000</v>
      </c>
      <c r="P104" s="22">
        <v>2000</v>
      </c>
      <c r="Q104" s="22"/>
      <c r="R104" s="26" t="s">
        <v>13</v>
      </c>
      <c r="S104" s="6" t="s">
        <v>265</v>
      </c>
      <c r="T104" s="44"/>
      <c r="U104" s="79">
        <v>30.62</v>
      </c>
      <c r="W104" s="76"/>
      <c r="X104" s="30">
        <v>764.78144187157886</v>
      </c>
      <c r="Y104" s="26" t="s">
        <v>389</v>
      </c>
      <c r="Z104" s="26">
        <f t="shared" si="44"/>
        <v>708.67768779781625</v>
      </c>
      <c r="AA104" s="26">
        <f t="shared" si="44"/>
        <v>931.94091511261104</v>
      </c>
      <c r="AB104" s="77" t="s">
        <v>428</v>
      </c>
      <c r="AC104" s="77" t="s">
        <v>400</v>
      </c>
      <c r="AD104" s="77">
        <v>708.67768779781625</v>
      </c>
      <c r="AE104" s="77">
        <v>931.94091511261104</v>
      </c>
      <c r="AF104" s="26" t="s">
        <v>274</v>
      </c>
      <c r="AG104" s="25" t="s">
        <v>13</v>
      </c>
      <c r="AH104" s="6" t="s">
        <v>45</v>
      </c>
      <c r="AI104" s="44" t="s">
        <v>207</v>
      </c>
      <c r="AJ104" s="62">
        <f t="shared" si="42"/>
        <v>168</v>
      </c>
      <c r="AK104" s="62">
        <v>168.3</v>
      </c>
      <c r="AL104" s="62">
        <v>167.7</v>
      </c>
      <c r="AM104" s="66">
        <f t="shared" si="38"/>
        <v>922.5</v>
      </c>
      <c r="AN104" s="26" t="s">
        <v>389</v>
      </c>
      <c r="AO104" s="66">
        <f>2.05*1*300</f>
        <v>615</v>
      </c>
      <c r="AP104" s="100">
        <f>2.05*2*300</f>
        <v>1230</v>
      </c>
      <c r="AQ104" s="29" t="s">
        <v>426</v>
      </c>
      <c r="AR104" s="26" t="s">
        <v>422</v>
      </c>
      <c r="AS104" s="29">
        <v>1231</v>
      </c>
      <c r="AT104" s="23"/>
      <c r="AU104" s="29"/>
      <c r="AV104" s="29" t="s">
        <v>60</v>
      </c>
      <c r="AW104" s="29"/>
      <c r="AX104" s="29" t="s">
        <v>13</v>
      </c>
      <c r="AY104" s="16" t="s">
        <v>841</v>
      </c>
      <c r="AZ104" s="97" t="s">
        <v>13</v>
      </c>
      <c r="BA104" s="97">
        <v>16.039079999999998</v>
      </c>
      <c r="BB104" s="59"/>
      <c r="BC104" s="59"/>
      <c r="BD104" s="29">
        <v>419.62990000000002</v>
      </c>
      <c r="BE104" s="29" t="s">
        <v>239</v>
      </c>
      <c r="BF104" s="29">
        <f t="shared" si="45"/>
        <v>365.30790000000002</v>
      </c>
      <c r="BG104" s="29">
        <f t="shared" si="45"/>
        <v>479.9676</v>
      </c>
      <c r="BH104" s="29" t="s">
        <v>542</v>
      </c>
      <c r="BI104" s="23" t="s">
        <v>419</v>
      </c>
      <c r="BJ104" s="29">
        <v>365.30790000000002</v>
      </c>
      <c r="BK104" s="29">
        <v>479.9676</v>
      </c>
      <c r="BL104" s="29" t="s">
        <v>837</v>
      </c>
      <c r="BM104" s="25" t="s">
        <v>13</v>
      </c>
      <c r="BO104" s="44"/>
      <c r="CA104" s="25" t="s">
        <v>13</v>
      </c>
      <c r="CC104" s="25" t="s">
        <v>13</v>
      </c>
    </row>
    <row r="105" spans="1:81">
      <c r="A105" s="11" t="s">
        <v>31</v>
      </c>
      <c r="B105" s="21" t="s">
        <v>434</v>
      </c>
      <c r="C105" s="80">
        <f>66.04+Q88</f>
        <v>67.040000000000006</v>
      </c>
      <c r="D105" s="15">
        <f t="shared" si="40"/>
        <v>68.040000000000006</v>
      </c>
      <c r="E105" s="15">
        <f t="shared" si="41"/>
        <v>66.040000000000006</v>
      </c>
      <c r="F105" s="23">
        <f t="shared" si="31"/>
        <v>128.32428587686397</v>
      </c>
      <c r="G105" s="23" t="s">
        <v>389</v>
      </c>
      <c r="H105" s="23">
        <f t="shared" si="32"/>
        <v>64.162142938431984</v>
      </c>
      <c r="I105" s="23">
        <f t="shared" si="33"/>
        <v>256.64857175372794</v>
      </c>
      <c r="J105" s="23" t="s">
        <v>480</v>
      </c>
      <c r="K105" s="23" t="s">
        <v>400</v>
      </c>
      <c r="L105" s="30">
        <v>384.97285763059188</v>
      </c>
      <c r="M105" s="30">
        <v>320.81071469215988</v>
      </c>
      <c r="N105" s="30">
        <v>449.13500056902382</v>
      </c>
      <c r="O105" s="30">
        <v>6000</v>
      </c>
      <c r="P105" s="22">
        <v>2000</v>
      </c>
      <c r="Q105" s="22"/>
      <c r="R105" s="26" t="s">
        <v>13</v>
      </c>
      <c r="S105" s="6" t="s">
        <v>265</v>
      </c>
      <c r="T105" s="44"/>
      <c r="U105" s="79">
        <v>31.27</v>
      </c>
      <c r="W105" s="76"/>
      <c r="X105" s="30">
        <v>724.96144627795297</v>
      </c>
      <c r="Y105" s="26" t="s">
        <v>389</v>
      </c>
      <c r="Z105" s="26">
        <f t="shared" si="44"/>
        <v>663.70530579488366</v>
      </c>
      <c r="AA105" s="26">
        <f t="shared" si="44"/>
        <v>894.1652805158709</v>
      </c>
      <c r="AB105" s="77" t="s">
        <v>428</v>
      </c>
      <c r="AC105" s="77" t="s">
        <v>400</v>
      </c>
      <c r="AD105" s="77">
        <v>663.70530579488366</v>
      </c>
      <c r="AE105" s="77">
        <v>894.1652805158709</v>
      </c>
      <c r="AF105" s="26" t="s">
        <v>274</v>
      </c>
      <c r="AG105" s="25" t="s">
        <v>13</v>
      </c>
      <c r="AH105" s="6" t="s">
        <v>45</v>
      </c>
      <c r="AI105" s="44" t="s">
        <v>104</v>
      </c>
      <c r="AJ105" s="62">
        <f t="shared" si="42"/>
        <v>172.2</v>
      </c>
      <c r="AK105" s="62">
        <v>174.1</v>
      </c>
      <c r="AL105" s="62">
        <v>170.3</v>
      </c>
      <c r="AM105" s="66">
        <f t="shared" si="38"/>
        <v>900</v>
      </c>
      <c r="AN105" s="26" t="s">
        <v>389</v>
      </c>
      <c r="AO105" s="66">
        <f>2*1*300</f>
        <v>600</v>
      </c>
      <c r="AP105" s="100">
        <f>2*2*300</f>
        <v>1200</v>
      </c>
      <c r="AQ105" s="29" t="s">
        <v>426</v>
      </c>
      <c r="AR105" s="26" t="s">
        <v>422</v>
      </c>
      <c r="AS105" s="29">
        <v>1190</v>
      </c>
      <c r="AT105" s="23"/>
      <c r="AU105" s="29"/>
      <c r="AV105" s="29" t="s">
        <v>60</v>
      </c>
      <c r="AW105" s="29"/>
      <c r="AX105" s="29" t="s">
        <v>13</v>
      </c>
      <c r="AY105" s="16" t="s">
        <v>841</v>
      </c>
      <c r="AZ105" s="97" t="s">
        <v>13</v>
      </c>
      <c r="BA105" s="97">
        <v>16.042840000000002</v>
      </c>
      <c r="BB105" s="59"/>
      <c r="BC105" s="59"/>
      <c r="BD105" s="29">
        <v>460.2638</v>
      </c>
      <c r="BE105" s="29" t="s">
        <v>239</v>
      </c>
      <c r="BF105" s="29">
        <f t="shared" si="45"/>
        <v>407.5505</v>
      </c>
      <c r="BG105" s="29">
        <f t="shared" si="45"/>
        <v>517.27</v>
      </c>
      <c r="BH105" s="29" t="s">
        <v>542</v>
      </c>
      <c r="BI105" s="23" t="s">
        <v>419</v>
      </c>
      <c r="BJ105" s="29">
        <v>407.5505</v>
      </c>
      <c r="BK105" s="29">
        <v>517.27</v>
      </c>
      <c r="BL105" s="29" t="s">
        <v>837</v>
      </c>
      <c r="BM105" s="25" t="s">
        <v>13</v>
      </c>
      <c r="BO105" s="44"/>
      <c r="CA105" s="25" t="s">
        <v>13</v>
      </c>
      <c r="CC105" s="25" t="s">
        <v>13</v>
      </c>
    </row>
    <row r="106" spans="1:81">
      <c r="A106" s="11" t="s">
        <v>31</v>
      </c>
      <c r="B106" s="21" t="s">
        <v>434</v>
      </c>
      <c r="C106" s="80">
        <f>67.5+Q88</f>
        <v>68.5</v>
      </c>
      <c r="D106" s="15">
        <f t="shared" si="40"/>
        <v>69.5</v>
      </c>
      <c r="E106" s="15">
        <f t="shared" si="41"/>
        <v>67.5</v>
      </c>
      <c r="F106" s="23">
        <f t="shared" si="31"/>
        <v>10.430385206350735</v>
      </c>
      <c r="G106" s="23" t="s">
        <v>389</v>
      </c>
      <c r="H106" s="23">
        <f t="shared" si="32"/>
        <v>5.2151926031753675</v>
      </c>
      <c r="I106" s="23">
        <f t="shared" si="33"/>
        <v>20.86077041270147</v>
      </c>
      <c r="J106" s="23" t="s">
        <v>480</v>
      </c>
      <c r="K106" s="23" t="s">
        <v>400</v>
      </c>
      <c r="L106" s="30">
        <v>31.291155619052205</v>
      </c>
      <c r="M106" s="30">
        <v>26.075963015876837</v>
      </c>
      <c r="N106" s="30">
        <v>36.506348222227572</v>
      </c>
      <c r="O106" s="30">
        <v>6000</v>
      </c>
      <c r="P106" s="22">
        <v>2000</v>
      </c>
      <c r="Q106" s="22"/>
      <c r="R106" s="26" t="s">
        <v>13</v>
      </c>
      <c r="S106" s="6" t="s">
        <v>265</v>
      </c>
      <c r="T106" s="44"/>
      <c r="U106" s="79">
        <v>32.04</v>
      </c>
      <c r="W106" s="76"/>
      <c r="X106" s="30">
        <v>743.25001665530499</v>
      </c>
      <c r="Y106" s="26" t="s">
        <v>389</v>
      </c>
      <c r="Z106" s="26">
        <f t="shared" si="44"/>
        <v>688.37080087156221</v>
      </c>
      <c r="AA106" s="26">
        <f t="shared" si="44"/>
        <v>906.16996128715425</v>
      </c>
      <c r="AB106" s="77" t="s">
        <v>428</v>
      </c>
      <c r="AC106" s="77" t="s">
        <v>400</v>
      </c>
      <c r="AD106" s="77">
        <v>688.37080087156221</v>
      </c>
      <c r="AE106" s="77">
        <v>906.16996128715425</v>
      </c>
      <c r="AF106" s="26" t="s">
        <v>274</v>
      </c>
      <c r="AG106" s="25" t="s">
        <v>13</v>
      </c>
      <c r="AH106" s="6" t="s">
        <v>45</v>
      </c>
      <c r="AI106" s="44" t="s">
        <v>206</v>
      </c>
      <c r="AJ106" s="62">
        <f t="shared" si="42"/>
        <v>186.75</v>
      </c>
      <c r="AK106" s="62">
        <v>190.8</v>
      </c>
      <c r="AL106" s="62">
        <v>182.7</v>
      </c>
      <c r="AM106" s="66">
        <f t="shared" si="38"/>
        <v>1012.5</v>
      </c>
      <c r="AN106" s="26" t="s">
        <v>389</v>
      </c>
      <c r="AO106" s="66">
        <f>2.25*1*300</f>
        <v>675</v>
      </c>
      <c r="AP106" s="100">
        <f>2.25*2*300</f>
        <v>1350</v>
      </c>
      <c r="AQ106" s="29" t="s">
        <v>426</v>
      </c>
      <c r="AR106" s="26" t="s">
        <v>422</v>
      </c>
      <c r="AS106" s="29">
        <v>1252</v>
      </c>
      <c r="AT106" s="23"/>
      <c r="AU106" s="29"/>
      <c r="AV106" s="29" t="s">
        <v>60</v>
      </c>
      <c r="AW106" s="29"/>
      <c r="AX106" s="29" t="s">
        <v>13</v>
      </c>
      <c r="AY106" s="16" t="s">
        <v>841</v>
      </c>
      <c r="AZ106" s="97" t="s">
        <v>13</v>
      </c>
      <c r="BA106" s="97">
        <v>16.049099999999999</v>
      </c>
      <c r="BB106" s="59"/>
      <c r="BC106" s="59"/>
      <c r="BD106" s="29">
        <v>793.92229999999995</v>
      </c>
      <c r="BE106" s="29" t="s">
        <v>239</v>
      </c>
      <c r="BF106" s="29">
        <f t="shared" si="45"/>
        <v>697.08219999999994</v>
      </c>
      <c r="BG106" s="29">
        <f t="shared" si="45"/>
        <v>900.36070000000007</v>
      </c>
      <c r="BH106" s="29" t="s">
        <v>542</v>
      </c>
      <c r="BI106" s="23" t="s">
        <v>419</v>
      </c>
      <c r="BJ106" s="29">
        <v>697.08219999999994</v>
      </c>
      <c r="BK106" s="29">
        <v>900.36070000000007</v>
      </c>
      <c r="BL106" s="29" t="s">
        <v>837</v>
      </c>
      <c r="BM106" s="25" t="s">
        <v>13</v>
      </c>
      <c r="BO106" s="44"/>
      <c r="CA106" s="25" t="s">
        <v>13</v>
      </c>
      <c r="CC106" s="25" t="s">
        <v>13</v>
      </c>
    </row>
    <row r="107" spans="1:81">
      <c r="A107" s="11" t="s">
        <v>31</v>
      </c>
      <c r="B107" s="21" t="s">
        <v>434</v>
      </c>
      <c r="C107" s="80">
        <f>67.66+Q88</f>
        <v>68.66</v>
      </c>
      <c r="D107" s="15">
        <f t="shared" si="40"/>
        <v>69.66</v>
      </c>
      <c r="E107" s="15">
        <f t="shared" si="41"/>
        <v>67.66</v>
      </c>
      <c r="F107" s="23">
        <f t="shared" si="31"/>
        <v>170.68998632249765</v>
      </c>
      <c r="G107" s="23" t="s">
        <v>389</v>
      </c>
      <c r="H107" s="23">
        <f t="shared" si="32"/>
        <v>85.344993161248823</v>
      </c>
      <c r="I107" s="23">
        <f t="shared" si="33"/>
        <v>341.37997264499529</v>
      </c>
      <c r="J107" s="23" t="s">
        <v>480</v>
      </c>
      <c r="K107" s="23" t="s">
        <v>400</v>
      </c>
      <c r="L107" s="30">
        <v>512.06995896749299</v>
      </c>
      <c r="M107" s="30">
        <v>426.72496580624414</v>
      </c>
      <c r="N107" s="30">
        <v>597.41495212874179</v>
      </c>
      <c r="O107" s="30">
        <v>6000</v>
      </c>
      <c r="P107" s="22">
        <v>2000</v>
      </c>
      <c r="Q107" s="22"/>
      <c r="R107" s="26" t="s">
        <v>13</v>
      </c>
      <c r="S107" s="6" t="s">
        <v>265</v>
      </c>
      <c r="T107" s="44"/>
      <c r="U107" s="79">
        <v>32.58</v>
      </c>
      <c r="W107" s="76"/>
      <c r="X107" s="30">
        <v>756.36812580590868</v>
      </c>
      <c r="Y107" s="26" t="s">
        <v>389</v>
      </c>
      <c r="Z107" s="26">
        <f t="shared" si="44"/>
        <v>698.15911483736579</v>
      </c>
      <c r="AA107" s="26">
        <f t="shared" si="44"/>
        <v>925.2846538924789</v>
      </c>
      <c r="AB107" s="77" t="s">
        <v>428</v>
      </c>
      <c r="AC107" s="77" t="s">
        <v>400</v>
      </c>
      <c r="AD107" s="77">
        <v>698.15911483736579</v>
      </c>
      <c r="AE107" s="77">
        <v>925.2846538924789</v>
      </c>
      <c r="AF107" s="26" t="s">
        <v>274</v>
      </c>
      <c r="AG107" s="25" t="s">
        <v>13</v>
      </c>
      <c r="AH107" s="6" t="s">
        <v>41</v>
      </c>
      <c r="AI107" s="44" t="s">
        <v>208</v>
      </c>
      <c r="AJ107" s="62">
        <f t="shared" si="42"/>
        <v>25.55</v>
      </c>
      <c r="AK107" s="62">
        <v>28.1</v>
      </c>
      <c r="AL107" s="62">
        <v>23</v>
      </c>
      <c r="AM107" s="22">
        <f>AS107</f>
        <v>588.21600000000001</v>
      </c>
      <c r="AN107" s="26" t="s">
        <v>389</v>
      </c>
      <c r="AO107" s="66">
        <f t="shared" ref="AO107:AO114" si="46">AM107*0.7</f>
        <v>411.75119999999998</v>
      </c>
      <c r="AP107" s="100">
        <f t="shared" ref="AP107:AP114" si="47">AM107*1.65</f>
        <v>970.55639999999994</v>
      </c>
      <c r="AQ107" s="29" t="s">
        <v>512</v>
      </c>
      <c r="AR107" s="23" t="s">
        <v>424</v>
      </c>
      <c r="AS107" s="23">
        <v>588.21600000000001</v>
      </c>
      <c r="AT107" s="29">
        <v>533</v>
      </c>
      <c r="AU107" s="29">
        <v>640</v>
      </c>
      <c r="AV107" s="29" t="s">
        <v>236</v>
      </c>
      <c r="AW107" s="29" t="s">
        <v>740</v>
      </c>
      <c r="AX107" s="29" t="s">
        <v>13</v>
      </c>
      <c r="AY107" s="16" t="s">
        <v>841</v>
      </c>
      <c r="AZ107" s="97" t="s">
        <v>13</v>
      </c>
      <c r="BA107" s="97">
        <v>16.05537</v>
      </c>
      <c r="BB107" s="59"/>
      <c r="BC107" s="59"/>
      <c r="BD107" s="29">
        <v>467.00440000000003</v>
      </c>
      <c r="BE107" s="29" t="s">
        <v>239</v>
      </c>
      <c r="BF107" s="29">
        <f t="shared" si="45"/>
        <v>412.66220000000004</v>
      </c>
      <c r="BG107" s="29">
        <f t="shared" si="45"/>
        <v>523.83929999999998</v>
      </c>
      <c r="BH107" s="29" t="s">
        <v>542</v>
      </c>
      <c r="BI107" s="23" t="s">
        <v>419</v>
      </c>
      <c r="BJ107" s="29">
        <v>412.66220000000004</v>
      </c>
      <c r="BK107" s="29">
        <v>523.83929999999998</v>
      </c>
      <c r="BL107" s="29" t="s">
        <v>837</v>
      </c>
      <c r="BM107" s="25" t="s">
        <v>13</v>
      </c>
      <c r="BO107" s="44"/>
      <c r="CA107" s="25" t="s">
        <v>13</v>
      </c>
      <c r="CC107" s="25" t="s">
        <v>13</v>
      </c>
    </row>
    <row r="108" spans="1:81">
      <c r="A108" s="11" t="s">
        <v>31</v>
      </c>
      <c r="B108" s="21" t="s">
        <v>434</v>
      </c>
      <c r="C108" s="80">
        <f>67.81+Q88</f>
        <v>68.81</v>
      </c>
      <c r="D108" s="15">
        <f t="shared" si="40"/>
        <v>69.81</v>
      </c>
      <c r="E108" s="15">
        <f t="shared" si="41"/>
        <v>67.81</v>
      </c>
      <c r="F108" s="23">
        <f t="shared" si="31"/>
        <v>109.7497738068309</v>
      </c>
      <c r="G108" s="23" t="s">
        <v>389</v>
      </c>
      <c r="H108" s="23">
        <f t="shared" si="32"/>
        <v>54.874886903415451</v>
      </c>
      <c r="I108" s="23">
        <f t="shared" si="33"/>
        <v>219.4995476136618</v>
      </c>
      <c r="J108" s="23" t="s">
        <v>480</v>
      </c>
      <c r="K108" s="23" t="s">
        <v>400</v>
      </c>
      <c r="L108" s="30">
        <v>329.24932142049272</v>
      </c>
      <c r="M108" s="30">
        <v>274.37443451707725</v>
      </c>
      <c r="N108" s="30">
        <v>384.12420832390814</v>
      </c>
      <c r="O108" s="30">
        <v>6000</v>
      </c>
      <c r="P108" s="22">
        <v>2000</v>
      </c>
      <c r="Q108" s="22"/>
      <c r="R108" s="26" t="s">
        <v>13</v>
      </c>
      <c r="S108" s="6" t="s">
        <v>265</v>
      </c>
      <c r="T108" s="44"/>
      <c r="U108" s="79">
        <v>32.83</v>
      </c>
      <c r="W108" s="76"/>
      <c r="X108" s="30">
        <v>740.47551179203026</v>
      </c>
      <c r="Y108" s="26" t="s">
        <v>389</v>
      </c>
      <c r="Z108" s="26">
        <f t="shared" si="44"/>
        <v>671.07085765001887</v>
      </c>
      <c r="AA108" s="26">
        <f t="shared" si="44"/>
        <v>922.61771245857597</v>
      </c>
      <c r="AB108" s="77" t="s">
        <v>428</v>
      </c>
      <c r="AC108" s="77" t="s">
        <v>400</v>
      </c>
      <c r="AD108" s="77">
        <v>671.07085765001887</v>
      </c>
      <c r="AE108" s="77">
        <v>922.61771245857597</v>
      </c>
      <c r="AF108" s="26" t="s">
        <v>274</v>
      </c>
      <c r="AG108" s="25" t="s">
        <v>13</v>
      </c>
      <c r="AH108" s="6" t="s">
        <v>41</v>
      </c>
      <c r="AI108" s="44" t="s">
        <v>209</v>
      </c>
      <c r="AJ108" s="62">
        <f t="shared" si="42"/>
        <v>22.1</v>
      </c>
      <c r="AK108" s="62">
        <v>23.6</v>
      </c>
      <c r="AL108" s="62">
        <v>20.6</v>
      </c>
      <c r="AM108" s="22">
        <f t="shared" ref="AM108:AM114" si="48">AS108</f>
        <v>333.26</v>
      </c>
      <c r="AN108" s="26" t="s">
        <v>389</v>
      </c>
      <c r="AO108" s="66">
        <f t="shared" si="46"/>
        <v>233.28199999999998</v>
      </c>
      <c r="AP108" s="100">
        <f t="shared" si="47"/>
        <v>549.87899999999991</v>
      </c>
      <c r="AQ108" s="29" t="s">
        <v>512</v>
      </c>
      <c r="AR108" s="23" t="s">
        <v>424</v>
      </c>
      <c r="AS108" s="23">
        <v>333.26</v>
      </c>
      <c r="AT108" s="29">
        <v>277.7</v>
      </c>
      <c r="AU108" s="29">
        <v>387.3</v>
      </c>
      <c r="AV108" s="29" t="s">
        <v>236</v>
      </c>
      <c r="AW108" s="29" t="s">
        <v>740</v>
      </c>
      <c r="AX108" s="29" t="s">
        <v>13</v>
      </c>
      <c r="AY108" s="16" t="s">
        <v>841</v>
      </c>
      <c r="AZ108" s="97" t="s">
        <v>13</v>
      </c>
      <c r="BA108" s="97">
        <v>16.086690000000001</v>
      </c>
      <c r="BB108" s="59"/>
      <c r="BC108" s="59"/>
      <c r="BD108" s="29">
        <v>426.88570000000004</v>
      </c>
      <c r="BE108" s="29" t="s">
        <v>239</v>
      </c>
      <c r="BF108" s="29">
        <f t="shared" si="45"/>
        <v>378.8107</v>
      </c>
      <c r="BG108" s="29">
        <f t="shared" si="45"/>
        <v>478.63780000000003</v>
      </c>
      <c r="BH108" s="29" t="s">
        <v>542</v>
      </c>
      <c r="BI108" s="23" t="s">
        <v>419</v>
      </c>
      <c r="BJ108" s="29">
        <v>378.8107</v>
      </c>
      <c r="BK108" s="29">
        <v>478.63780000000003</v>
      </c>
      <c r="BL108" s="29" t="s">
        <v>837</v>
      </c>
      <c r="BM108" s="25" t="s">
        <v>13</v>
      </c>
      <c r="BO108" s="44"/>
      <c r="CA108" s="25" t="s">
        <v>13</v>
      </c>
      <c r="CC108" s="25" t="s">
        <v>13</v>
      </c>
    </row>
    <row r="109" spans="1:81">
      <c r="A109" s="11" t="s">
        <v>31</v>
      </c>
      <c r="B109" s="21" t="s">
        <v>434</v>
      </c>
      <c r="C109" s="80">
        <f>67.98+Q88</f>
        <v>68.98</v>
      </c>
      <c r="D109" s="15">
        <f t="shared" si="40"/>
        <v>69.98</v>
      </c>
      <c r="E109" s="15">
        <f t="shared" si="41"/>
        <v>67.98</v>
      </c>
      <c r="F109" s="23">
        <f t="shared" si="31"/>
        <v>158.3612981533399</v>
      </c>
      <c r="G109" s="23" t="s">
        <v>389</v>
      </c>
      <c r="H109" s="23">
        <f t="shared" si="32"/>
        <v>79.180649076669951</v>
      </c>
      <c r="I109" s="23">
        <f t="shared" si="33"/>
        <v>316.7225963066798</v>
      </c>
      <c r="J109" s="23" t="s">
        <v>480</v>
      </c>
      <c r="K109" s="23" t="s">
        <v>400</v>
      </c>
      <c r="L109" s="30">
        <v>475.08389446001974</v>
      </c>
      <c r="M109" s="30">
        <v>395.90324538334977</v>
      </c>
      <c r="N109" s="30">
        <v>554.26454353668964</v>
      </c>
      <c r="O109" s="30">
        <v>6000</v>
      </c>
      <c r="P109" s="22">
        <v>2000</v>
      </c>
      <c r="Q109" s="22"/>
      <c r="R109" s="26" t="s">
        <v>13</v>
      </c>
      <c r="S109" s="6" t="s">
        <v>265</v>
      </c>
      <c r="T109" s="44"/>
      <c r="U109" s="79">
        <v>32.909999999999997</v>
      </c>
      <c r="W109" s="76"/>
      <c r="X109" s="30">
        <v>723.4797872598815</v>
      </c>
      <c r="Y109" s="26" t="s">
        <v>389</v>
      </c>
      <c r="Z109" s="26">
        <f t="shared" si="44"/>
        <v>653.93375011016167</v>
      </c>
      <c r="AA109" s="26">
        <f t="shared" si="44"/>
        <v>903.82641989048011</v>
      </c>
      <c r="AB109" s="77" t="s">
        <v>428</v>
      </c>
      <c r="AC109" s="77" t="s">
        <v>400</v>
      </c>
      <c r="AD109" s="77">
        <v>653.93375011016167</v>
      </c>
      <c r="AE109" s="77">
        <v>903.82641989048011</v>
      </c>
      <c r="AF109" s="26" t="s">
        <v>274</v>
      </c>
      <c r="AG109" s="25" t="s">
        <v>13</v>
      </c>
      <c r="AH109" s="6" t="s">
        <v>41</v>
      </c>
      <c r="AI109" s="44" t="s">
        <v>210</v>
      </c>
      <c r="AJ109" s="62">
        <f t="shared" si="42"/>
        <v>20</v>
      </c>
      <c r="AK109" s="62">
        <v>20.3</v>
      </c>
      <c r="AL109" s="62">
        <v>19.7</v>
      </c>
      <c r="AM109" s="22">
        <f t="shared" si="48"/>
        <v>332.16</v>
      </c>
      <c r="AN109" s="26" t="s">
        <v>389</v>
      </c>
      <c r="AO109" s="66">
        <f t="shared" si="46"/>
        <v>232.512</v>
      </c>
      <c r="AP109" s="100">
        <f t="shared" si="47"/>
        <v>548.06399999999996</v>
      </c>
      <c r="AQ109" s="29" t="s">
        <v>512</v>
      </c>
      <c r="AR109" s="23" t="s">
        <v>424</v>
      </c>
      <c r="AS109" s="23">
        <v>332.16</v>
      </c>
      <c r="AT109" s="29">
        <v>302.5</v>
      </c>
      <c r="AU109" s="29">
        <v>364.3</v>
      </c>
      <c r="AV109" s="29" t="s">
        <v>236</v>
      </c>
      <c r="AW109" s="29" t="s">
        <v>740</v>
      </c>
      <c r="AX109" s="29" t="s">
        <v>13</v>
      </c>
      <c r="AY109" s="16" t="s">
        <v>841</v>
      </c>
      <c r="AZ109" s="97" t="s">
        <v>13</v>
      </c>
      <c r="BA109" s="97">
        <v>16.111750000000001</v>
      </c>
      <c r="BB109" s="59"/>
      <c r="BC109" s="59"/>
      <c r="BD109" s="29">
        <v>557.8623</v>
      </c>
      <c r="BE109" s="29" t="s">
        <v>239</v>
      </c>
      <c r="BF109" s="29">
        <f t="shared" si="45"/>
        <v>489.36710000000005</v>
      </c>
      <c r="BG109" s="29">
        <f t="shared" si="45"/>
        <v>635.19770000000005</v>
      </c>
      <c r="BH109" s="29" t="s">
        <v>542</v>
      </c>
      <c r="BI109" s="23" t="s">
        <v>419</v>
      </c>
      <c r="BJ109" s="29">
        <v>489.36710000000005</v>
      </c>
      <c r="BK109" s="29">
        <v>635.19770000000005</v>
      </c>
      <c r="BL109" s="29" t="s">
        <v>837</v>
      </c>
      <c r="BM109" s="25" t="s">
        <v>13</v>
      </c>
      <c r="BO109" s="44"/>
      <c r="CA109" s="25" t="s">
        <v>13</v>
      </c>
      <c r="CC109" s="25" t="s">
        <v>13</v>
      </c>
    </row>
    <row r="110" spans="1:81">
      <c r="A110" s="11" t="s">
        <v>31</v>
      </c>
      <c r="B110" s="21" t="s">
        <v>434</v>
      </c>
      <c r="C110" s="80">
        <f>68.1+Q88</f>
        <v>69.099999999999994</v>
      </c>
      <c r="D110" s="15">
        <f t="shared" si="40"/>
        <v>70.099999999999994</v>
      </c>
      <c r="E110" s="15">
        <f t="shared" si="41"/>
        <v>68.099999999999994</v>
      </c>
      <c r="F110" s="23">
        <f t="shared" si="31"/>
        <v>138.29381797366932</v>
      </c>
      <c r="G110" s="23" t="s">
        <v>389</v>
      </c>
      <c r="H110" s="23">
        <f t="shared" si="32"/>
        <v>69.14690898683466</v>
      </c>
      <c r="I110" s="23">
        <f t="shared" si="33"/>
        <v>276.58763594733864</v>
      </c>
      <c r="J110" s="23" t="s">
        <v>480</v>
      </c>
      <c r="K110" s="23" t="s">
        <v>400</v>
      </c>
      <c r="L110" s="30">
        <v>414.8814539210079</v>
      </c>
      <c r="M110" s="30">
        <v>345.73454493417324</v>
      </c>
      <c r="N110" s="30">
        <v>484.02836290784256</v>
      </c>
      <c r="O110" s="30">
        <v>6000</v>
      </c>
      <c r="P110" s="22">
        <v>2000</v>
      </c>
      <c r="Q110" s="22"/>
      <c r="R110" s="26" t="s">
        <v>13</v>
      </c>
      <c r="S110" s="6" t="s">
        <v>265</v>
      </c>
      <c r="T110" s="44"/>
      <c r="U110" s="79">
        <v>32.97</v>
      </c>
      <c r="W110" s="76"/>
      <c r="X110" s="30">
        <v>726.53587574576829</v>
      </c>
      <c r="Y110" s="26" t="s">
        <v>389</v>
      </c>
      <c r="Z110" s="26">
        <f t="shared" si="44"/>
        <v>653.44066469308086</v>
      </c>
      <c r="AA110" s="26">
        <f t="shared" si="44"/>
        <v>912.16938072227208</v>
      </c>
      <c r="AB110" s="77" t="s">
        <v>428</v>
      </c>
      <c r="AC110" s="77" t="s">
        <v>400</v>
      </c>
      <c r="AD110" s="77">
        <v>653.44066469308086</v>
      </c>
      <c r="AE110" s="77">
        <v>912.16938072227208</v>
      </c>
      <c r="AF110" s="26" t="s">
        <v>274</v>
      </c>
      <c r="AG110" s="25" t="s">
        <v>13</v>
      </c>
      <c r="AH110" s="6" t="s">
        <v>41</v>
      </c>
      <c r="AI110" s="44" t="s">
        <v>210</v>
      </c>
      <c r="AJ110" s="62">
        <f t="shared" si="42"/>
        <v>19</v>
      </c>
      <c r="AK110" s="62">
        <v>19.5</v>
      </c>
      <c r="AL110" s="62">
        <v>18.5</v>
      </c>
      <c r="AM110" s="22">
        <f t="shared" si="48"/>
        <v>396.58600000000001</v>
      </c>
      <c r="AN110" s="26" t="s">
        <v>389</v>
      </c>
      <c r="AO110" s="66">
        <f t="shared" si="46"/>
        <v>277.61019999999996</v>
      </c>
      <c r="AP110" s="100">
        <f t="shared" si="47"/>
        <v>654.36689999999999</v>
      </c>
      <c r="AQ110" s="29" t="s">
        <v>512</v>
      </c>
      <c r="AR110" s="23" t="s">
        <v>424</v>
      </c>
      <c r="AS110" s="23">
        <v>396.58600000000001</v>
      </c>
      <c r="AT110" s="29">
        <v>378.4</v>
      </c>
      <c r="AU110" s="29">
        <v>413.8</v>
      </c>
      <c r="AV110" s="29" t="s">
        <v>236</v>
      </c>
      <c r="AW110" s="29" t="s">
        <v>740</v>
      </c>
      <c r="AX110" s="29" t="s">
        <v>13</v>
      </c>
      <c r="AY110" s="16" t="s">
        <v>841</v>
      </c>
      <c r="AZ110" s="97" t="s">
        <v>13</v>
      </c>
      <c r="BA110" s="97">
        <v>16.124279999999999</v>
      </c>
      <c r="BB110" s="59"/>
      <c r="BC110" s="59"/>
      <c r="BD110" s="29">
        <v>447.87860000000001</v>
      </c>
      <c r="BE110" s="29" t="s">
        <v>239</v>
      </c>
      <c r="BF110" s="29">
        <f t="shared" si="45"/>
        <v>398.85179999999997</v>
      </c>
      <c r="BG110" s="29">
        <f t="shared" si="45"/>
        <v>502.20330000000001</v>
      </c>
      <c r="BH110" s="29" t="s">
        <v>542</v>
      </c>
      <c r="BI110" s="23" t="s">
        <v>419</v>
      </c>
      <c r="BJ110" s="29">
        <v>398.85179999999997</v>
      </c>
      <c r="BK110" s="29">
        <v>502.20330000000001</v>
      </c>
      <c r="BL110" s="29" t="s">
        <v>837</v>
      </c>
      <c r="BM110" s="25" t="s">
        <v>13</v>
      </c>
      <c r="BO110" s="44"/>
      <c r="CA110" s="25" t="s">
        <v>13</v>
      </c>
      <c r="CC110" s="25" t="s">
        <v>13</v>
      </c>
    </row>
    <row r="111" spans="1:81">
      <c r="A111" s="11" t="s">
        <v>31</v>
      </c>
      <c r="B111" s="21" t="s">
        <v>434</v>
      </c>
      <c r="C111" s="80">
        <f>68.25+Q88</f>
        <v>69.25</v>
      </c>
      <c r="D111" s="15">
        <f t="shared" si="40"/>
        <v>70.25</v>
      </c>
      <c r="E111" s="15">
        <f t="shared" si="41"/>
        <v>68.25</v>
      </c>
      <c r="F111" s="23">
        <f t="shared" si="31"/>
        <v>202.23822012671329</v>
      </c>
      <c r="G111" s="23" t="s">
        <v>389</v>
      </c>
      <c r="H111" s="23">
        <f t="shared" si="32"/>
        <v>101.11911006335664</v>
      </c>
      <c r="I111" s="23">
        <f t="shared" si="33"/>
        <v>404.47644025342657</v>
      </c>
      <c r="J111" s="23" t="s">
        <v>480</v>
      </c>
      <c r="K111" s="23" t="s">
        <v>400</v>
      </c>
      <c r="L111" s="30">
        <v>606.71466038013978</v>
      </c>
      <c r="M111" s="30">
        <v>505.59555031678315</v>
      </c>
      <c r="N111" s="30">
        <v>707.83377044349641</v>
      </c>
      <c r="O111" s="30">
        <v>6000</v>
      </c>
      <c r="P111" s="22">
        <v>2000</v>
      </c>
      <c r="Q111" s="22"/>
      <c r="R111" s="26" t="s">
        <v>13</v>
      </c>
      <c r="S111" s="6" t="s">
        <v>265</v>
      </c>
      <c r="T111" s="44"/>
      <c r="U111" s="79">
        <v>33.450000000000003</v>
      </c>
      <c r="W111" s="76"/>
      <c r="X111" s="30">
        <v>766.54848173163668</v>
      </c>
      <c r="Y111" s="26" t="s">
        <v>389</v>
      </c>
      <c r="Z111" s="26">
        <f t="shared" si="44"/>
        <v>698.32665285478777</v>
      </c>
      <c r="AA111" s="26">
        <f t="shared" si="44"/>
        <v>950.14966639998727</v>
      </c>
      <c r="AB111" s="77" t="s">
        <v>428</v>
      </c>
      <c r="AC111" s="77" t="s">
        <v>400</v>
      </c>
      <c r="AD111" s="77">
        <v>698.32665285478777</v>
      </c>
      <c r="AE111" s="77">
        <v>950.14966639998727</v>
      </c>
      <c r="AF111" s="26" t="s">
        <v>274</v>
      </c>
      <c r="AG111" s="25" t="s">
        <v>13</v>
      </c>
      <c r="AH111" s="6" t="s">
        <v>41</v>
      </c>
      <c r="AI111" s="44" t="s">
        <v>210</v>
      </c>
      <c r="AJ111" s="62">
        <f t="shared" si="42"/>
        <v>19</v>
      </c>
      <c r="AK111" s="62">
        <v>19.2</v>
      </c>
      <c r="AL111" s="62">
        <v>18.8</v>
      </c>
      <c r="AM111" s="22">
        <f t="shared" si="48"/>
        <v>458.81099999999998</v>
      </c>
      <c r="AN111" s="26" t="s">
        <v>389</v>
      </c>
      <c r="AO111" s="66">
        <f t="shared" si="46"/>
        <v>321.16769999999997</v>
      </c>
      <c r="AP111" s="100">
        <f t="shared" si="47"/>
        <v>757.03814999999997</v>
      </c>
      <c r="AQ111" s="29" t="s">
        <v>512</v>
      </c>
      <c r="AR111" s="23" t="s">
        <v>424</v>
      </c>
      <c r="AS111" s="23">
        <v>458.81099999999998</v>
      </c>
      <c r="AT111" s="29">
        <v>435</v>
      </c>
      <c r="AU111" s="29">
        <v>480.9</v>
      </c>
      <c r="AV111" s="29" t="s">
        <v>236</v>
      </c>
      <c r="AW111" s="29" t="s">
        <v>740</v>
      </c>
      <c r="AX111" s="29" t="s">
        <v>13</v>
      </c>
      <c r="AY111" s="16" t="s">
        <v>841</v>
      </c>
      <c r="AZ111" s="97" t="s">
        <v>13</v>
      </c>
      <c r="BA111" s="97">
        <v>16.136810000000001</v>
      </c>
      <c r="BB111" s="59"/>
      <c r="BC111" s="59"/>
      <c r="BD111" s="29">
        <v>395.9907</v>
      </c>
      <c r="BE111" s="29" t="s">
        <v>239</v>
      </c>
      <c r="BF111" s="29">
        <f t="shared" si="45"/>
        <v>352.1223</v>
      </c>
      <c r="BG111" s="29">
        <f t="shared" si="45"/>
        <v>444.86059999999998</v>
      </c>
      <c r="BH111" s="29" t="s">
        <v>542</v>
      </c>
      <c r="BI111" s="23" t="s">
        <v>419</v>
      </c>
      <c r="BJ111" s="29">
        <v>352.1223</v>
      </c>
      <c r="BK111" s="29">
        <v>444.86059999999998</v>
      </c>
      <c r="BL111" s="29" t="s">
        <v>837</v>
      </c>
      <c r="BM111" s="25" t="s">
        <v>13</v>
      </c>
      <c r="BO111" s="44"/>
      <c r="CA111" s="25" t="s">
        <v>13</v>
      </c>
      <c r="CC111" s="25" t="s">
        <v>13</v>
      </c>
    </row>
    <row r="112" spans="1:81">
      <c r="A112" s="11" t="s">
        <v>31</v>
      </c>
      <c r="B112" s="21" t="s">
        <v>434</v>
      </c>
      <c r="C112" s="80">
        <f>68.37+Q88</f>
        <v>69.37</v>
      </c>
      <c r="D112" s="15">
        <f t="shared" si="40"/>
        <v>70.37</v>
      </c>
      <c r="E112" s="15">
        <f t="shared" si="41"/>
        <v>68.37</v>
      </c>
      <c r="F112" s="23">
        <f t="shared" si="31"/>
        <v>145.04004593081666</v>
      </c>
      <c r="G112" s="23" t="s">
        <v>389</v>
      </c>
      <c r="H112" s="23">
        <f t="shared" si="32"/>
        <v>72.52002296540833</v>
      </c>
      <c r="I112" s="23">
        <f t="shared" si="33"/>
        <v>290.08009186163332</v>
      </c>
      <c r="J112" s="23" t="s">
        <v>480</v>
      </c>
      <c r="K112" s="23" t="s">
        <v>400</v>
      </c>
      <c r="L112" s="30">
        <v>435.12013779244995</v>
      </c>
      <c r="M112" s="30">
        <v>362.60011482704164</v>
      </c>
      <c r="N112" s="30">
        <v>507.64016075785827</v>
      </c>
      <c r="O112" s="30">
        <v>6000</v>
      </c>
      <c r="P112" s="22">
        <v>2000</v>
      </c>
      <c r="Q112" s="22"/>
      <c r="R112" s="26" t="s">
        <v>13</v>
      </c>
      <c r="S112" s="6" t="s">
        <v>265</v>
      </c>
      <c r="T112" s="44"/>
      <c r="U112" s="79">
        <v>33.57</v>
      </c>
      <c r="W112" s="76"/>
      <c r="X112" s="30">
        <v>671.288802802536</v>
      </c>
      <c r="Y112" s="26" t="s">
        <v>389</v>
      </c>
      <c r="Z112" s="26">
        <f t="shared" si="44"/>
        <v>611.53107438482357</v>
      </c>
      <c r="AA112" s="26">
        <f t="shared" si="44"/>
        <v>832.05950049240312</v>
      </c>
      <c r="AB112" s="77" t="s">
        <v>428</v>
      </c>
      <c r="AC112" s="77" t="s">
        <v>400</v>
      </c>
      <c r="AD112" s="77">
        <v>611.53107438482357</v>
      </c>
      <c r="AE112" s="77">
        <v>832.05950049240312</v>
      </c>
      <c r="AF112" s="26" t="s">
        <v>274</v>
      </c>
      <c r="AG112" s="25" t="s">
        <v>13</v>
      </c>
      <c r="AH112" s="6" t="s">
        <v>41</v>
      </c>
      <c r="AI112" s="44" t="s">
        <v>211</v>
      </c>
      <c r="AJ112" s="62">
        <f t="shared" si="42"/>
        <v>17.600000000000001</v>
      </c>
      <c r="AK112" s="62">
        <v>18</v>
      </c>
      <c r="AL112" s="62">
        <v>17.2</v>
      </c>
      <c r="AM112" s="22">
        <f t="shared" si="48"/>
        <v>374.00900000000001</v>
      </c>
      <c r="AN112" s="26" t="s">
        <v>389</v>
      </c>
      <c r="AO112" s="66">
        <f t="shared" si="46"/>
        <v>261.80630000000002</v>
      </c>
      <c r="AP112" s="100">
        <f t="shared" si="47"/>
        <v>617.11485000000005</v>
      </c>
      <c r="AQ112" s="29" t="s">
        <v>512</v>
      </c>
      <c r="AR112" s="23" t="s">
        <v>424</v>
      </c>
      <c r="AS112" s="23">
        <v>374.00900000000001</v>
      </c>
      <c r="AT112" s="29">
        <v>362.5</v>
      </c>
      <c r="AU112" s="29">
        <v>385</v>
      </c>
      <c r="AV112" s="29" t="s">
        <v>236</v>
      </c>
      <c r="AW112" s="29" t="s">
        <v>740</v>
      </c>
      <c r="AX112" s="29" t="s">
        <v>13</v>
      </c>
      <c r="AY112" s="16" t="s">
        <v>841</v>
      </c>
      <c r="AZ112" s="97" t="s">
        <v>13</v>
      </c>
      <c r="BA112" s="97">
        <v>16.149339999999999</v>
      </c>
      <c r="BB112" s="59"/>
      <c r="BC112" s="59"/>
      <c r="BD112" s="29">
        <v>349.81540000000001</v>
      </c>
      <c r="BE112" s="29" t="s">
        <v>239</v>
      </c>
      <c r="BF112" s="29">
        <f t="shared" si="45"/>
        <v>309.60249999999996</v>
      </c>
      <c r="BG112" s="29">
        <f t="shared" si="45"/>
        <v>394.09190000000001</v>
      </c>
      <c r="BH112" s="29" t="s">
        <v>542</v>
      </c>
      <c r="BI112" s="23" t="s">
        <v>419</v>
      </c>
      <c r="BJ112" s="29">
        <v>309.60249999999996</v>
      </c>
      <c r="BK112" s="29">
        <v>394.09190000000001</v>
      </c>
      <c r="BL112" s="29" t="s">
        <v>837</v>
      </c>
      <c r="BM112" s="25" t="s">
        <v>13</v>
      </c>
      <c r="BO112" s="44"/>
      <c r="CA112" s="25" t="s">
        <v>13</v>
      </c>
      <c r="CC112" s="25" t="s">
        <v>13</v>
      </c>
    </row>
    <row r="113" spans="1:81">
      <c r="A113" s="11" t="s">
        <v>31</v>
      </c>
      <c r="B113" s="21" t="s">
        <v>434</v>
      </c>
      <c r="C113" s="80">
        <f>68.53+Q88</f>
        <v>69.53</v>
      </c>
      <c r="D113" s="15">
        <f t="shared" si="40"/>
        <v>70.53</v>
      </c>
      <c r="E113" s="15">
        <f t="shared" si="41"/>
        <v>68.53</v>
      </c>
      <c r="F113" s="23">
        <f t="shared" si="31"/>
        <v>344.56743864934447</v>
      </c>
      <c r="G113" s="23" t="s">
        <v>389</v>
      </c>
      <c r="H113" s="23">
        <f t="shared" si="32"/>
        <v>172.28371932467223</v>
      </c>
      <c r="I113" s="23">
        <f t="shared" si="33"/>
        <v>689.13487729868893</v>
      </c>
      <c r="J113" s="23" t="s">
        <v>480</v>
      </c>
      <c r="K113" s="23" t="s">
        <v>400</v>
      </c>
      <c r="L113" s="30">
        <v>1033.7023159480334</v>
      </c>
      <c r="M113" s="30">
        <v>861.41859662336117</v>
      </c>
      <c r="N113" s="30">
        <v>1205.9860352727057</v>
      </c>
      <c r="O113" s="30">
        <v>6000</v>
      </c>
      <c r="P113" s="22">
        <v>2000</v>
      </c>
      <c r="Q113" s="22"/>
      <c r="R113" s="26" t="s">
        <v>13</v>
      </c>
      <c r="S113" s="6" t="s">
        <v>265</v>
      </c>
      <c r="T113" s="44"/>
      <c r="U113" s="79">
        <v>33.69</v>
      </c>
      <c r="W113" s="76"/>
      <c r="X113" s="30">
        <v>929.63204246099986</v>
      </c>
      <c r="Y113" s="26" t="s">
        <v>389</v>
      </c>
      <c r="Z113" s="26">
        <f t="shared" si="44"/>
        <v>791.61387353932935</v>
      </c>
      <c r="AA113" s="26">
        <f t="shared" si="44"/>
        <v>1234.1470196127855</v>
      </c>
      <c r="AB113" s="77" t="s">
        <v>428</v>
      </c>
      <c r="AC113" s="77" t="s">
        <v>400</v>
      </c>
      <c r="AD113" s="77">
        <v>791.61387353932935</v>
      </c>
      <c r="AE113" s="77">
        <v>1234.1470196127855</v>
      </c>
      <c r="AF113" s="26" t="s">
        <v>274</v>
      </c>
      <c r="AG113" s="25" t="s">
        <v>13</v>
      </c>
      <c r="AH113" s="6" t="s">
        <v>41</v>
      </c>
      <c r="AI113" s="44" t="s">
        <v>211</v>
      </c>
      <c r="AJ113" s="62">
        <f t="shared" si="42"/>
        <v>17.579999999999998</v>
      </c>
      <c r="AK113" s="62">
        <v>17.96</v>
      </c>
      <c r="AL113" s="62">
        <v>17.2</v>
      </c>
      <c r="AM113" s="22">
        <f t="shared" si="48"/>
        <v>340.96899999999999</v>
      </c>
      <c r="AN113" s="26" t="s">
        <v>389</v>
      </c>
      <c r="AO113" s="66">
        <f t="shared" si="46"/>
        <v>238.67829999999998</v>
      </c>
      <c r="AP113" s="100">
        <f t="shared" si="47"/>
        <v>562.59884999999997</v>
      </c>
      <c r="AQ113" s="29" t="s">
        <v>512</v>
      </c>
      <c r="AR113" s="23" t="s">
        <v>424</v>
      </c>
      <c r="AS113" s="23">
        <v>340.96899999999999</v>
      </c>
      <c r="AT113" s="29">
        <v>323.7</v>
      </c>
      <c r="AU113" s="29">
        <v>355.5</v>
      </c>
      <c r="AV113" s="29" t="s">
        <v>236</v>
      </c>
      <c r="AW113" s="29" t="s">
        <v>740</v>
      </c>
      <c r="AX113" s="29" t="s">
        <v>13</v>
      </c>
      <c r="AY113" s="16" t="s">
        <v>841</v>
      </c>
      <c r="AZ113" s="97" t="s">
        <v>13</v>
      </c>
      <c r="BA113" s="97">
        <v>16.16187</v>
      </c>
      <c r="BB113" s="59"/>
      <c r="BC113" s="59"/>
      <c r="BD113" s="29">
        <v>637.88229999999999</v>
      </c>
      <c r="BE113" s="29" t="s">
        <v>239</v>
      </c>
      <c r="BF113" s="29">
        <f t="shared" si="45"/>
        <v>555.40380000000005</v>
      </c>
      <c r="BG113" s="29">
        <f t="shared" si="45"/>
        <v>735.80010000000004</v>
      </c>
      <c r="BH113" s="29" t="s">
        <v>542</v>
      </c>
      <c r="BI113" s="23" t="s">
        <v>419</v>
      </c>
      <c r="BJ113" s="29">
        <v>555.40380000000005</v>
      </c>
      <c r="BK113" s="29">
        <v>735.80010000000004</v>
      </c>
      <c r="BL113" s="29" t="s">
        <v>837</v>
      </c>
      <c r="BM113" s="25" t="s">
        <v>13</v>
      </c>
      <c r="BO113" s="44"/>
      <c r="CA113" s="25" t="s">
        <v>13</v>
      </c>
      <c r="CC113" s="25" t="s">
        <v>13</v>
      </c>
    </row>
    <row r="114" spans="1:81">
      <c r="A114" s="11" t="s">
        <v>31</v>
      </c>
      <c r="B114" s="21" t="s">
        <v>434</v>
      </c>
      <c r="C114" s="80">
        <f>68.69+Q88</f>
        <v>69.69</v>
      </c>
      <c r="D114" s="15">
        <f t="shared" si="40"/>
        <v>70.69</v>
      </c>
      <c r="E114" s="15">
        <f t="shared" si="41"/>
        <v>68.69</v>
      </c>
      <c r="F114" s="23">
        <f t="shared" si="31"/>
        <v>203.57725878744944</v>
      </c>
      <c r="G114" s="23" t="s">
        <v>389</v>
      </c>
      <c r="H114" s="23">
        <f t="shared" si="32"/>
        <v>101.78862939372472</v>
      </c>
      <c r="I114" s="23">
        <f t="shared" si="33"/>
        <v>407.15451757489888</v>
      </c>
      <c r="J114" s="23" t="s">
        <v>480</v>
      </c>
      <c r="K114" s="23" t="s">
        <v>400</v>
      </c>
      <c r="L114" s="30">
        <v>610.73177636234834</v>
      </c>
      <c r="M114" s="30">
        <v>508.94314696862364</v>
      </c>
      <c r="N114" s="30">
        <v>712.52040575607305</v>
      </c>
      <c r="O114" s="30">
        <v>6000</v>
      </c>
      <c r="P114" s="22">
        <v>2000</v>
      </c>
      <c r="Q114" s="22"/>
      <c r="R114" s="26" t="s">
        <v>13</v>
      </c>
      <c r="S114" s="6" t="s">
        <v>265</v>
      </c>
      <c r="T114" s="44"/>
      <c r="U114" s="79">
        <v>34.69</v>
      </c>
      <c r="W114" s="76"/>
      <c r="X114" s="30">
        <v>1038.2176086814422</v>
      </c>
      <c r="Y114" s="26" t="s">
        <v>389</v>
      </c>
      <c r="Z114" s="26">
        <f t="shared" si="44"/>
        <v>952.75884087602503</v>
      </c>
      <c r="AA114" s="26">
        <f t="shared" si="44"/>
        <v>1277.5539143342696</v>
      </c>
      <c r="AB114" s="77" t="s">
        <v>428</v>
      </c>
      <c r="AC114" s="77" t="s">
        <v>400</v>
      </c>
      <c r="AD114" s="77">
        <v>952.75884087602503</v>
      </c>
      <c r="AE114" s="77">
        <v>1277.5539143342696</v>
      </c>
      <c r="AF114" s="26" t="s">
        <v>274</v>
      </c>
      <c r="AG114" s="25" t="s">
        <v>13</v>
      </c>
      <c r="AH114" s="6" t="s">
        <v>41</v>
      </c>
      <c r="AI114" s="44" t="s">
        <v>211</v>
      </c>
      <c r="AJ114" s="62">
        <f t="shared" si="42"/>
        <v>17.600000000000001</v>
      </c>
      <c r="AK114" s="62">
        <v>18</v>
      </c>
      <c r="AL114" s="62">
        <v>17.2</v>
      </c>
      <c r="AM114" s="22">
        <f t="shared" si="48"/>
        <v>388.32600000000002</v>
      </c>
      <c r="AN114" s="26" t="s">
        <v>389</v>
      </c>
      <c r="AO114" s="66">
        <f t="shared" si="46"/>
        <v>271.82819999999998</v>
      </c>
      <c r="AP114" s="100">
        <f t="shared" si="47"/>
        <v>640.73789999999997</v>
      </c>
      <c r="AQ114" s="29" t="s">
        <v>512</v>
      </c>
      <c r="AR114" s="23" t="s">
        <v>424</v>
      </c>
      <c r="AS114" s="23">
        <v>388.32600000000002</v>
      </c>
      <c r="AT114" s="29">
        <v>346.6</v>
      </c>
      <c r="AU114" s="29">
        <v>429.7</v>
      </c>
      <c r="AV114" s="29" t="s">
        <v>236</v>
      </c>
      <c r="AW114" s="29" t="s">
        <v>740</v>
      </c>
      <c r="AX114" s="29" t="s">
        <v>13</v>
      </c>
      <c r="AY114" s="16" t="s">
        <v>841</v>
      </c>
      <c r="AZ114" s="97" t="s">
        <v>13</v>
      </c>
      <c r="BA114" s="97">
        <v>16.174399999999999</v>
      </c>
      <c r="BB114" s="59"/>
      <c r="BC114" s="59"/>
      <c r="BD114" s="29">
        <v>405.94499999999999</v>
      </c>
      <c r="BE114" s="29" t="s">
        <v>239</v>
      </c>
      <c r="BF114" s="29">
        <f t="shared" si="45"/>
        <v>361.52690000000001</v>
      </c>
      <c r="BG114" s="29">
        <f t="shared" si="45"/>
        <v>452.6044</v>
      </c>
      <c r="BH114" s="29" t="s">
        <v>542</v>
      </c>
      <c r="BI114" s="23" t="s">
        <v>419</v>
      </c>
      <c r="BJ114" s="29">
        <v>361.52690000000001</v>
      </c>
      <c r="BK114" s="29">
        <v>452.6044</v>
      </c>
      <c r="BL114" s="29" t="s">
        <v>837</v>
      </c>
      <c r="BM114" s="25" t="s">
        <v>13</v>
      </c>
      <c r="BO114" s="44"/>
      <c r="CA114" s="25" t="s">
        <v>13</v>
      </c>
      <c r="CC114" s="25" t="s">
        <v>13</v>
      </c>
    </row>
    <row r="115" spans="1:81">
      <c r="A115" s="11" t="s">
        <v>31</v>
      </c>
      <c r="B115" s="21" t="s">
        <v>434</v>
      </c>
      <c r="C115" s="80">
        <f>68.88+Q88</f>
        <v>69.88</v>
      </c>
      <c r="D115" s="15">
        <f t="shared" si="40"/>
        <v>70.88</v>
      </c>
      <c r="E115" s="15">
        <f t="shared" si="41"/>
        <v>68.88</v>
      </c>
      <c r="F115" s="23">
        <f t="shared" si="31"/>
        <v>309.11131014886683</v>
      </c>
      <c r="G115" s="23" t="s">
        <v>389</v>
      </c>
      <c r="H115" s="23">
        <f t="shared" si="32"/>
        <v>154.55565507443342</v>
      </c>
      <c r="I115" s="23">
        <f t="shared" si="33"/>
        <v>618.22262029773367</v>
      </c>
      <c r="J115" s="23" t="s">
        <v>480</v>
      </c>
      <c r="K115" s="23" t="s">
        <v>400</v>
      </c>
      <c r="L115" s="30">
        <v>927.33393044660056</v>
      </c>
      <c r="M115" s="30">
        <v>772.77827537216706</v>
      </c>
      <c r="N115" s="30">
        <v>1081.889585521034</v>
      </c>
      <c r="O115" s="30">
        <v>6000</v>
      </c>
      <c r="P115" s="22">
        <v>2000</v>
      </c>
      <c r="Q115" s="22"/>
      <c r="R115" s="26" t="s">
        <v>13</v>
      </c>
      <c r="S115" s="6" t="s">
        <v>265</v>
      </c>
      <c r="T115" s="44"/>
      <c r="U115" s="79">
        <v>35.29</v>
      </c>
      <c r="W115" s="76"/>
      <c r="X115" s="30">
        <v>878.89004969250868</v>
      </c>
      <c r="Y115" s="26" t="s">
        <v>389</v>
      </c>
      <c r="Z115" s="26">
        <f t="shared" si="44"/>
        <v>813.16503893173774</v>
      </c>
      <c r="AA115" s="26">
        <f t="shared" si="44"/>
        <v>1072.6448317013287</v>
      </c>
      <c r="AB115" s="77" t="s">
        <v>428</v>
      </c>
      <c r="AC115" s="77" t="s">
        <v>400</v>
      </c>
      <c r="AD115" s="77">
        <v>813.16503893173774</v>
      </c>
      <c r="AE115" s="77">
        <v>1072.6448317013287</v>
      </c>
      <c r="AF115" s="26" t="s">
        <v>274</v>
      </c>
      <c r="AG115" s="25" t="s">
        <v>13</v>
      </c>
      <c r="AH115" s="6" t="s">
        <v>41</v>
      </c>
      <c r="AI115" s="44" t="s">
        <v>212</v>
      </c>
      <c r="AJ115" s="62">
        <f t="shared" si="42"/>
        <v>16.95</v>
      </c>
      <c r="AK115" s="62">
        <v>17.5</v>
      </c>
      <c r="AL115" s="62">
        <v>16.399999999999999</v>
      </c>
      <c r="AM115" s="22">
        <v>367</v>
      </c>
      <c r="AN115" s="26" t="s">
        <v>389</v>
      </c>
      <c r="AO115" s="66">
        <f>AM115-17/2</f>
        <v>358.5</v>
      </c>
      <c r="AP115" s="111" t="s">
        <v>778</v>
      </c>
      <c r="AQ115" s="89" t="s">
        <v>780</v>
      </c>
      <c r="AR115" s="23" t="s">
        <v>424</v>
      </c>
      <c r="AS115" s="23">
        <v>374</v>
      </c>
      <c r="AT115" s="29">
        <f>AS115-12</f>
        <v>362</v>
      </c>
      <c r="AU115" s="29">
        <f>AS115+12</f>
        <v>386</v>
      </c>
      <c r="AV115" s="29" t="s">
        <v>236</v>
      </c>
      <c r="AW115" s="29" t="s">
        <v>779</v>
      </c>
      <c r="AX115" s="29" t="s">
        <v>13</v>
      </c>
      <c r="AY115" s="16" t="s">
        <v>841</v>
      </c>
      <c r="AZ115" s="97" t="s">
        <v>13</v>
      </c>
      <c r="BA115" s="97">
        <v>16.18693</v>
      </c>
      <c r="BB115" s="59"/>
      <c r="BC115" s="59"/>
      <c r="BD115" s="29">
        <v>634.16560000000004</v>
      </c>
      <c r="BE115" s="29" t="s">
        <v>239</v>
      </c>
      <c r="BF115" s="29">
        <f t="shared" si="45"/>
        <v>557.90359999999998</v>
      </c>
      <c r="BG115" s="29">
        <f t="shared" si="45"/>
        <v>715.57309999999995</v>
      </c>
      <c r="BH115" s="29" t="s">
        <v>542</v>
      </c>
      <c r="BI115" s="23" t="s">
        <v>419</v>
      </c>
      <c r="BJ115" s="29">
        <v>557.90359999999998</v>
      </c>
      <c r="BK115" s="29">
        <v>715.57309999999995</v>
      </c>
      <c r="BL115" s="29" t="s">
        <v>837</v>
      </c>
      <c r="BM115" s="25" t="s">
        <v>13</v>
      </c>
      <c r="BO115" s="44"/>
      <c r="CA115" s="25" t="s">
        <v>13</v>
      </c>
      <c r="CC115" s="25" t="s">
        <v>13</v>
      </c>
    </row>
    <row r="116" spans="1:81">
      <c r="A116" s="11" t="s">
        <v>31</v>
      </c>
      <c r="B116" s="21" t="s">
        <v>434</v>
      </c>
      <c r="C116" s="80">
        <f>69+Q88</f>
        <v>70</v>
      </c>
      <c r="D116" s="15">
        <f t="shared" si="40"/>
        <v>71</v>
      </c>
      <c r="E116" s="15">
        <f t="shared" si="41"/>
        <v>69</v>
      </c>
      <c r="F116" s="23">
        <f t="shared" si="31"/>
        <v>375.4600076297051</v>
      </c>
      <c r="G116" s="23" t="s">
        <v>389</v>
      </c>
      <c r="H116" s="23">
        <f t="shared" si="32"/>
        <v>187.73000381485255</v>
      </c>
      <c r="I116" s="23">
        <f t="shared" si="33"/>
        <v>750.92001525941021</v>
      </c>
      <c r="J116" s="23" t="s">
        <v>480</v>
      </c>
      <c r="K116" s="23" t="s">
        <v>400</v>
      </c>
      <c r="L116" s="30">
        <v>1126.3800228891155</v>
      </c>
      <c r="M116" s="30">
        <v>938.6500190742629</v>
      </c>
      <c r="N116" s="30">
        <v>1314.1100267039681</v>
      </c>
      <c r="O116" s="30">
        <v>6000</v>
      </c>
      <c r="P116" s="22">
        <v>2000</v>
      </c>
      <c r="Q116" s="22"/>
      <c r="R116" s="26" t="s">
        <v>13</v>
      </c>
      <c r="S116" s="6" t="s">
        <v>265</v>
      </c>
      <c r="T116" s="44"/>
      <c r="U116" s="79">
        <v>35.56</v>
      </c>
      <c r="W116" s="76"/>
      <c r="X116" s="30">
        <v>918.54077500727442</v>
      </c>
      <c r="Y116" s="26" t="s">
        <v>389</v>
      </c>
      <c r="Z116" s="26">
        <f t="shared" si="44"/>
        <v>824.9062596031747</v>
      </c>
      <c r="AA116" s="26">
        <f t="shared" si="44"/>
        <v>1155.1317533737783</v>
      </c>
      <c r="AB116" s="77" t="s">
        <v>428</v>
      </c>
      <c r="AC116" s="77" t="s">
        <v>400</v>
      </c>
      <c r="AD116" s="77">
        <v>824.9062596031747</v>
      </c>
      <c r="AE116" s="77">
        <v>1155.1317533737783</v>
      </c>
      <c r="AF116" s="26" t="s">
        <v>274</v>
      </c>
      <c r="AG116" s="25" t="s">
        <v>13</v>
      </c>
      <c r="AH116" s="6" t="s">
        <v>41</v>
      </c>
      <c r="AI116" s="44" t="s">
        <v>213</v>
      </c>
      <c r="AJ116" s="62">
        <f t="shared" si="42"/>
        <v>16.799999999999997</v>
      </c>
      <c r="AK116" s="62">
        <v>17.2</v>
      </c>
      <c r="AL116" s="62">
        <v>16.399999999999999</v>
      </c>
      <c r="AM116" s="22">
        <f>AS116</f>
        <v>424.67</v>
      </c>
      <c r="AN116" s="26" t="s">
        <v>389</v>
      </c>
      <c r="AO116" s="66">
        <f>AM116*0.7</f>
        <v>297.26900000000001</v>
      </c>
      <c r="AP116" s="100">
        <f>AM116*1.65</f>
        <v>700.70550000000003</v>
      </c>
      <c r="AQ116" s="29" t="s">
        <v>512</v>
      </c>
      <c r="AR116" s="23" t="s">
        <v>424</v>
      </c>
      <c r="AS116" s="23">
        <v>424.67</v>
      </c>
      <c r="AT116" s="29">
        <v>412</v>
      </c>
      <c r="AU116" s="29">
        <v>452.7</v>
      </c>
      <c r="AV116" s="29" t="s">
        <v>236</v>
      </c>
      <c r="AW116" s="29" t="s">
        <v>740</v>
      </c>
      <c r="AX116" s="29" t="s">
        <v>13</v>
      </c>
      <c r="AY116" s="16" t="s">
        <v>841</v>
      </c>
      <c r="AZ116" s="97" t="s">
        <v>13</v>
      </c>
      <c r="BA116" s="97">
        <v>16.199459999999998</v>
      </c>
      <c r="BB116" s="59"/>
      <c r="BC116" s="59"/>
      <c r="BD116" s="29">
        <v>385.67160000000001</v>
      </c>
      <c r="BE116" s="29" t="s">
        <v>239</v>
      </c>
      <c r="BF116" s="29">
        <f t="shared" si="45"/>
        <v>343.34960000000001</v>
      </c>
      <c r="BG116" s="29">
        <f t="shared" si="45"/>
        <v>430.75280000000004</v>
      </c>
      <c r="BH116" s="29" t="s">
        <v>542</v>
      </c>
      <c r="BI116" s="23" t="s">
        <v>419</v>
      </c>
      <c r="BJ116" s="29">
        <v>343.34960000000001</v>
      </c>
      <c r="BK116" s="29">
        <v>430.75280000000004</v>
      </c>
      <c r="BL116" s="29" t="s">
        <v>837</v>
      </c>
      <c r="BM116" s="25" t="s">
        <v>13</v>
      </c>
      <c r="BO116" s="44"/>
      <c r="CA116" s="25" t="s">
        <v>13</v>
      </c>
      <c r="CC116" s="25" t="s">
        <v>13</v>
      </c>
    </row>
    <row r="117" spans="1:81">
      <c r="A117" s="11" t="s">
        <v>31</v>
      </c>
      <c r="B117" s="21" t="s">
        <v>434</v>
      </c>
      <c r="C117" s="80">
        <f>69.06+Q88</f>
        <v>70.06</v>
      </c>
      <c r="D117" s="15">
        <f t="shared" si="40"/>
        <v>71.06</v>
      </c>
      <c r="E117" s="15">
        <f t="shared" si="41"/>
        <v>69.06</v>
      </c>
      <c r="F117" s="23">
        <f t="shared" si="31"/>
        <v>328.6733358264766</v>
      </c>
      <c r="G117" s="23" t="s">
        <v>389</v>
      </c>
      <c r="H117" s="23">
        <f t="shared" si="32"/>
        <v>164.3366679132383</v>
      </c>
      <c r="I117" s="23">
        <f t="shared" si="33"/>
        <v>657.34667165295321</v>
      </c>
      <c r="J117" s="23" t="s">
        <v>480</v>
      </c>
      <c r="K117" s="23" t="s">
        <v>400</v>
      </c>
      <c r="L117" s="30">
        <v>986.02000747942986</v>
      </c>
      <c r="M117" s="30">
        <v>821.68333956619153</v>
      </c>
      <c r="N117" s="30">
        <v>1150.3566753926682</v>
      </c>
      <c r="O117" s="30">
        <v>6000</v>
      </c>
      <c r="P117" s="22">
        <v>2000</v>
      </c>
      <c r="Q117" s="22"/>
      <c r="R117" s="26" t="s">
        <v>13</v>
      </c>
      <c r="S117" s="6" t="s">
        <v>265</v>
      </c>
      <c r="T117" s="44"/>
      <c r="U117" s="79">
        <v>35.86</v>
      </c>
      <c r="W117" s="76"/>
      <c r="X117" s="30">
        <v>947.35084501642825</v>
      </c>
      <c r="Y117" s="26" t="s">
        <v>389</v>
      </c>
      <c r="Z117" s="26">
        <f t="shared" si="44"/>
        <v>881.27177359954374</v>
      </c>
      <c r="AA117" s="26">
        <f t="shared" si="44"/>
        <v>1149.93747865468</v>
      </c>
      <c r="AB117" s="77" t="s">
        <v>428</v>
      </c>
      <c r="AC117" s="77" t="s">
        <v>400</v>
      </c>
      <c r="AD117" s="77">
        <v>881.27177359954374</v>
      </c>
      <c r="AE117" s="77">
        <v>1149.93747865468</v>
      </c>
      <c r="AF117" s="26" t="s">
        <v>274</v>
      </c>
      <c r="AG117" s="25" t="s">
        <v>13</v>
      </c>
      <c r="AH117" s="6" t="s">
        <v>41</v>
      </c>
      <c r="AI117" s="44" t="s">
        <v>213</v>
      </c>
      <c r="AJ117" s="62">
        <f t="shared" si="42"/>
        <v>16.48</v>
      </c>
      <c r="AK117" s="62">
        <v>17.47</v>
      </c>
      <c r="AL117" s="62">
        <v>15.49</v>
      </c>
      <c r="AM117" s="22">
        <f t="shared" ref="AM117:AM124" si="49">AS117</f>
        <v>393.28</v>
      </c>
      <c r="AN117" s="26" t="s">
        <v>389</v>
      </c>
      <c r="AO117" s="66">
        <f>AM117*0.7</f>
        <v>275.29599999999994</v>
      </c>
      <c r="AP117" s="100">
        <f>AM117*1.65</f>
        <v>648.91199999999992</v>
      </c>
      <c r="AQ117" s="29" t="s">
        <v>512</v>
      </c>
      <c r="AR117" s="23" t="s">
        <v>424</v>
      </c>
      <c r="AS117" s="23">
        <v>393.28</v>
      </c>
      <c r="AT117" s="29">
        <v>357.2</v>
      </c>
      <c r="AU117" s="29">
        <v>427.9</v>
      </c>
      <c r="AV117" s="29" t="s">
        <v>236</v>
      </c>
      <c r="AW117" s="29" t="s">
        <v>740</v>
      </c>
      <c r="AX117" s="29" t="s">
        <v>13</v>
      </c>
      <c r="AY117" s="16" t="s">
        <v>841</v>
      </c>
      <c r="AZ117" s="97" t="s">
        <v>13</v>
      </c>
      <c r="BA117" s="97">
        <v>16.21199</v>
      </c>
      <c r="BB117" s="59"/>
      <c r="BC117" s="59"/>
      <c r="BD117" s="29">
        <v>674.38189999999997</v>
      </c>
      <c r="BE117" s="29" t="s">
        <v>239</v>
      </c>
      <c r="BF117" s="29">
        <f t="shared" si="45"/>
        <v>593.81290000000001</v>
      </c>
      <c r="BG117" s="29">
        <f t="shared" si="45"/>
        <v>759.03560000000004</v>
      </c>
      <c r="BH117" s="29" t="s">
        <v>542</v>
      </c>
      <c r="BI117" s="23" t="s">
        <v>419</v>
      </c>
      <c r="BJ117" s="29">
        <v>593.81290000000001</v>
      </c>
      <c r="BK117" s="29">
        <v>759.03560000000004</v>
      </c>
      <c r="BL117" s="29" t="s">
        <v>837</v>
      </c>
      <c r="BM117" s="25" t="s">
        <v>13</v>
      </c>
      <c r="BO117" s="44"/>
      <c r="CA117" s="25" t="s">
        <v>13</v>
      </c>
      <c r="CC117" s="25" t="s">
        <v>13</v>
      </c>
    </row>
    <row r="118" spans="1:81">
      <c r="A118" s="11" t="s">
        <v>31</v>
      </c>
      <c r="B118" s="21" t="s">
        <v>434</v>
      </c>
      <c r="C118" s="80">
        <f>69.2+Q88</f>
        <v>70.2</v>
      </c>
      <c r="D118" s="15">
        <f t="shared" si="40"/>
        <v>71.2</v>
      </c>
      <c r="E118" s="15">
        <f t="shared" si="41"/>
        <v>69.2</v>
      </c>
      <c r="F118" s="23">
        <f t="shared" si="31"/>
        <v>121.5919931856899</v>
      </c>
      <c r="G118" s="23" t="s">
        <v>389</v>
      </c>
      <c r="H118" s="23">
        <f t="shared" si="32"/>
        <v>60.795996592844951</v>
      </c>
      <c r="I118" s="23">
        <f t="shared" si="33"/>
        <v>243.1839863713798</v>
      </c>
      <c r="J118" s="23" t="s">
        <v>480</v>
      </c>
      <c r="K118" s="23" t="s">
        <v>400</v>
      </c>
      <c r="L118" s="30">
        <v>364.77597955706972</v>
      </c>
      <c r="M118" s="30">
        <v>303.97998296422475</v>
      </c>
      <c r="N118" s="30">
        <v>425.57197614991469</v>
      </c>
      <c r="O118" s="30">
        <v>6000</v>
      </c>
      <c r="P118" s="22">
        <v>2000</v>
      </c>
      <c r="Q118" s="22"/>
      <c r="R118" s="26" t="s">
        <v>13</v>
      </c>
      <c r="S118" s="6" t="s">
        <v>265</v>
      </c>
      <c r="T118" s="44"/>
      <c r="U118" s="79">
        <v>36.090000000000003</v>
      </c>
      <c r="W118" s="76"/>
      <c r="X118" s="30">
        <v>1131.5863251087626</v>
      </c>
      <c r="Y118" s="26" t="s">
        <v>389</v>
      </c>
      <c r="Z118" s="26">
        <f t="shared" si="44"/>
        <v>1031.7463136277815</v>
      </c>
      <c r="AA118" s="26">
        <f t="shared" si="44"/>
        <v>1401.5808120719109</v>
      </c>
      <c r="AB118" s="77" t="s">
        <v>428</v>
      </c>
      <c r="AC118" s="77" t="s">
        <v>400</v>
      </c>
      <c r="AD118" s="77">
        <v>1031.7463136277815</v>
      </c>
      <c r="AE118" s="77">
        <v>1401.5808120719109</v>
      </c>
      <c r="AF118" s="26" t="s">
        <v>274</v>
      </c>
      <c r="AG118" s="25" t="s">
        <v>13</v>
      </c>
      <c r="AH118" s="6" t="s">
        <v>66</v>
      </c>
      <c r="AI118" s="44" t="s">
        <v>213</v>
      </c>
      <c r="AJ118" s="62">
        <f t="shared" si="42"/>
        <v>15.79</v>
      </c>
      <c r="AK118" s="62">
        <v>16.02</v>
      </c>
      <c r="AL118" s="62">
        <v>15.56</v>
      </c>
      <c r="AM118" s="22">
        <f t="shared" si="49"/>
        <v>564</v>
      </c>
      <c r="AN118" s="21" t="s">
        <v>239</v>
      </c>
      <c r="AO118" s="22">
        <f>AM118-0.7*(AM118-AT118)</f>
        <v>414.20000000000005</v>
      </c>
      <c r="AP118" s="23">
        <f>AM118+0.6*(AU118-AM118)</f>
        <v>701.4</v>
      </c>
      <c r="AQ118" s="89" t="s">
        <v>423</v>
      </c>
      <c r="AR118" s="23" t="s">
        <v>400</v>
      </c>
      <c r="AS118" s="23">
        <v>564</v>
      </c>
      <c r="AT118" s="29">
        <v>350</v>
      </c>
      <c r="AU118" s="29">
        <v>793</v>
      </c>
      <c r="AV118" s="29" t="s">
        <v>236</v>
      </c>
      <c r="AW118" s="29"/>
      <c r="AX118" s="29" t="s">
        <v>13</v>
      </c>
      <c r="AY118" s="16" t="s">
        <v>841</v>
      </c>
      <c r="AZ118" s="97" t="s">
        <v>13</v>
      </c>
      <c r="BA118" s="97">
        <v>16.224519999999998</v>
      </c>
      <c r="BB118" s="59"/>
      <c r="BC118" s="59"/>
      <c r="BD118" s="29">
        <v>591.70589999999993</v>
      </c>
      <c r="BE118" s="29" t="s">
        <v>239</v>
      </c>
      <c r="BF118" s="29">
        <f t="shared" si="45"/>
        <v>523.52650000000006</v>
      </c>
      <c r="BG118" s="29">
        <f t="shared" si="45"/>
        <v>664.59159999999997</v>
      </c>
      <c r="BH118" s="29" t="s">
        <v>542</v>
      </c>
      <c r="BI118" s="23" t="s">
        <v>419</v>
      </c>
      <c r="BJ118" s="29">
        <v>523.52650000000006</v>
      </c>
      <c r="BK118" s="29">
        <v>664.59159999999997</v>
      </c>
      <c r="BL118" s="29" t="s">
        <v>837</v>
      </c>
      <c r="BM118" s="25" t="s">
        <v>13</v>
      </c>
      <c r="BO118" s="44"/>
      <c r="CA118" s="25" t="s">
        <v>13</v>
      </c>
      <c r="CC118" s="25" t="s">
        <v>13</v>
      </c>
    </row>
    <row r="119" spans="1:81">
      <c r="A119" s="11" t="s">
        <v>31</v>
      </c>
      <c r="B119" s="21" t="s">
        <v>434</v>
      </c>
      <c r="C119" s="80">
        <f>69.33+Q88</f>
        <v>70.33</v>
      </c>
      <c r="D119" s="15">
        <f t="shared" si="40"/>
        <v>71.33</v>
      </c>
      <c r="E119" s="15">
        <f t="shared" si="41"/>
        <v>69.33</v>
      </c>
      <c r="F119" s="23">
        <f t="shared" si="31"/>
        <v>38.192725091345459</v>
      </c>
      <c r="G119" s="23" t="s">
        <v>389</v>
      </c>
      <c r="H119" s="23">
        <f t="shared" si="32"/>
        <v>19.096362545672729</v>
      </c>
      <c r="I119" s="23">
        <f t="shared" si="33"/>
        <v>76.385450182690917</v>
      </c>
      <c r="J119" s="23" t="s">
        <v>480</v>
      </c>
      <c r="K119" s="23" t="s">
        <v>400</v>
      </c>
      <c r="L119" s="30">
        <v>114.57817527403637</v>
      </c>
      <c r="M119" s="30">
        <v>95.481812728363636</v>
      </c>
      <c r="N119" s="30">
        <v>133.67453781970909</v>
      </c>
      <c r="O119" s="30">
        <v>6000</v>
      </c>
      <c r="P119" s="22">
        <v>2000</v>
      </c>
      <c r="Q119" s="22"/>
      <c r="R119" s="26" t="s">
        <v>13</v>
      </c>
      <c r="S119" s="6" t="s">
        <v>265</v>
      </c>
      <c r="T119" s="44"/>
      <c r="U119" s="79">
        <v>36.479999999999997</v>
      </c>
      <c r="W119" s="76"/>
      <c r="X119" s="30">
        <v>2622.2796253591955</v>
      </c>
      <c r="Y119" s="26" t="s">
        <v>389</v>
      </c>
      <c r="Z119" s="26">
        <f t="shared" si="44"/>
        <v>2417.2779271642362</v>
      </c>
      <c r="AA119" s="26">
        <f t="shared" si="44"/>
        <v>3212.4376832698513</v>
      </c>
      <c r="AB119" s="77" t="s">
        <v>428</v>
      </c>
      <c r="AC119" s="77" t="s">
        <v>400</v>
      </c>
      <c r="AD119" s="77">
        <v>2417.2779271642362</v>
      </c>
      <c r="AE119" s="77">
        <v>3212.4376832698513</v>
      </c>
      <c r="AF119" s="26" t="s">
        <v>274</v>
      </c>
      <c r="AG119" s="25" t="s">
        <v>13</v>
      </c>
      <c r="AH119" s="6" t="s">
        <v>66</v>
      </c>
      <c r="AI119" s="44" t="s">
        <v>213</v>
      </c>
      <c r="AJ119" s="62">
        <f t="shared" si="42"/>
        <v>15.7</v>
      </c>
      <c r="AK119" s="62">
        <v>16.399999999999999</v>
      </c>
      <c r="AL119" s="62">
        <v>15</v>
      </c>
      <c r="AM119" s="22">
        <f t="shared" si="49"/>
        <v>555</v>
      </c>
      <c r="AN119" s="21" t="s">
        <v>239</v>
      </c>
      <c r="AO119" s="22">
        <f>AM119-0.7*(AM119-AT119)</f>
        <v>426.20000000000005</v>
      </c>
      <c r="AP119" s="23">
        <f>AM119+0.6*(AU119-AM119)</f>
        <v>694.8</v>
      </c>
      <c r="AQ119" s="89" t="s">
        <v>423</v>
      </c>
      <c r="AR119" s="23" t="s">
        <v>400</v>
      </c>
      <c r="AS119" s="23">
        <v>555</v>
      </c>
      <c r="AT119" s="29">
        <v>371</v>
      </c>
      <c r="AU119" s="29">
        <v>788</v>
      </c>
      <c r="AV119" s="29" t="s">
        <v>236</v>
      </c>
      <c r="AW119" s="29"/>
      <c r="AX119" s="29" t="s">
        <v>13</v>
      </c>
      <c r="AY119" s="16" t="s">
        <v>841</v>
      </c>
      <c r="AZ119" s="97" t="s">
        <v>13</v>
      </c>
      <c r="BA119" s="97">
        <v>16.230789999999999</v>
      </c>
      <c r="BB119" s="59"/>
      <c r="BC119" s="59"/>
      <c r="BD119" s="29">
        <v>337.36989999999997</v>
      </c>
      <c r="BE119" s="29" t="s">
        <v>239</v>
      </c>
      <c r="BF119" s="29">
        <f t="shared" si="45"/>
        <v>300.85559999999998</v>
      </c>
      <c r="BG119" s="29">
        <f t="shared" si="45"/>
        <v>375.59010000000001</v>
      </c>
      <c r="BH119" s="29" t="s">
        <v>542</v>
      </c>
      <c r="BI119" s="23" t="s">
        <v>419</v>
      </c>
      <c r="BJ119" s="29">
        <v>300.85559999999998</v>
      </c>
      <c r="BK119" s="29">
        <v>375.59010000000001</v>
      </c>
      <c r="BL119" s="29" t="s">
        <v>837</v>
      </c>
      <c r="BM119" s="25" t="s">
        <v>13</v>
      </c>
      <c r="BO119" s="44"/>
      <c r="CA119" s="25" t="s">
        <v>13</v>
      </c>
      <c r="CC119" s="25" t="s">
        <v>13</v>
      </c>
    </row>
    <row r="120" spans="1:81">
      <c r="A120" s="11" t="s">
        <v>31</v>
      </c>
      <c r="B120" s="21" t="s">
        <v>434</v>
      </c>
      <c r="C120" s="80">
        <f>69.49+Q88</f>
        <v>70.489999999999995</v>
      </c>
      <c r="D120" s="15">
        <f t="shared" si="40"/>
        <v>71.489999999999995</v>
      </c>
      <c r="E120" s="15">
        <f t="shared" si="41"/>
        <v>69.489999999999995</v>
      </c>
      <c r="F120" s="23">
        <f t="shared" si="31"/>
        <v>125.89250916115131</v>
      </c>
      <c r="G120" s="23" t="s">
        <v>389</v>
      </c>
      <c r="H120" s="23">
        <f t="shared" si="32"/>
        <v>62.946254580575655</v>
      </c>
      <c r="I120" s="23">
        <f t="shared" si="33"/>
        <v>251.78501832230262</v>
      </c>
      <c r="J120" s="23" t="s">
        <v>480</v>
      </c>
      <c r="K120" s="23" t="s">
        <v>400</v>
      </c>
      <c r="L120" s="30">
        <v>377.6775274834539</v>
      </c>
      <c r="M120" s="30">
        <v>314.73127290287823</v>
      </c>
      <c r="N120" s="30">
        <v>440.62378206402957</v>
      </c>
      <c r="O120" s="30">
        <v>6000</v>
      </c>
      <c r="P120" s="22">
        <v>2000</v>
      </c>
      <c r="Q120" s="22"/>
      <c r="R120" s="26" t="s">
        <v>13</v>
      </c>
      <c r="S120" s="6" t="s">
        <v>265</v>
      </c>
      <c r="T120" s="44"/>
      <c r="U120" s="79">
        <v>36.81</v>
      </c>
      <c r="W120" s="76"/>
      <c r="X120" s="30">
        <v>1246.998486771892</v>
      </c>
      <c r="Y120" s="26" t="s">
        <v>389</v>
      </c>
      <c r="Z120" s="26">
        <f t="shared" si="44"/>
        <v>1086.945007348457</v>
      </c>
      <c r="AA120" s="26">
        <f t="shared" si="44"/>
        <v>1617.3851651792379</v>
      </c>
      <c r="AB120" s="77" t="s">
        <v>428</v>
      </c>
      <c r="AC120" s="77" t="s">
        <v>400</v>
      </c>
      <c r="AD120" s="77">
        <v>1086.945007348457</v>
      </c>
      <c r="AE120" s="77">
        <v>1617.3851651792379</v>
      </c>
      <c r="AF120" s="26" t="s">
        <v>274</v>
      </c>
      <c r="AG120" s="25" t="s">
        <v>13</v>
      </c>
      <c r="AH120" s="6" t="s">
        <v>66</v>
      </c>
      <c r="AI120" s="44" t="s">
        <v>213</v>
      </c>
      <c r="AJ120" s="62">
        <f t="shared" si="42"/>
        <v>15.7</v>
      </c>
      <c r="AK120" s="62">
        <v>16.399999999999999</v>
      </c>
      <c r="AL120" s="62">
        <v>15</v>
      </c>
      <c r="AM120" s="22">
        <f t="shared" si="49"/>
        <v>552</v>
      </c>
      <c r="AN120" s="21" t="s">
        <v>239</v>
      </c>
      <c r="AO120" s="22">
        <f>AM120-0.7*(AM120-AT120)</f>
        <v>415.5</v>
      </c>
      <c r="AP120" s="23">
        <f>AM120+0.6*(AU120-AM120)</f>
        <v>693</v>
      </c>
      <c r="AQ120" s="89" t="s">
        <v>423</v>
      </c>
      <c r="AR120" s="23" t="s">
        <v>400</v>
      </c>
      <c r="AS120" s="23">
        <v>552</v>
      </c>
      <c r="AT120" s="29">
        <v>357</v>
      </c>
      <c r="AU120" s="29">
        <v>787</v>
      </c>
      <c r="AV120" s="29" t="s">
        <v>236</v>
      </c>
      <c r="AW120" s="29"/>
      <c r="AX120" s="29" t="s">
        <v>13</v>
      </c>
      <c r="AY120" s="16" t="s">
        <v>841</v>
      </c>
      <c r="AZ120" s="97" t="s">
        <v>13</v>
      </c>
      <c r="BA120" s="97">
        <v>16.249580000000002</v>
      </c>
      <c r="BB120" s="59"/>
      <c r="BC120" s="59"/>
      <c r="BD120" s="29">
        <v>693.04660000000001</v>
      </c>
      <c r="BE120" s="29" t="s">
        <v>239</v>
      </c>
      <c r="BF120" s="29">
        <f t="shared" si="45"/>
        <v>594.47680000000003</v>
      </c>
      <c r="BG120" s="29">
        <f t="shared" si="45"/>
        <v>805.68240000000003</v>
      </c>
      <c r="BH120" s="29" t="s">
        <v>542</v>
      </c>
      <c r="BI120" s="23" t="s">
        <v>419</v>
      </c>
      <c r="BJ120" s="29">
        <v>594.47680000000003</v>
      </c>
      <c r="BK120" s="29">
        <v>805.68240000000003</v>
      </c>
      <c r="BL120" s="29" t="s">
        <v>837</v>
      </c>
      <c r="BM120" s="25" t="s">
        <v>13</v>
      </c>
      <c r="BO120" s="44"/>
      <c r="CA120" s="25" t="s">
        <v>13</v>
      </c>
      <c r="CC120" s="25" t="s">
        <v>13</v>
      </c>
    </row>
    <row r="121" spans="1:81">
      <c r="A121" s="11" t="s">
        <v>31</v>
      </c>
      <c r="B121" s="21" t="s">
        <v>434</v>
      </c>
      <c r="C121" s="80">
        <f>70.35+Q88</f>
        <v>71.349999999999994</v>
      </c>
      <c r="D121" s="15">
        <f t="shared" si="40"/>
        <v>72.349999999999994</v>
      </c>
      <c r="E121" s="15">
        <f t="shared" si="41"/>
        <v>70.349999999999994</v>
      </c>
      <c r="F121" s="23">
        <f t="shared" si="31"/>
        <v>254.20821211121407</v>
      </c>
      <c r="G121" s="23" t="s">
        <v>389</v>
      </c>
      <c r="H121" s="23">
        <f t="shared" si="32"/>
        <v>127.10410605560703</v>
      </c>
      <c r="I121" s="23">
        <f t="shared" si="33"/>
        <v>508.41642422242813</v>
      </c>
      <c r="J121" s="23" t="s">
        <v>480</v>
      </c>
      <c r="K121" s="23" t="s">
        <v>400</v>
      </c>
      <c r="L121" s="30">
        <v>762.62463633364223</v>
      </c>
      <c r="M121" s="30">
        <v>635.52053027803515</v>
      </c>
      <c r="N121" s="30">
        <v>889.72874238924931</v>
      </c>
      <c r="O121" s="30">
        <v>6000</v>
      </c>
      <c r="P121" s="22">
        <v>2000</v>
      </c>
      <c r="Q121" s="22"/>
      <c r="R121" s="26" t="s">
        <v>13</v>
      </c>
      <c r="S121" s="6" t="s">
        <v>265</v>
      </c>
      <c r="T121" s="44"/>
      <c r="U121" s="79">
        <v>37.1</v>
      </c>
      <c r="W121" s="76"/>
      <c r="X121" s="30">
        <v>939.18732955135772</v>
      </c>
      <c r="Y121" s="26" t="s">
        <v>389</v>
      </c>
      <c r="Z121" s="26">
        <f t="shared" si="44"/>
        <v>876.98363549737678</v>
      </c>
      <c r="AA121" s="26">
        <f t="shared" si="44"/>
        <v>1135.7281345814217</v>
      </c>
      <c r="AB121" s="77" t="s">
        <v>428</v>
      </c>
      <c r="AC121" s="77" t="s">
        <v>400</v>
      </c>
      <c r="AD121" s="77">
        <v>876.98363549737678</v>
      </c>
      <c r="AE121" s="77">
        <v>1135.7281345814217</v>
      </c>
      <c r="AF121" s="26" t="s">
        <v>274</v>
      </c>
      <c r="AG121" s="25" t="s">
        <v>13</v>
      </c>
      <c r="AH121" s="6" t="s">
        <v>41</v>
      </c>
      <c r="AI121" s="44" t="s">
        <v>213</v>
      </c>
      <c r="AJ121" s="62">
        <f t="shared" si="42"/>
        <v>15.7</v>
      </c>
      <c r="AK121" s="62">
        <v>16.399999999999999</v>
      </c>
      <c r="AL121" s="62">
        <v>15</v>
      </c>
      <c r="AM121" s="22">
        <f t="shared" si="49"/>
        <v>449</v>
      </c>
      <c r="AN121" s="26" t="s">
        <v>389</v>
      </c>
      <c r="AO121" s="66">
        <f>AM121*0.7</f>
        <v>314.29999999999995</v>
      </c>
      <c r="AP121" s="100">
        <f>AM121*1.65</f>
        <v>740.84999999999991</v>
      </c>
      <c r="AQ121" s="29" t="s">
        <v>512</v>
      </c>
      <c r="AR121" s="23" t="s">
        <v>424</v>
      </c>
      <c r="AS121" s="23">
        <v>449</v>
      </c>
      <c r="AT121" s="29">
        <v>410</v>
      </c>
      <c r="AU121" s="29">
        <v>469.27300000000002</v>
      </c>
      <c r="AV121" s="29" t="s">
        <v>236</v>
      </c>
      <c r="AW121" s="29" t="s">
        <v>740</v>
      </c>
      <c r="AX121" s="29" t="s">
        <v>13</v>
      </c>
      <c r="AY121" s="16" t="s">
        <v>841</v>
      </c>
      <c r="AZ121" s="97" t="s">
        <v>13</v>
      </c>
      <c r="BA121" s="97">
        <v>16.29261</v>
      </c>
      <c r="BB121" s="59"/>
      <c r="BC121" s="59"/>
      <c r="BD121" s="29">
        <v>395.89429999999999</v>
      </c>
      <c r="BE121" s="29" t="s">
        <v>239</v>
      </c>
      <c r="BF121" s="29">
        <f t="shared" si="45"/>
        <v>351.72619999999995</v>
      </c>
      <c r="BG121" s="29">
        <f t="shared" si="45"/>
        <v>441.1542</v>
      </c>
      <c r="BH121" s="29" t="s">
        <v>542</v>
      </c>
      <c r="BI121" s="23" t="s">
        <v>419</v>
      </c>
      <c r="BJ121" s="29">
        <v>351.72619999999995</v>
      </c>
      <c r="BK121" s="29">
        <v>441.1542</v>
      </c>
      <c r="BL121" s="29" t="s">
        <v>837</v>
      </c>
      <c r="BM121" s="25" t="s">
        <v>13</v>
      </c>
      <c r="BO121" s="44"/>
      <c r="CA121" s="25" t="s">
        <v>13</v>
      </c>
      <c r="CC121" s="25" t="s">
        <v>13</v>
      </c>
    </row>
    <row r="122" spans="1:81">
      <c r="A122" s="11" t="s">
        <v>31</v>
      </c>
      <c r="B122" s="21" t="s">
        <v>434</v>
      </c>
      <c r="C122" s="80">
        <f>70.45+Q88</f>
        <v>71.45</v>
      </c>
      <c r="D122" s="15">
        <f t="shared" si="40"/>
        <v>72.45</v>
      </c>
      <c r="E122" s="15">
        <f t="shared" si="41"/>
        <v>70.45</v>
      </c>
      <c r="F122" s="23">
        <f t="shared" si="31"/>
        <v>289.24752656093062</v>
      </c>
      <c r="G122" s="23" t="s">
        <v>389</v>
      </c>
      <c r="H122" s="23">
        <f t="shared" si="32"/>
        <v>144.62376328046531</v>
      </c>
      <c r="I122" s="23">
        <f t="shared" si="33"/>
        <v>578.49505312186125</v>
      </c>
      <c r="J122" s="23" t="s">
        <v>480</v>
      </c>
      <c r="K122" s="23" t="s">
        <v>400</v>
      </c>
      <c r="L122" s="30">
        <v>867.74257968279198</v>
      </c>
      <c r="M122" s="30">
        <v>723.11881640232662</v>
      </c>
      <c r="N122" s="30">
        <v>1012.3663429632574</v>
      </c>
      <c r="O122" s="30">
        <v>6000</v>
      </c>
      <c r="P122" s="22">
        <v>2000</v>
      </c>
      <c r="Q122" s="22"/>
      <c r="R122" s="26" t="s">
        <v>13</v>
      </c>
      <c r="S122" s="6" t="s">
        <v>265</v>
      </c>
      <c r="T122" s="44"/>
      <c r="U122" s="79">
        <v>37.43</v>
      </c>
      <c r="W122" s="76"/>
      <c r="X122" s="30">
        <v>1042.3045575098281</v>
      </c>
      <c r="Y122" s="26" t="s">
        <v>389</v>
      </c>
      <c r="Z122" s="26">
        <f t="shared" si="44"/>
        <v>937.68822843180567</v>
      </c>
      <c r="AA122" s="26">
        <f t="shared" si="44"/>
        <v>1308.5813922548386</v>
      </c>
      <c r="AB122" s="77" t="s">
        <v>428</v>
      </c>
      <c r="AC122" s="77" t="s">
        <v>400</v>
      </c>
      <c r="AD122" s="77">
        <v>937.68822843180567</v>
      </c>
      <c r="AE122" s="77">
        <v>1308.5813922548386</v>
      </c>
      <c r="AF122" s="26" t="s">
        <v>274</v>
      </c>
      <c r="AG122" s="25" t="s">
        <v>13</v>
      </c>
      <c r="AH122" s="6" t="s">
        <v>66</v>
      </c>
      <c r="AI122" s="44" t="s">
        <v>214</v>
      </c>
      <c r="AJ122" s="62">
        <f t="shared" si="42"/>
        <v>13.885</v>
      </c>
      <c r="AK122" s="62">
        <v>14.27</v>
      </c>
      <c r="AL122" s="62">
        <v>13.5</v>
      </c>
      <c r="AM122" s="22">
        <f t="shared" si="49"/>
        <v>287</v>
      </c>
      <c r="AN122" s="21" t="s">
        <v>239</v>
      </c>
      <c r="AO122" s="22">
        <f>AM122-0.7*(AM122-AT122)</f>
        <v>261.8</v>
      </c>
      <c r="AP122" s="23">
        <f>AM122+0.6*(AU122-AM122)</f>
        <v>301.10000000000002</v>
      </c>
      <c r="AQ122" s="89" t="s">
        <v>423</v>
      </c>
      <c r="AR122" s="23" t="s">
        <v>400</v>
      </c>
      <c r="AS122" s="23">
        <v>287</v>
      </c>
      <c r="AT122" s="29">
        <v>251</v>
      </c>
      <c r="AU122" s="29">
        <v>310.5</v>
      </c>
      <c r="AV122" s="29" t="s">
        <v>236</v>
      </c>
      <c r="AW122" s="29"/>
      <c r="AX122" s="29" t="s">
        <v>13</v>
      </c>
      <c r="AY122" s="16" t="s">
        <v>841</v>
      </c>
      <c r="AZ122" s="97" t="s">
        <v>13</v>
      </c>
      <c r="BA122" s="97">
        <v>16.307279999999999</v>
      </c>
      <c r="BB122" s="59"/>
      <c r="BC122" s="59"/>
      <c r="BD122" s="29">
        <v>364.94620000000003</v>
      </c>
      <c r="BE122" s="29" t="s">
        <v>239</v>
      </c>
      <c r="BF122" s="29">
        <f t="shared" si="45"/>
        <v>324.14</v>
      </c>
      <c r="BG122" s="29">
        <f t="shared" si="45"/>
        <v>407.02130000000005</v>
      </c>
      <c r="BH122" s="29" t="s">
        <v>542</v>
      </c>
      <c r="BI122" s="23" t="s">
        <v>419</v>
      </c>
      <c r="BJ122" s="29">
        <v>324.14</v>
      </c>
      <c r="BK122" s="29">
        <v>407.02130000000005</v>
      </c>
      <c r="BL122" s="29" t="s">
        <v>837</v>
      </c>
      <c r="BM122" s="25" t="s">
        <v>13</v>
      </c>
      <c r="BO122" s="44"/>
      <c r="CA122" s="25" t="s">
        <v>13</v>
      </c>
      <c r="CC122" s="25" t="s">
        <v>13</v>
      </c>
    </row>
    <row r="123" spans="1:81">
      <c r="A123" s="11" t="s">
        <v>31</v>
      </c>
      <c r="B123" s="21" t="s">
        <v>434</v>
      </c>
      <c r="C123" s="80">
        <f>70.6+Q88</f>
        <v>71.599999999999994</v>
      </c>
      <c r="D123" s="15">
        <f t="shared" si="40"/>
        <v>72.599999999999994</v>
      </c>
      <c r="E123" s="15">
        <f t="shared" si="41"/>
        <v>70.599999999999994</v>
      </c>
      <c r="F123" s="23">
        <f t="shared" si="31"/>
        <v>294.346228948011</v>
      </c>
      <c r="G123" s="23" t="s">
        <v>389</v>
      </c>
      <c r="H123" s="23">
        <f t="shared" si="32"/>
        <v>147.1731144740055</v>
      </c>
      <c r="I123" s="23">
        <f t="shared" si="33"/>
        <v>588.69245789602201</v>
      </c>
      <c r="J123" s="23" t="s">
        <v>480</v>
      </c>
      <c r="K123" s="23" t="s">
        <v>400</v>
      </c>
      <c r="L123" s="30">
        <v>883.03868684403301</v>
      </c>
      <c r="M123" s="30">
        <v>735.86557237002751</v>
      </c>
      <c r="N123" s="30">
        <v>1030.2118013180384</v>
      </c>
      <c r="O123" s="30">
        <v>6000</v>
      </c>
      <c r="P123" s="22">
        <v>2000</v>
      </c>
      <c r="Q123" s="22"/>
      <c r="R123" s="26" t="s">
        <v>13</v>
      </c>
      <c r="S123" s="6" t="s">
        <v>265</v>
      </c>
      <c r="T123" s="44"/>
      <c r="U123" s="79">
        <v>38.549999999999997</v>
      </c>
      <c r="W123" s="76"/>
      <c r="X123" s="30">
        <v>797.56918516353301</v>
      </c>
      <c r="Y123" s="26" t="s">
        <v>389</v>
      </c>
      <c r="Z123" s="26">
        <f t="shared" si="44"/>
        <v>737.01219701364198</v>
      </c>
      <c r="AA123" s="26">
        <f t="shared" si="44"/>
        <v>974.5999693730804</v>
      </c>
      <c r="AB123" s="77" t="s">
        <v>428</v>
      </c>
      <c r="AC123" s="77" t="s">
        <v>400</v>
      </c>
      <c r="AD123" s="77">
        <v>737.01219701364198</v>
      </c>
      <c r="AE123" s="77">
        <v>974.5999693730804</v>
      </c>
      <c r="AF123" s="26" t="s">
        <v>274</v>
      </c>
      <c r="AG123" s="25" t="s">
        <v>13</v>
      </c>
      <c r="AH123" s="6" t="s">
        <v>41</v>
      </c>
      <c r="AI123" s="44" t="s">
        <v>214</v>
      </c>
      <c r="AJ123" s="62">
        <f t="shared" si="42"/>
        <v>13.885</v>
      </c>
      <c r="AK123" s="62">
        <v>14.27</v>
      </c>
      <c r="AL123" s="62">
        <v>13.5</v>
      </c>
      <c r="AM123" s="22">
        <f t="shared" si="49"/>
        <v>292.51100000000002</v>
      </c>
      <c r="AN123" s="26" t="s">
        <v>389</v>
      </c>
      <c r="AO123" s="66">
        <f>AM123*0.7</f>
        <v>204.7577</v>
      </c>
      <c r="AP123" s="100">
        <f>AM123*1.65</f>
        <v>482.64314999999999</v>
      </c>
      <c r="AQ123" s="29" t="s">
        <v>512</v>
      </c>
      <c r="AR123" s="23" t="s">
        <v>424</v>
      </c>
      <c r="AS123" s="23">
        <v>292.51100000000002</v>
      </c>
      <c r="AT123" s="29">
        <v>279</v>
      </c>
      <c r="AU123" s="29">
        <v>300</v>
      </c>
      <c r="AV123" s="29" t="s">
        <v>236</v>
      </c>
      <c r="AW123" s="29" t="s">
        <v>740</v>
      </c>
      <c r="AX123" s="29" t="s">
        <v>13</v>
      </c>
      <c r="AY123" s="16" t="s">
        <v>841</v>
      </c>
      <c r="AZ123" s="97" t="s">
        <v>13</v>
      </c>
      <c r="BA123" s="97">
        <v>16.317060000000001</v>
      </c>
      <c r="BB123" s="59"/>
      <c r="BC123" s="59"/>
      <c r="BD123" s="29">
        <v>350.10720000000003</v>
      </c>
      <c r="BE123" s="29" t="s">
        <v>239</v>
      </c>
      <c r="BF123" s="29">
        <f t="shared" si="45"/>
        <v>310.85669999999999</v>
      </c>
      <c r="BG123" s="29">
        <f t="shared" si="45"/>
        <v>393.02379999999999</v>
      </c>
      <c r="BH123" s="29" t="s">
        <v>542</v>
      </c>
      <c r="BI123" s="23" t="s">
        <v>419</v>
      </c>
      <c r="BJ123" s="29">
        <v>310.85669999999999</v>
      </c>
      <c r="BK123" s="29">
        <v>393.02379999999999</v>
      </c>
      <c r="BL123" s="29" t="s">
        <v>837</v>
      </c>
      <c r="BM123" s="25" t="s">
        <v>13</v>
      </c>
      <c r="BO123" s="44"/>
      <c r="CA123" s="25" t="s">
        <v>13</v>
      </c>
      <c r="CC123" s="25" t="s">
        <v>13</v>
      </c>
    </row>
    <row r="124" spans="1:81">
      <c r="A124" s="7" t="s">
        <v>32</v>
      </c>
      <c r="B124" s="25" t="s">
        <v>139</v>
      </c>
      <c r="C124" s="68">
        <f t="shared" ref="C124:C136" si="50">AVERAGE(D124:E124)</f>
        <v>280.64999999999998</v>
      </c>
      <c r="D124" s="15">
        <v>282</v>
      </c>
      <c r="E124" s="15">
        <v>279.3</v>
      </c>
      <c r="F124" s="23">
        <f t="shared" si="31"/>
        <v>133.33333333333334</v>
      </c>
      <c r="G124" s="23" t="s">
        <v>389</v>
      </c>
      <c r="H124" s="23">
        <f t="shared" si="32"/>
        <v>66.666666666666671</v>
      </c>
      <c r="I124" s="23">
        <f t="shared" si="33"/>
        <v>266.66666666666669</v>
      </c>
      <c r="J124" s="23" t="s">
        <v>480</v>
      </c>
      <c r="K124" s="23" t="s">
        <v>400</v>
      </c>
      <c r="L124" s="31">
        <v>500</v>
      </c>
      <c r="M124" s="31">
        <v>300</v>
      </c>
      <c r="N124" s="31">
        <v>1000</v>
      </c>
      <c r="O124" s="31">
        <v>7500</v>
      </c>
      <c r="P124" s="22">
        <v>2000</v>
      </c>
      <c r="Q124" s="22" t="s">
        <v>329</v>
      </c>
      <c r="R124" s="26" t="s">
        <v>13</v>
      </c>
      <c r="S124" s="6" t="s">
        <v>265</v>
      </c>
      <c r="T124" s="44"/>
      <c r="U124" s="79">
        <v>38.25</v>
      </c>
      <c r="W124" s="76"/>
      <c r="X124" s="30">
        <v>898.45412327063036</v>
      </c>
      <c r="Y124" s="26" t="s">
        <v>389</v>
      </c>
      <c r="Z124" s="26">
        <f t="shared" si="44"/>
        <v>801.79596643490129</v>
      </c>
      <c r="AA124" s="26">
        <f t="shared" si="44"/>
        <v>1137.0571841633732</v>
      </c>
      <c r="AB124" s="77" t="s">
        <v>428</v>
      </c>
      <c r="AC124" s="77" t="s">
        <v>400</v>
      </c>
      <c r="AD124" s="77">
        <v>801.79596643490129</v>
      </c>
      <c r="AE124" s="77">
        <v>1137.0571841633732</v>
      </c>
      <c r="AF124" s="26" t="s">
        <v>274</v>
      </c>
      <c r="AG124" s="25" t="s">
        <v>13</v>
      </c>
      <c r="AH124" s="6" t="s">
        <v>41</v>
      </c>
      <c r="AI124" s="44" t="s">
        <v>215</v>
      </c>
      <c r="AJ124" s="62">
        <f t="shared" si="42"/>
        <v>11.559999999999999</v>
      </c>
      <c r="AK124" s="62">
        <v>12.17</v>
      </c>
      <c r="AL124" s="62">
        <v>10.95</v>
      </c>
      <c r="AM124" s="22">
        <f t="shared" si="49"/>
        <v>332.15899999999999</v>
      </c>
      <c r="AN124" s="26" t="s">
        <v>389</v>
      </c>
      <c r="AO124" s="66">
        <f>AM124*0.7</f>
        <v>232.51129999999998</v>
      </c>
      <c r="AP124" s="100">
        <f>AM124*1.65</f>
        <v>548.06234999999992</v>
      </c>
      <c r="AQ124" s="29" t="s">
        <v>512</v>
      </c>
      <c r="AR124" s="23" t="s">
        <v>424</v>
      </c>
      <c r="AS124" s="23">
        <v>332.15899999999999</v>
      </c>
      <c r="AT124" s="29">
        <v>314.8</v>
      </c>
      <c r="AU124" s="29">
        <v>348.4</v>
      </c>
      <c r="AV124" s="29" t="s">
        <v>236</v>
      </c>
      <c r="AW124" s="29" t="s">
        <v>740</v>
      </c>
      <c r="AX124" s="29" t="s">
        <v>13</v>
      </c>
      <c r="AY124" s="16" t="s">
        <v>841</v>
      </c>
      <c r="AZ124" s="97" t="s">
        <v>13</v>
      </c>
      <c r="BA124" s="97">
        <v>16.33662</v>
      </c>
      <c r="BB124" s="59"/>
      <c r="BC124" s="59"/>
      <c r="BD124" s="29">
        <v>477.26499999999999</v>
      </c>
      <c r="BE124" s="29" t="s">
        <v>239</v>
      </c>
      <c r="BF124" s="29">
        <f t="shared" si="45"/>
        <v>421.23630000000003</v>
      </c>
      <c r="BG124" s="29">
        <f t="shared" si="45"/>
        <v>535.58749999999998</v>
      </c>
      <c r="BH124" s="29" t="s">
        <v>542</v>
      </c>
      <c r="BI124" s="23" t="s">
        <v>419</v>
      </c>
      <c r="BJ124" s="29">
        <v>421.23630000000003</v>
      </c>
      <c r="BK124" s="29">
        <v>535.58749999999998</v>
      </c>
      <c r="BL124" s="29" t="s">
        <v>837</v>
      </c>
      <c r="BM124" s="25" t="s">
        <v>13</v>
      </c>
      <c r="BO124" s="44"/>
      <c r="CA124" s="25" t="s">
        <v>13</v>
      </c>
      <c r="CC124" s="25" t="s">
        <v>13</v>
      </c>
    </row>
    <row r="125" spans="1:81">
      <c r="A125" s="7" t="s">
        <v>32</v>
      </c>
      <c r="B125" s="25" t="s">
        <v>140</v>
      </c>
      <c r="C125" s="68">
        <f t="shared" si="50"/>
        <v>273.64999999999998</v>
      </c>
      <c r="D125" s="15">
        <v>275</v>
      </c>
      <c r="E125" s="15">
        <v>272.3</v>
      </c>
      <c r="F125" s="23">
        <f t="shared" si="31"/>
        <v>133.33333333333334</v>
      </c>
      <c r="G125" s="23" t="s">
        <v>389</v>
      </c>
      <c r="H125" s="23">
        <f t="shared" si="32"/>
        <v>66.666666666666671</v>
      </c>
      <c r="I125" s="23">
        <f t="shared" si="33"/>
        <v>266.66666666666669</v>
      </c>
      <c r="J125" s="23" t="s">
        <v>480</v>
      </c>
      <c r="K125" s="23" t="s">
        <v>400</v>
      </c>
      <c r="L125" s="31">
        <v>500</v>
      </c>
      <c r="M125" s="31">
        <v>300</v>
      </c>
      <c r="N125" s="31">
        <v>1000</v>
      </c>
      <c r="O125" s="31">
        <v>7500</v>
      </c>
      <c r="P125" s="22">
        <v>2000</v>
      </c>
      <c r="Q125" s="22" t="s">
        <v>329</v>
      </c>
      <c r="R125" s="26" t="s">
        <v>13</v>
      </c>
      <c r="S125" s="6" t="s">
        <v>265</v>
      </c>
      <c r="T125" s="44"/>
      <c r="U125" s="79">
        <v>38.619999999999997</v>
      </c>
      <c r="W125" s="76"/>
      <c r="X125" s="30">
        <v>863.29754139821318</v>
      </c>
      <c r="Y125" s="26" t="s">
        <v>389</v>
      </c>
      <c r="Z125" s="26">
        <f t="shared" si="44"/>
        <v>754.08833433444761</v>
      </c>
      <c r="AA125" s="26">
        <f t="shared" si="44"/>
        <v>1116.3774720837857</v>
      </c>
      <c r="AB125" s="77" t="s">
        <v>428</v>
      </c>
      <c r="AC125" s="77" t="s">
        <v>400</v>
      </c>
      <c r="AD125" s="77">
        <v>754.08833433444761</v>
      </c>
      <c r="AE125" s="77">
        <v>1116.3774720837857</v>
      </c>
      <c r="AF125" s="26" t="s">
        <v>274</v>
      </c>
      <c r="AG125" s="25" t="s">
        <v>13</v>
      </c>
      <c r="AH125" s="6" t="s">
        <v>67</v>
      </c>
      <c r="AI125" s="44" t="s">
        <v>99</v>
      </c>
      <c r="AJ125" s="62">
        <v>72.5</v>
      </c>
      <c r="AK125" s="62">
        <v>83.6</v>
      </c>
      <c r="AL125" s="62">
        <v>72.099999999999994</v>
      </c>
      <c r="AM125" s="26">
        <f>AVERAGE(AO125:AP125)</f>
        <v>751.5</v>
      </c>
      <c r="AN125" s="26" t="s">
        <v>389</v>
      </c>
      <c r="AO125" s="66">
        <f>AT125</f>
        <v>436</v>
      </c>
      <c r="AP125" s="100">
        <f>AU125</f>
        <v>1067</v>
      </c>
      <c r="AQ125" s="29" t="s">
        <v>426</v>
      </c>
      <c r="AR125" s="26" t="s">
        <v>422</v>
      </c>
      <c r="AS125" s="29"/>
      <c r="AT125" s="29">
        <v>436</v>
      </c>
      <c r="AU125" s="29">
        <v>1067</v>
      </c>
      <c r="AV125" s="29" t="s">
        <v>60</v>
      </c>
      <c r="AW125" s="29"/>
      <c r="AX125" s="29" t="s">
        <v>13</v>
      </c>
      <c r="AY125" s="16" t="s">
        <v>841</v>
      </c>
      <c r="AZ125" s="97" t="s">
        <v>13</v>
      </c>
      <c r="BA125" s="97">
        <v>16.38552</v>
      </c>
      <c r="BB125" s="59"/>
      <c r="BC125" s="59"/>
      <c r="BD125" s="29">
        <v>311.30590000000001</v>
      </c>
      <c r="BE125" s="29" t="s">
        <v>239</v>
      </c>
      <c r="BF125" s="29">
        <f t="shared" si="45"/>
        <v>275.66409999999996</v>
      </c>
      <c r="BG125" s="29">
        <f t="shared" si="45"/>
        <v>349.64529999999996</v>
      </c>
      <c r="BH125" s="29" t="s">
        <v>542</v>
      </c>
      <c r="BI125" s="23" t="s">
        <v>419</v>
      </c>
      <c r="BJ125" s="29">
        <v>275.66409999999996</v>
      </c>
      <c r="BK125" s="29">
        <v>349.64529999999996</v>
      </c>
      <c r="BL125" s="29" t="s">
        <v>837</v>
      </c>
      <c r="BM125" s="25" t="s">
        <v>13</v>
      </c>
      <c r="BO125" s="44"/>
      <c r="CA125" s="25" t="s">
        <v>13</v>
      </c>
      <c r="CC125" s="25" t="s">
        <v>13</v>
      </c>
    </row>
    <row r="126" spans="1:81">
      <c r="A126" s="7" t="s">
        <v>38</v>
      </c>
      <c r="B126" s="25" t="s">
        <v>143</v>
      </c>
      <c r="C126" s="68">
        <f t="shared" si="50"/>
        <v>83.25</v>
      </c>
      <c r="D126" s="68">
        <v>100.5</v>
      </c>
      <c r="E126" s="68">
        <v>66</v>
      </c>
      <c r="F126" s="23">
        <f t="shared" si="31"/>
        <v>740</v>
      </c>
      <c r="G126" s="23" t="s">
        <v>389</v>
      </c>
      <c r="H126" s="23">
        <f t="shared" si="32"/>
        <v>370</v>
      </c>
      <c r="I126" s="23">
        <f t="shared" si="33"/>
        <v>1480</v>
      </c>
      <c r="J126" s="23" t="s">
        <v>480</v>
      </c>
      <c r="K126" s="23" t="s">
        <v>400</v>
      </c>
      <c r="L126" s="28">
        <v>1480</v>
      </c>
      <c r="M126" s="28">
        <v>1110</v>
      </c>
      <c r="N126" s="26">
        <v>1850</v>
      </c>
      <c r="O126" s="26">
        <v>4000</v>
      </c>
      <c r="P126" s="22">
        <v>2000</v>
      </c>
      <c r="Q126" s="22" t="s">
        <v>330</v>
      </c>
      <c r="R126" s="26" t="s">
        <v>13</v>
      </c>
      <c r="S126" s="6" t="s">
        <v>263</v>
      </c>
      <c r="T126" s="44" t="s">
        <v>397</v>
      </c>
      <c r="U126" s="72">
        <v>12.81</v>
      </c>
      <c r="V126" s="26"/>
      <c r="W126" s="26"/>
      <c r="X126" s="26">
        <v>283</v>
      </c>
      <c r="Y126" s="26" t="s">
        <v>389</v>
      </c>
      <c r="Z126" s="26">
        <f t="shared" ref="Z126:Z173" si="51">X126-0.5*(X126-AD126)</f>
        <v>261</v>
      </c>
      <c r="AA126" s="26">
        <f t="shared" ref="AA126:AA173" si="52">X126+0.5*(AE126-X126)</f>
        <v>305.5</v>
      </c>
      <c r="AB126" s="26" t="s">
        <v>429</v>
      </c>
      <c r="AC126" s="26" t="s">
        <v>418</v>
      </c>
      <c r="AD126" s="26">
        <v>239</v>
      </c>
      <c r="AE126" s="26">
        <v>328</v>
      </c>
      <c r="AF126" s="26" t="s">
        <v>13</v>
      </c>
      <c r="AG126" s="25" t="s">
        <v>13</v>
      </c>
      <c r="AH126" s="6" t="s">
        <v>67</v>
      </c>
      <c r="AI126" s="44" t="s">
        <v>99</v>
      </c>
      <c r="AJ126" s="62">
        <v>73.099999999999994</v>
      </c>
      <c r="AK126" s="62">
        <v>83.6</v>
      </c>
      <c r="AL126" s="62">
        <v>72.099999999999994</v>
      </c>
      <c r="AM126" s="26">
        <f t="shared" ref="AM126:AM133" si="53">AVERAGE(AO126:AP126)</f>
        <v>755</v>
      </c>
      <c r="AN126" s="26" t="s">
        <v>389</v>
      </c>
      <c r="AO126" s="66">
        <f t="shared" ref="AO126:AP133" si="54">AT126</f>
        <v>438</v>
      </c>
      <c r="AP126" s="100">
        <f t="shared" si="54"/>
        <v>1072</v>
      </c>
      <c r="AQ126" s="29" t="s">
        <v>426</v>
      </c>
      <c r="AR126" s="26" t="s">
        <v>422</v>
      </c>
      <c r="AS126" s="29"/>
      <c r="AT126" s="29">
        <v>438</v>
      </c>
      <c r="AU126" s="29">
        <v>1072</v>
      </c>
      <c r="AV126" s="29" t="s">
        <v>60</v>
      </c>
      <c r="AW126" s="29"/>
      <c r="AX126" s="29" t="s">
        <v>13</v>
      </c>
      <c r="AY126" s="16" t="s">
        <v>841</v>
      </c>
      <c r="AZ126" s="97" t="s">
        <v>13</v>
      </c>
      <c r="BA126" s="97">
        <v>16.484000000000002</v>
      </c>
      <c r="BB126" s="59"/>
      <c r="BC126" s="59"/>
      <c r="BD126" s="29">
        <v>372.22299999999996</v>
      </c>
      <c r="BE126" s="29" t="s">
        <v>239</v>
      </c>
      <c r="BF126" s="29">
        <f t="shared" si="45"/>
        <v>330.84480000000002</v>
      </c>
      <c r="BG126" s="29">
        <f t="shared" si="45"/>
        <v>414.44849999999997</v>
      </c>
      <c r="BH126" s="29" t="s">
        <v>542</v>
      </c>
      <c r="BI126" s="23" t="s">
        <v>419</v>
      </c>
      <c r="BJ126" s="29">
        <v>330.84480000000002</v>
      </c>
      <c r="BK126" s="29">
        <v>414.44849999999997</v>
      </c>
      <c r="BL126" s="29" t="s">
        <v>837</v>
      </c>
      <c r="BM126" s="25" t="s">
        <v>13</v>
      </c>
      <c r="BO126" s="44"/>
      <c r="CA126" s="25" t="s">
        <v>13</v>
      </c>
      <c r="CC126" s="25" t="s">
        <v>13</v>
      </c>
    </row>
    <row r="127" spans="1:81">
      <c r="A127" s="7" t="s">
        <v>38</v>
      </c>
      <c r="B127" s="25" t="s">
        <v>242</v>
      </c>
      <c r="C127" s="68">
        <f t="shared" si="50"/>
        <v>182.4</v>
      </c>
      <c r="D127" s="68">
        <v>201.3</v>
      </c>
      <c r="E127" s="68">
        <v>163.5</v>
      </c>
      <c r="F127" s="23">
        <f t="shared" si="31"/>
        <v>1112.5</v>
      </c>
      <c r="G127" s="23" t="s">
        <v>389</v>
      </c>
      <c r="H127" s="23">
        <f t="shared" si="32"/>
        <v>556.25</v>
      </c>
      <c r="I127" s="23">
        <f t="shared" si="33"/>
        <v>2225</v>
      </c>
      <c r="J127" s="23" t="s">
        <v>480</v>
      </c>
      <c r="K127" s="23" t="s">
        <v>400</v>
      </c>
      <c r="L127" s="28">
        <v>2225</v>
      </c>
      <c r="M127" s="28">
        <v>1675</v>
      </c>
      <c r="N127" s="26">
        <v>2775</v>
      </c>
      <c r="O127" s="26">
        <v>4000</v>
      </c>
      <c r="P127" s="22">
        <v>2000</v>
      </c>
      <c r="Q127" s="22" t="s">
        <v>330</v>
      </c>
      <c r="R127" s="26" t="s">
        <v>13</v>
      </c>
      <c r="S127" s="6" t="s">
        <v>263</v>
      </c>
      <c r="T127" s="44" t="s">
        <v>397</v>
      </c>
      <c r="U127" s="72">
        <v>13.601800000000001</v>
      </c>
      <c r="V127" s="26"/>
      <c r="W127" s="26"/>
      <c r="X127" s="26">
        <v>270.947</v>
      </c>
      <c r="Y127" s="26" t="s">
        <v>389</v>
      </c>
      <c r="Z127" s="26">
        <f t="shared" si="51"/>
        <v>250.4735</v>
      </c>
      <c r="AA127" s="26">
        <f t="shared" si="52"/>
        <v>291.4735</v>
      </c>
      <c r="AB127" s="26" t="s">
        <v>429</v>
      </c>
      <c r="AC127" s="26" t="s">
        <v>418</v>
      </c>
      <c r="AD127" s="26">
        <v>230</v>
      </c>
      <c r="AE127" s="26">
        <v>312</v>
      </c>
      <c r="AF127" s="26" t="s">
        <v>13</v>
      </c>
      <c r="AG127" s="25" t="s">
        <v>13</v>
      </c>
      <c r="AH127" s="6" t="s">
        <v>67</v>
      </c>
      <c r="AI127" s="44" t="s">
        <v>99</v>
      </c>
      <c r="AJ127" s="62">
        <v>73.7</v>
      </c>
      <c r="AK127" s="62">
        <v>83.6</v>
      </c>
      <c r="AL127" s="62">
        <v>72.099999999999994</v>
      </c>
      <c r="AM127" s="26">
        <f t="shared" si="53"/>
        <v>756</v>
      </c>
      <c r="AN127" s="26" t="s">
        <v>389</v>
      </c>
      <c r="AO127" s="66">
        <f t="shared" si="54"/>
        <v>439</v>
      </c>
      <c r="AP127" s="100">
        <f t="shared" si="54"/>
        <v>1073</v>
      </c>
      <c r="AQ127" s="29" t="s">
        <v>426</v>
      </c>
      <c r="AR127" s="26" t="s">
        <v>422</v>
      </c>
      <c r="AS127" s="29"/>
      <c r="AT127" s="29">
        <v>439</v>
      </c>
      <c r="AU127" s="29">
        <v>1073</v>
      </c>
      <c r="AV127" s="29" t="s">
        <v>60</v>
      </c>
      <c r="AW127" s="29"/>
      <c r="AX127" s="29" t="s">
        <v>13</v>
      </c>
      <c r="AY127" s="16" t="s">
        <v>842</v>
      </c>
      <c r="AZ127" s="97" t="s">
        <v>13</v>
      </c>
      <c r="BA127" s="97">
        <v>2.3378230000000002</v>
      </c>
      <c r="BB127" s="59"/>
      <c r="BC127" s="59"/>
      <c r="BD127" s="29">
        <v>369.9522</v>
      </c>
      <c r="BE127" s="39" t="s">
        <v>239</v>
      </c>
      <c r="BF127" s="29">
        <f>BJ127</f>
        <v>337.46870000000001</v>
      </c>
      <c r="BG127" s="29">
        <f>BK127</f>
        <v>403.91129999999998</v>
      </c>
      <c r="BH127" s="29" t="s">
        <v>542</v>
      </c>
      <c r="BI127" s="23" t="s">
        <v>419</v>
      </c>
      <c r="BJ127" s="29">
        <v>337.46870000000001</v>
      </c>
      <c r="BK127" s="29">
        <v>403.91129999999998</v>
      </c>
      <c r="BL127" s="29" t="s">
        <v>843</v>
      </c>
      <c r="BM127" s="25" t="s">
        <v>13</v>
      </c>
      <c r="BO127" s="44"/>
      <c r="CA127" s="25" t="s">
        <v>13</v>
      </c>
      <c r="CC127" s="25" t="s">
        <v>13</v>
      </c>
    </row>
    <row r="128" spans="1:81">
      <c r="A128" s="7" t="s">
        <v>38</v>
      </c>
      <c r="B128" s="25" t="s">
        <v>144</v>
      </c>
      <c r="C128" s="68">
        <f t="shared" si="50"/>
        <v>232.7</v>
      </c>
      <c r="D128" s="68">
        <v>237</v>
      </c>
      <c r="E128" s="68">
        <v>228.4</v>
      </c>
      <c r="F128" s="23">
        <f t="shared" si="31"/>
        <v>585</v>
      </c>
      <c r="G128" s="23" t="s">
        <v>389</v>
      </c>
      <c r="H128" s="23">
        <f t="shared" si="32"/>
        <v>292.5</v>
      </c>
      <c r="I128" s="23">
        <f t="shared" si="33"/>
        <v>1170</v>
      </c>
      <c r="J128" s="23" t="s">
        <v>480</v>
      </c>
      <c r="K128" s="23" t="s">
        <v>400</v>
      </c>
      <c r="L128" s="28">
        <v>1170</v>
      </c>
      <c r="M128" s="28">
        <v>880</v>
      </c>
      <c r="N128" s="32">
        <v>1460</v>
      </c>
      <c r="O128" s="26">
        <v>4000</v>
      </c>
      <c r="P128" s="22">
        <v>2000</v>
      </c>
      <c r="Q128" s="22" t="s">
        <v>332</v>
      </c>
      <c r="R128" s="26" t="s">
        <v>13</v>
      </c>
      <c r="S128" s="6" t="s">
        <v>263</v>
      </c>
      <c r="T128" s="44" t="s">
        <v>397</v>
      </c>
      <c r="U128" s="72">
        <v>13.643599999999999</v>
      </c>
      <c r="V128" s="26"/>
      <c r="W128" s="26"/>
      <c r="X128" s="26">
        <v>303.11099999999999</v>
      </c>
      <c r="Y128" s="26" t="s">
        <v>389</v>
      </c>
      <c r="Z128" s="26">
        <f t="shared" si="51"/>
        <v>279.55549999999999</v>
      </c>
      <c r="AA128" s="26">
        <f t="shared" si="52"/>
        <v>327.05549999999999</v>
      </c>
      <c r="AB128" s="26" t="s">
        <v>429</v>
      </c>
      <c r="AC128" s="26" t="s">
        <v>418</v>
      </c>
      <c r="AD128" s="26">
        <v>256</v>
      </c>
      <c r="AE128" s="26">
        <v>351</v>
      </c>
      <c r="AF128" s="26" t="s">
        <v>13</v>
      </c>
      <c r="AG128" s="25" t="s">
        <v>13</v>
      </c>
      <c r="AH128" s="6" t="s">
        <v>67</v>
      </c>
      <c r="AI128" s="44" t="s">
        <v>99</v>
      </c>
      <c r="AJ128" s="62">
        <v>74.7</v>
      </c>
      <c r="AK128" s="62">
        <v>83.6</v>
      </c>
      <c r="AL128" s="62">
        <v>72.099999999999994</v>
      </c>
      <c r="AM128" s="26">
        <f t="shared" si="53"/>
        <v>761</v>
      </c>
      <c r="AN128" s="26" t="s">
        <v>389</v>
      </c>
      <c r="AO128" s="66">
        <f t="shared" si="54"/>
        <v>442</v>
      </c>
      <c r="AP128" s="100">
        <f t="shared" si="54"/>
        <v>1080</v>
      </c>
      <c r="AQ128" s="29" t="s">
        <v>426</v>
      </c>
      <c r="AR128" s="26" t="s">
        <v>422</v>
      </c>
      <c r="AS128" s="29"/>
      <c r="AT128" s="29">
        <v>442</v>
      </c>
      <c r="AU128" s="29">
        <v>1080</v>
      </c>
      <c r="AV128" s="29" t="s">
        <v>60</v>
      </c>
      <c r="AW128" s="29"/>
      <c r="AX128" s="29" t="s">
        <v>13</v>
      </c>
      <c r="AY128" s="16" t="s">
        <v>842</v>
      </c>
      <c r="AZ128" s="97" t="s">
        <v>13</v>
      </c>
      <c r="BA128" s="97">
        <v>2.346711</v>
      </c>
      <c r="BB128" s="59"/>
      <c r="BC128" s="59"/>
      <c r="BD128" s="29">
        <v>367.67629999999997</v>
      </c>
      <c r="BE128" s="39" t="s">
        <v>239</v>
      </c>
      <c r="BF128" s="29">
        <f t="shared" ref="BF128:BG191" si="55">BJ128</f>
        <v>334.11619999999999</v>
      </c>
      <c r="BG128" s="29">
        <f t="shared" si="55"/>
        <v>403.61320000000001</v>
      </c>
      <c r="BH128" s="29" t="s">
        <v>542</v>
      </c>
      <c r="BI128" s="23" t="s">
        <v>419</v>
      </c>
      <c r="BJ128" s="29">
        <v>334.11619999999999</v>
      </c>
      <c r="BK128" s="29">
        <v>403.61320000000001</v>
      </c>
      <c r="BL128" s="29" t="s">
        <v>843</v>
      </c>
      <c r="BM128" s="25" t="s">
        <v>13</v>
      </c>
      <c r="BO128" s="44"/>
      <c r="CA128" s="25" t="s">
        <v>13</v>
      </c>
      <c r="CC128" s="25" t="s">
        <v>13</v>
      </c>
    </row>
    <row r="129" spans="1:81">
      <c r="A129" s="7" t="s">
        <v>38</v>
      </c>
      <c r="B129" s="25" t="s">
        <v>142</v>
      </c>
      <c r="C129" s="68">
        <f t="shared" si="50"/>
        <v>242.05</v>
      </c>
      <c r="D129" s="68">
        <v>247.1</v>
      </c>
      <c r="E129" s="68">
        <v>237</v>
      </c>
      <c r="F129" s="23">
        <f t="shared" si="31"/>
        <v>605</v>
      </c>
      <c r="G129" s="23" t="s">
        <v>389</v>
      </c>
      <c r="H129" s="23">
        <f t="shared" si="32"/>
        <v>302.5</v>
      </c>
      <c r="I129" s="23">
        <f t="shared" si="33"/>
        <v>1210</v>
      </c>
      <c r="J129" s="23" t="s">
        <v>480</v>
      </c>
      <c r="K129" s="23" t="s">
        <v>400</v>
      </c>
      <c r="L129" s="28">
        <v>1210</v>
      </c>
      <c r="M129" s="28">
        <v>910</v>
      </c>
      <c r="N129" s="32">
        <v>1510</v>
      </c>
      <c r="O129" s="26">
        <v>4000</v>
      </c>
      <c r="P129" s="22">
        <v>2000</v>
      </c>
      <c r="Q129" s="22" t="s">
        <v>331</v>
      </c>
      <c r="R129" s="26" t="s">
        <v>13</v>
      </c>
      <c r="S129" s="6" t="s">
        <v>263</v>
      </c>
      <c r="T129" s="44" t="s">
        <v>397</v>
      </c>
      <c r="U129" s="72">
        <v>13.650600000000001</v>
      </c>
      <c r="V129" s="26"/>
      <c r="W129" s="26"/>
      <c r="X129" s="26">
        <v>305.755</v>
      </c>
      <c r="Y129" s="26" t="s">
        <v>389</v>
      </c>
      <c r="Z129" s="26">
        <f t="shared" si="51"/>
        <v>281.8775</v>
      </c>
      <c r="AA129" s="26">
        <f t="shared" si="52"/>
        <v>330.3775</v>
      </c>
      <c r="AB129" s="26" t="s">
        <v>429</v>
      </c>
      <c r="AC129" s="26" t="s">
        <v>418</v>
      </c>
      <c r="AD129" s="26">
        <v>258</v>
      </c>
      <c r="AE129" s="26">
        <v>355</v>
      </c>
      <c r="AF129" s="26" t="s">
        <v>13</v>
      </c>
      <c r="AG129" s="25" t="s">
        <v>13</v>
      </c>
      <c r="AH129" s="6" t="s">
        <v>67</v>
      </c>
      <c r="AI129" s="44" t="s">
        <v>99</v>
      </c>
      <c r="AJ129" s="62">
        <v>75.400000000000006</v>
      </c>
      <c r="AK129" s="62">
        <v>83.6</v>
      </c>
      <c r="AL129" s="62">
        <v>72.099999999999994</v>
      </c>
      <c r="AM129" s="26">
        <f t="shared" si="53"/>
        <v>762.5</v>
      </c>
      <c r="AN129" s="26" t="s">
        <v>389</v>
      </c>
      <c r="AO129" s="66">
        <f t="shared" si="54"/>
        <v>443</v>
      </c>
      <c r="AP129" s="100">
        <f t="shared" si="54"/>
        <v>1082</v>
      </c>
      <c r="AQ129" s="29" t="s">
        <v>426</v>
      </c>
      <c r="AR129" s="26" t="s">
        <v>422</v>
      </c>
      <c r="AS129" s="29"/>
      <c r="AT129" s="29">
        <v>443</v>
      </c>
      <c r="AU129" s="29">
        <v>1082</v>
      </c>
      <c r="AV129" s="29" t="s">
        <v>60</v>
      </c>
      <c r="AW129" s="29"/>
      <c r="AX129" s="29" t="s">
        <v>13</v>
      </c>
      <c r="AY129" s="16" t="s">
        <v>842</v>
      </c>
      <c r="AZ129" s="97" t="s">
        <v>13</v>
      </c>
      <c r="BA129" s="97">
        <v>2.3527179999999999</v>
      </c>
      <c r="BB129" s="59"/>
      <c r="BC129" s="59"/>
      <c r="BD129" s="29">
        <v>362.3202</v>
      </c>
      <c r="BE129" s="39" t="s">
        <v>239</v>
      </c>
      <c r="BF129" s="29">
        <f t="shared" si="55"/>
        <v>329.27670000000001</v>
      </c>
      <c r="BG129" s="29">
        <f t="shared" si="55"/>
        <v>395.91840000000002</v>
      </c>
      <c r="BH129" s="29" t="s">
        <v>542</v>
      </c>
      <c r="BI129" s="23" t="s">
        <v>419</v>
      </c>
      <c r="BJ129" s="29">
        <v>329.27670000000001</v>
      </c>
      <c r="BK129" s="29">
        <v>395.91840000000002</v>
      </c>
      <c r="BL129" s="29" t="s">
        <v>843</v>
      </c>
      <c r="BM129" s="25" t="s">
        <v>13</v>
      </c>
      <c r="BO129" s="44"/>
      <c r="CA129" s="25" t="s">
        <v>13</v>
      </c>
      <c r="CC129" s="25" t="s">
        <v>13</v>
      </c>
    </row>
    <row r="130" spans="1:81">
      <c r="A130" s="7" t="s">
        <v>38</v>
      </c>
      <c r="B130" s="25" t="s">
        <v>141</v>
      </c>
      <c r="C130" s="68">
        <f t="shared" si="50"/>
        <v>279.35000000000002</v>
      </c>
      <c r="D130" s="68">
        <v>298.89999999999998</v>
      </c>
      <c r="E130" s="68">
        <v>259.8</v>
      </c>
      <c r="F130" s="23">
        <f t="shared" si="31"/>
        <v>357.5</v>
      </c>
      <c r="G130" s="23" t="s">
        <v>389</v>
      </c>
      <c r="H130" s="23">
        <f t="shared" si="32"/>
        <v>178.75</v>
      </c>
      <c r="I130" s="23">
        <f t="shared" si="33"/>
        <v>715</v>
      </c>
      <c r="J130" s="23" t="s">
        <v>480</v>
      </c>
      <c r="K130" s="23" t="s">
        <v>400</v>
      </c>
      <c r="L130" s="28">
        <v>715</v>
      </c>
      <c r="M130" s="28">
        <v>540</v>
      </c>
      <c r="N130" s="32">
        <v>890</v>
      </c>
      <c r="O130" s="26">
        <v>4000</v>
      </c>
      <c r="P130" s="22">
        <v>2000</v>
      </c>
      <c r="Q130" s="22" t="s">
        <v>331</v>
      </c>
      <c r="R130" s="26" t="s">
        <v>13</v>
      </c>
      <c r="S130" s="6" t="s">
        <v>263</v>
      </c>
      <c r="T130" s="44" t="s">
        <v>397</v>
      </c>
      <c r="U130" s="72">
        <v>13.6576</v>
      </c>
      <c r="V130" s="26"/>
      <c r="W130" s="26"/>
      <c r="X130" s="26">
        <v>304.98599999999999</v>
      </c>
      <c r="Y130" s="26" t="s">
        <v>389</v>
      </c>
      <c r="Z130" s="26">
        <f t="shared" si="51"/>
        <v>281.99299999999999</v>
      </c>
      <c r="AA130" s="26">
        <f t="shared" si="52"/>
        <v>328.49299999999999</v>
      </c>
      <c r="AB130" s="26" t="s">
        <v>429</v>
      </c>
      <c r="AC130" s="26" t="s">
        <v>418</v>
      </c>
      <c r="AD130" s="26">
        <v>259</v>
      </c>
      <c r="AE130" s="26">
        <v>352</v>
      </c>
      <c r="AF130" s="26" t="s">
        <v>13</v>
      </c>
      <c r="AG130" s="25" t="s">
        <v>13</v>
      </c>
      <c r="AH130" s="6" t="s">
        <v>67</v>
      </c>
      <c r="AI130" s="44" t="s">
        <v>99</v>
      </c>
      <c r="AJ130" s="62">
        <v>75.900000000000006</v>
      </c>
      <c r="AK130" s="62">
        <v>83.6</v>
      </c>
      <c r="AL130" s="62">
        <v>72.099999999999994</v>
      </c>
      <c r="AM130" s="26">
        <f t="shared" si="53"/>
        <v>785.5</v>
      </c>
      <c r="AN130" s="26" t="s">
        <v>389</v>
      </c>
      <c r="AO130" s="66">
        <f t="shared" si="54"/>
        <v>456</v>
      </c>
      <c r="AP130" s="100">
        <f t="shared" si="54"/>
        <v>1115</v>
      </c>
      <c r="AQ130" s="29" t="s">
        <v>426</v>
      </c>
      <c r="AR130" s="26" t="s">
        <v>422</v>
      </c>
      <c r="AS130" s="29"/>
      <c r="AT130" s="29">
        <v>456</v>
      </c>
      <c r="AU130" s="29">
        <v>1115</v>
      </c>
      <c r="AV130" s="29" t="s">
        <v>60</v>
      </c>
      <c r="AW130" s="29"/>
      <c r="AX130" s="29" t="s">
        <v>13</v>
      </c>
      <c r="AY130" s="16" t="s">
        <v>842</v>
      </c>
      <c r="AZ130" s="97" t="s">
        <v>13</v>
      </c>
      <c r="BA130" s="97">
        <v>2.3622190000000001</v>
      </c>
      <c r="BB130" s="59"/>
      <c r="BC130" s="59"/>
      <c r="BD130" s="29">
        <v>491.14860000000004</v>
      </c>
      <c r="BE130" s="39" t="s">
        <v>239</v>
      </c>
      <c r="BF130" s="29">
        <f t="shared" si="55"/>
        <v>445.49700000000001</v>
      </c>
      <c r="BG130" s="29">
        <f t="shared" si="55"/>
        <v>540.36839999999995</v>
      </c>
      <c r="BH130" s="29" t="s">
        <v>542</v>
      </c>
      <c r="BI130" s="23" t="s">
        <v>419</v>
      </c>
      <c r="BJ130" s="29">
        <v>445.49700000000001</v>
      </c>
      <c r="BK130" s="29">
        <v>540.36839999999995</v>
      </c>
      <c r="BL130" s="29" t="s">
        <v>843</v>
      </c>
      <c r="BM130" s="25" t="s">
        <v>13</v>
      </c>
      <c r="BO130" s="44"/>
      <c r="CA130" s="25" t="s">
        <v>13</v>
      </c>
      <c r="CC130" s="25" t="s">
        <v>13</v>
      </c>
    </row>
    <row r="131" spans="1:81">
      <c r="A131" s="7" t="s">
        <v>40</v>
      </c>
      <c r="B131" s="25" t="s">
        <v>145</v>
      </c>
      <c r="C131" s="68">
        <f t="shared" si="50"/>
        <v>218.95</v>
      </c>
      <c r="D131" s="68">
        <v>228.4</v>
      </c>
      <c r="E131" s="68">
        <v>209.5</v>
      </c>
      <c r="F131" s="23">
        <f t="shared" si="31"/>
        <v>880</v>
      </c>
      <c r="G131" s="23" t="s">
        <v>389</v>
      </c>
      <c r="H131" s="23">
        <f t="shared" si="32"/>
        <v>440</v>
      </c>
      <c r="I131" s="23">
        <f t="shared" si="33"/>
        <v>1760</v>
      </c>
      <c r="J131" s="23" t="s">
        <v>480</v>
      </c>
      <c r="K131" s="23" t="s">
        <v>400</v>
      </c>
      <c r="L131" s="28">
        <v>1760</v>
      </c>
      <c r="M131" s="28">
        <f>L131*0.75</f>
        <v>1320</v>
      </c>
      <c r="N131" s="32">
        <f>L131*1.25</f>
        <v>2200</v>
      </c>
      <c r="O131" s="26">
        <v>4000</v>
      </c>
      <c r="P131" s="22">
        <v>2000</v>
      </c>
      <c r="Q131" s="22" t="s">
        <v>330</v>
      </c>
      <c r="R131" s="26" t="s">
        <v>13</v>
      </c>
      <c r="S131" s="6" t="s">
        <v>263</v>
      </c>
      <c r="T131" s="44" t="s">
        <v>397</v>
      </c>
      <c r="U131" s="72">
        <v>13.664999999999999</v>
      </c>
      <c r="V131" s="26"/>
      <c r="W131" s="26"/>
      <c r="X131" s="26">
        <v>307.62799999999999</v>
      </c>
      <c r="Y131" s="26" t="s">
        <v>389</v>
      </c>
      <c r="Z131" s="26">
        <f t="shared" si="51"/>
        <v>284.31399999999996</v>
      </c>
      <c r="AA131" s="26">
        <f t="shared" si="52"/>
        <v>331.31399999999996</v>
      </c>
      <c r="AB131" s="26" t="s">
        <v>429</v>
      </c>
      <c r="AC131" s="26" t="s">
        <v>418</v>
      </c>
      <c r="AD131" s="26">
        <v>261</v>
      </c>
      <c r="AE131" s="26">
        <v>355</v>
      </c>
      <c r="AF131" s="26" t="s">
        <v>13</v>
      </c>
      <c r="AG131" s="25" t="s">
        <v>13</v>
      </c>
      <c r="AH131" s="6" t="s">
        <v>67</v>
      </c>
      <c r="AI131" s="44" t="s">
        <v>99</v>
      </c>
      <c r="AJ131" s="62">
        <v>78.099999999999994</v>
      </c>
      <c r="AK131" s="62">
        <v>83.6</v>
      </c>
      <c r="AL131" s="62">
        <v>72.099999999999994</v>
      </c>
      <c r="AM131" s="26">
        <f t="shared" si="53"/>
        <v>754.5</v>
      </c>
      <c r="AN131" s="26" t="s">
        <v>389</v>
      </c>
      <c r="AO131" s="66">
        <f t="shared" si="54"/>
        <v>438</v>
      </c>
      <c r="AP131" s="100">
        <f t="shared" si="54"/>
        <v>1071</v>
      </c>
      <c r="AQ131" s="29" t="s">
        <v>426</v>
      </c>
      <c r="AR131" s="26" t="s">
        <v>422</v>
      </c>
      <c r="AS131" s="29"/>
      <c r="AT131" s="29">
        <v>438</v>
      </c>
      <c r="AU131" s="29">
        <v>1071</v>
      </c>
      <c r="AV131" s="29" t="s">
        <v>60</v>
      </c>
      <c r="AW131" s="29"/>
      <c r="AX131" s="29" t="s">
        <v>13</v>
      </c>
      <c r="AY131" s="16" t="s">
        <v>842</v>
      </c>
      <c r="AZ131" s="97" t="s">
        <v>13</v>
      </c>
      <c r="BA131" s="97">
        <v>2.372198</v>
      </c>
      <c r="BB131" s="59"/>
      <c r="BC131" s="59"/>
      <c r="BD131" s="29">
        <v>461.16680000000002</v>
      </c>
      <c r="BE131" s="39" t="s">
        <v>239</v>
      </c>
      <c r="BF131" s="29">
        <f t="shared" si="55"/>
        <v>417.55850000000004</v>
      </c>
      <c r="BG131" s="29">
        <f t="shared" si="55"/>
        <v>504.6225</v>
      </c>
      <c r="BH131" s="29" t="s">
        <v>542</v>
      </c>
      <c r="BI131" s="23" t="s">
        <v>419</v>
      </c>
      <c r="BJ131" s="29">
        <v>417.55850000000004</v>
      </c>
      <c r="BK131" s="29">
        <v>504.6225</v>
      </c>
      <c r="BL131" s="29" t="s">
        <v>843</v>
      </c>
      <c r="BM131" s="25" t="s">
        <v>13</v>
      </c>
      <c r="BO131" s="44"/>
      <c r="CA131" s="25" t="s">
        <v>13</v>
      </c>
      <c r="CC131" s="25" t="s">
        <v>13</v>
      </c>
    </row>
    <row r="132" spans="1:81">
      <c r="A132" s="7" t="s">
        <v>40</v>
      </c>
      <c r="B132" s="25" t="s">
        <v>145</v>
      </c>
      <c r="C132" s="68">
        <f t="shared" si="50"/>
        <v>218.95</v>
      </c>
      <c r="D132" s="68">
        <v>228.4</v>
      </c>
      <c r="E132" s="68">
        <v>209.5</v>
      </c>
      <c r="F132" s="23">
        <f t="shared" si="31"/>
        <v>695</v>
      </c>
      <c r="G132" s="23" t="s">
        <v>389</v>
      </c>
      <c r="H132" s="23">
        <f t="shared" si="32"/>
        <v>347.5</v>
      </c>
      <c r="I132" s="23">
        <f t="shared" si="33"/>
        <v>1390</v>
      </c>
      <c r="J132" s="23" t="s">
        <v>480</v>
      </c>
      <c r="K132" s="23" t="s">
        <v>400</v>
      </c>
      <c r="L132" s="28">
        <v>1390</v>
      </c>
      <c r="M132" s="28">
        <f>L132*0.75</f>
        <v>1042.5</v>
      </c>
      <c r="N132" s="32">
        <f>L132*1.25</f>
        <v>1737.5</v>
      </c>
      <c r="O132" s="26">
        <v>4000</v>
      </c>
      <c r="P132" s="22">
        <v>2000</v>
      </c>
      <c r="Q132" s="22" t="s">
        <v>333</v>
      </c>
      <c r="R132" s="26" t="s">
        <v>13</v>
      </c>
      <c r="S132" s="6" t="s">
        <v>263</v>
      </c>
      <c r="T132" s="44" t="s">
        <v>397</v>
      </c>
      <c r="U132" s="72">
        <v>13.6717</v>
      </c>
      <c r="V132" s="26"/>
      <c r="W132" s="26"/>
      <c r="X132" s="26">
        <v>289.41899999999998</v>
      </c>
      <c r="Y132" s="26" t="s">
        <v>389</v>
      </c>
      <c r="Z132" s="26">
        <f t="shared" si="51"/>
        <v>266.70949999999999</v>
      </c>
      <c r="AA132" s="26">
        <f t="shared" si="52"/>
        <v>311.70949999999999</v>
      </c>
      <c r="AB132" s="26" t="s">
        <v>429</v>
      </c>
      <c r="AC132" s="26" t="s">
        <v>418</v>
      </c>
      <c r="AD132" s="26">
        <v>244</v>
      </c>
      <c r="AE132" s="26">
        <v>334</v>
      </c>
      <c r="AF132" s="26" t="s">
        <v>13</v>
      </c>
      <c r="AG132" s="25" t="s">
        <v>13</v>
      </c>
      <c r="AH132" s="6" t="s">
        <v>67</v>
      </c>
      <c r="AI132" s="44" t="s">
        <v>99</v>
      </c>
      <c r="AJ132" s="62">
        <v>79.900000000000006</v>
      </c>
      <c r="AK132" s="62">
        <v>83.6</v>
      </c>
      <c r="AL132" s="62">
        <v>72.099999999999994</v>
      </c>
      <c r="AM132" s="26">
        <f t="shared" si="53"/>
        <v>759.5</v>
      </c>
      <c r="AN132" s="26" t="s">
        <v>389</v>
      </c>
      <c r="AO132" s="66">
        <f t="shared" si="54"/>
        <v>441</v>
      </c>
      <c r="AP132" s="100">
        <f t="shared" si="54"/>
        <v>1078</v>
      </c>
      <c r="AQ132" s="29" t="s">
        <v>426</v>
      </c>
      <c r="AR132" s="26" t="s">
        <v>422</v>
      </c>
      <c r="AS132" s="29"/>
      <c r="AT132" s="29">
        <v>441</v>
      </c>
      <c r="AU132" s="29">
        <v>1078</v>
      </c>
      <c r="AV132" s="29" t="s">
        <v>60</v>
      </c>
      <c r="AW132" s="29"/>
      <c r="AX132" s="29" t="s">
        <v>13</v>
      </c>
      <c r="AY132" s="16" t="s">
        <v>842</v>
      </c>
      <c r="AZ132" s="97" t="s">
        <v>13</v>
      </c>
      <c r="BA132" s="97">
        <v>2.3812899999999999</v>
      </c>
      <c r="BB132" s="59"/>
      <c r="BC132" s="59"/>
      <c r="BD132" s="29">
        <v>420.15449999999998</v>
      </c>
      <c r="BE132" s="39" t="s">
        <v>239</v>
      </c>
      <c r="BF132" s="29">
        <f t="shared" si="55"/>
        <v>380.7362</v>
      </c>
      <c r="BG132" s="29">
        <f t="shared" si="55"/>
        <v>460.86420000000004</v>
      </c>
      <c r="BH132" s="29" t="s">
        <v>542</v>
      </c>
      <c r="BI132" s="23" t="s">
        <v>419</v>
      </c>
      <c r="BJ132" s="29">
        <v>380.7362</v>
      </c>
      <c r="BK132" s="29">
        <v>460.86420000000004</v>
      </c>
      <c r="BL132" s="29" t="s">
        <v>843</v>
      </c>
      <c r="BM132" s="25" t="s">
        <v>13</v>
      </c>
      <c r="BO132" s="44"/>
      <c r="CA132" s="25" t="s">
        <v>13</v>
      </c>
      <c r="CC132" s="25" t="s">
        <v>13</v>
      </c>
    </row>
    <row r="133" spans="1:81">
      <c r="A133" s="7" t="s">
        <v>40</v>
      </c>
      <c r="B133" s="25" t="s">
        <v>146</v>
      </c>
      <c r="C133" s="68">
        <f t="shared" si="50"/>
        <v>232.7</v>
      </c>
      <c r="D133" s="68">
        <v>237</v>
      </c>
      <c r="E133" s="68">
        <v>228.4</v>
      </c>
      <c r="F133" s="23">
        <f t="shared" ref="F133:F197" si="56">L133*$P133/$O133</f>
        <v>116</v>
      </c>
      <c r="G133" s="23" t="s">
        <v>389</v>
      </c>
      <c r="H133" s="23">
        <f>F133*0.5</f>
        <v>58</v>
      </c>
      <c r="I133" s="23">
        <f t="shared" ref="I133:I136" si="57">F133*2</f>
        <v>232</v>
      </c>
      <c r="J133" s="23" t="s">
        <v>480</v>
      </c>
      <c r="K133" s="23" t="s">
        <v>400</v>
      </c>
      <c r="L133" s="28">
        <v>290</v>
      </c>
      <c r="M133" s="28">
        <f>L133*0.75</f>
        <v>217.5</v>
      </c>
      <c r="N133" s="32">
        <f>L133*1.25</f>
        <v>362.5</v>
      </c>
      <c r="O133" s="32">
        <v>5000</v>
      </c>
      <c r="P133" s="22">
        <v>2000</v>
      </c>
      <c r="Q133" s="25" t="s">
        <v>331</v>
      </c>
      <c r="R133" s="26" t="s">
        <v>13</v>
      </c>
      <c r="S133" s="6" t="s">
        <v>263</v>
      </c>
      <c r="T133" s="44" t="s">
        <v>397</v>
      </c>
      <c r="U133" s="72">
        <v>13.6791</v>
      </c>
      <c r="V133" s="26"/>
      <c r="W133" s="26"/>
      <c r="X133" s="26">
        <v>260.97199999999998</v>
      </c>
      <c r="Y133" s="26" t="s">
        <v>389</v>
      </c>
      <c r="Z133" s="26">
        <f t="shared" si="51"/>
        <v>240.98599999999999</v>
      </c>
      <c r="AA133" s="26">
        <f t="shared" si="52"/>
        <v>282.48599999999999</v>
      </c>
      <c r="AB133" s="26" t="s">
        <v>429</v>
      </c>
      <c r="AC133" s="26" t="s">
        <v>418</v>
      </c>
      <c r="AD133" s="26">
        <v>221</v>
      </c>
      <c r="AE133" s="26">
        <v>304</v>
      </c>
      <c r="AF133" s="26" t="s">
        <v>13</v>
      </c>
      <c r="AG133" s="25" t="s">
        <v>13</v>
      </c>
      <c r="AH133" s="6" t="s">
        <v>67</v>
      </c>
      <c r="AI133" s="44" t="s">
        <v>99</v>
      </c>
      <c r="AJ133" s="62">
        <v>81.5</v>
      </c>
      <c r="AK133" s="62">
        <v>83.6</v>
      </c>
      <c r="AL133" s="62">
        <v>72.099999999999994</v>
      </c>
      <c r="AM133" s="26">
        <f t="shared" si="53"/>
        <v>760</v>
      </c>
      <c r="AN133" s="26" t="s">
        <v>389</v>
      </c>
      <c r="AO133" s="66">
        <f t="shared" si="54"/>
        <v>441</v>
      </c>
      <c r="AP133" s="100">
        <f t="shared" si="54"/>
        <v>1079</v>
      </c>
      <c r="AQ133" s="29" t="s">
        <v>426</v>
      </c>
      <c r="AR133" s="26" t="s">
        <v>422</v>
      </c>
      <c r="AS133" s="29"/>
      <c r="AT133" s="29">
        <v>441</v>
      </c>
      <c r="AU133" s="29">
        <v>1079</v>
      </c>
      <c r="AV133" s="29" t="s">
        <v>60</v>
      </c>
      <c r="AW133" s="29"/>
      <c r="AX133" s="29" t="s">
        <v>13</v>
      </c>
      <c r="AY133" s="16" t="s">
        <v>842</v>
      </c>
      <c r="AZ133" s="97" t="s">
        <v>13</v>
      </c>
      <c r="BA133" s="97">
        <v>2.389316</v>
      </c>
      <c r="BB133" s="59"/>
      <c r="BC133" s="59"/>
      <c r="BD133" s="29">
        <v>426.6574</v>
      </c>
      <c r="BE133" s="39" t="s">
        <v>239</v>
      </c>
      <c r="BF133" s="29">
        <f t="shared" si="55"/>
        <v>387.14119999999997</v>
      </c>
      <c r="BG133" s="29">
        <f t="shared" si="55"/>
        <v>467.09289999999999</v>
      </c>
      <c r="BH133" s="29" t="s">
        <v>542</v>
      </c>
      <c r="BI133" s="23" t="s">
        <v>419</v>
      </c>
      <c r="BJ133" s="29">
        <v>387.14119999999997</v>
      </c>
      <c r="BK133" s="29">
        <v>467.09289999999999</v>
      </c>
      <c r="BL133" s="29" t="s">
        <v>843</v>
      </c>
      <c r="BM133" s="25" t="s">
        <v>13</v>
      </c>
      <c r="BO133" s="44"/>
      <c r="CA133" s="25" t="s">
        <v>13</v>
      </c>
      <c r="CC133" s="25" t="s">
        <v>13</v>
      </c>
    </row>
    <row r="134" spans="1:81">
      <c r="A134" s="7" t="s">
        <v>40</v>
      </c>
      <c r="B134" s="25" t="s">
        <v>147</v>
      </c>
      <c r="C134" s="68">
        <f t="shared" si="50"/>
        <v>246.05</v>
      </c>
      <c r="D134" s="68">
        <v>247.1</v>
      </c>
      <c r="E134" s="68">
        <v>245</v>
      </c>
      <c r="F134" s="23">
        <f t="shared" si="56"/>
        <v>580</v>
      </c>
      <c r="G134" s="23" t="s">
        <v>389</v>
      </c>
      <c r="H134" s="23">
        <f>F134*0.5</f>
        <v>290</v>
      </c>
      <c r="I134" s="23">
        <f t="shared" si="57"/>
        <v>1160</v>
      </c>
      <c r="J134" s="23" t="s">
        <v>480</v>
      </c>
      <c r="K134" s="23" t="s">
        <v>400</v>
      </c>
      <c r="L134" s="28">
        <v>1160</v>
      </c>
      <c r="M134" s="28">
        <f>L134*0.75</f>
        <v>870</v>
      </c>
      <c r="N134" s="32">
        <f>L134*1.25</f>
        <v>1450</v>
      </c>
      <c r="O134" s="32">
        <v>4000</v>
      </c>
      <c r="P134" s="22">
        <v>2000</v>
      </c>
      <c r="Q134" s="22" t="s">
        <v>330</v>
      </c>
      <c r="R134" s="26" t="s">
        <v>13</v>
      </c>
      <c r="S134" s="6" t="s">
        <v>263</v>
      </c>
      <c r="T134" s="44" t="s">
        <v>397</v>
      </c>
      <c r="U134" s="72">
        <v>13.693099999999999</v>
      </c>
      <c r="V134" s="26"/>
      <c r="W134" s="26"/>
      <c r="X134" s="26">
        <v>294.31599999999997</v>
      </c>
      <c r="Y134" s="26" t="s">
        <v>389</v>
      </c>
      <c r="Z134" s="26">
        <f t="shared" si="51"/>
        <v>271.65800000000002</v>
      </c>
      <c r="AA134" s="26">
        <f t="shared" si="52"/>
        <v>316.65800000000002</v>
      </c>
      <c r="AB134" s="26" t="s">
        <v>429</v>
      </c>
      <c r="AC134" s="26" t="s">
        <v>418</v>
      </c>
      <c r="AD134" s="26">
        <v>249</v>
      </c>
      <c r="AE134" s="26">
        <v>339</v>
      </c>
      <c r="AF134" s="26" t="s">
        <v>13</v>
      </c>
      <c r="AG134" s="25" t="s">
        <v>13</v>
      </c>
      <c r="AH134" s="6" t="s">
        <v>47</v>
      </c>
      <c r="AI134" s="55" t="s">
        <v>247</v>
      </c>
      <c r="AJ134" s="59">
        <f t="shared" ref="AJ134:AJ168" si="58">AVERAGE(AK134:AL134)</f>
        <v>121</v>
      </c>
      <c r="AK134" s="59">
        <v>123</v>
      </c>
      <c r="AL134" s="59">
        <v>119</v>
      </c>
      <c r="AM134" s="29">
        <f>AVERAGE(AO134:AP134)</f>
        <v>1271.9129720853857</v>
      </c>
      <c r="AN134" s="29" t="s">
        <v>389</v>
      </c>
      <c r="AO134" s="100">
        <f>10.6/(5+0.8)*1*370</f>
        <v>676.20689655172418</v>
      </c>
      <c r="AP134" s="100">
        <f>10.6/(5-0.8)*2*370</f>
        <v>1867.6190476190475</v>
      </c>
      <c r="AQ134" s="29" t="s">
        <v>426</v>
      </c>
      <c r="AR134" s="29" t="s">
        <v>422</v>
      </c>
      <c r="AS134" s="29"/>
      <c r="AT134" s="29">
        <f>763-119</f>
        <v>644</v>
      </c>
      <c r="AU134" s="29">
        <f>1272+198</f>
        <v>1470</v>
      </c>
      <c r="AV134" s="29" t="s">
        <v>60</v>
      </c>
      <c r="AW134" s="29"/>
      <c r="AX134" s="29" t="s">
        <v>13</v>
      </c>
      <c r="AY134" s="16" t="s">
        <v>842</v>
      </c>
      <c r="AZ134" s="97" t="s">
        <v>13</v>
      </c>
      <c r="BA134" s="97">
        <v>2.41092</v>
      </c>
      <c r="BB134" s="59"/>
      <c r="BC134" s="59"/>
      <c r="BD134" s="29">
        <v>334.6875</v>
      </c>
      <c r="BE134" s="39" t="s">
        <v>239</v>
      </c>
      <c r="BF134" s="29">
        <f t="shared" si="55"/>
        <v>304.87279999999998</v>
      </c>
      <c r="BG134" s="29">
        <f t="shared" si="55"/>
        <v>366.16849999999999</v>
      </c>
      <c r="BH134" s="29" t="s">
        <v>542</v>
      </c>
      <c r="BI134" s="23" t="s">
        <v>419</v>
      </c>
      <c r="BJ134" s="29">
        <v>304.87279999999998</v>
      </c>
      <c r="BK134" s="29">
        <v>366.16849999999999</v>
      </c>
      <c r="BL134" s="29" t="s">
        <v>843</v>
      </c>
      <c r="BM134" s="25" t="s">
        <v>13</v>
      </c>
      <c r="BO134" s="44"/>
      <c r="CA134" s="25" t="s">
        <v>13</v>
      </c>
      <c r="CC134" s="25" t="s">
        <v>13</v>
      </c>
    </row>
    <row r="135" spans="1:81">
      <c r="A135" s="7" t="s">
        <v>40</v>
      </c>
      <c r="B135" s="25" t="s">
        <v>147</v>
      </c>
      <c r="C135" s="68">
        <f t="shared" si="50"/>
        <v>246.05</v>
      </c>
      <c r="D135" s="68">
        <v>247.1</v>
      </c>
      <c r="E135" s="68">
        <v>245</v>
      </c>
      <c r="F135" s="23">
        <f t="shared" si="56"/>
        <v>300</v>
      </c>
      <c r="G135" s="23" t="s">
        <v>389</v>
      </c>
      <c r="H135" s="23">
        <f>F135*0.5</f>
        <v>150</v>
      </c>
      <c r="I135" s="23">
        <f t="shared" si="57"/>
        <v>600</v>
      </c>
      <c r="J135" s="23" t="s">
        <v>480</v>
      </c>
      <c r="K135" s="23" t="s">
        <v>400</v>
      </c>
      <c r="L135" s="28">
        <v>600</v>
      </c>
      <c r="M135" s="28">
        <f>L135*0.75</f>
        <v>450</v>
      </c>
      <c r="N135" s="32">
        <f>L135*1.25</f>
        <v>750</v>
      </c>
      <c r="O135" s="26">
        <v>4000</v>
      </c>
      <c r="P135" s="22">
        <v>2000</v>
      </c>
      <c r="Q135" s="22" t="s">
        <v>330</v>
      </c>
      <c r="R135" s="26" t="s">
        <v>13</v>
      </c>
      <c r="S135" s="6" t="s">
        <v>263</v>
      </c>
      <c r="T135" s="44" t="s">
        <v>397</v>
      </c>
      <c r="U135" s="72">
        <v>13.703900000000001</v>
      </c>
      <c r="V135" s="26"/>
      <c r="W135" s="26"/>
      <c r="X135" s="26">
        <v>271.17099999999999</v>
      </c>
      <c r="Y135" s="26" t="s">
        <v>389</v>
      </c>
      <c r="Z135" s="26">
        <f t="shared" si="51"/>
        <v>249.0855</v>
      </c>
      <c r="AA135" s="26">
        <f t="shared" si="52"/>
        <v>294.08550000000002</v>
      </c>
      <c r="AB135" s="26" t="s">
        <v>429</v>
      </c>
      <c r="AC135" s="26" t="s">
        <v>418</v>
      </c>
      <c r="AD135" s="26">
        <v>227</v>
      </c>
      <c r="AE135" s="26">
        <v>317</v>
      </c>
      <c r="AF135" s="26" t="s">
        <v>13</v>
      </c>
      <c r="AG135" s="25" t="s">
        <v>13</v>
      </c>
      <c r="AH135" s="6" t="s">
        <v>47</v>
      </c>
      <c r="AI135" s="55" t="s">
        <v>247</v>
      </c>
      <c r="AJ135" s="59">
        <f t="shared" si="58"/>
        <v>121</v>
      </c>
      <c r="AK135" s="59">
        <v>123</v>
      </c>
      <c r="AL135" s="59">
        <v>119</v>
      </c>
      <c r="AM135" s="29">
        <f t="shared" ref="AM135:AM146" si="59">AVERAGE(AO135:AP135)</f>
        <v>1250.0998463901688</v>
      </c>
      <c r="AN135" s="29" t="s">
        <v>389</v>
      </c>
      <c r="AO135" s="100">
        <f>10.6/(5.2+1)*1*370</f>
        <v>632.58064516129025</v>
      </c>
      <c r="AP135" s="100">
        <f>10.6/(5.2-1)*2*370</f>
        <v>1867.6190476190475</v>
      </c>
      <c r="AQ135" s="29" t="s">
        <v>426</v>
      </c>
      <c r="AR135" s="29" t="s">
        <v>422</v>
      </c>
      <c r="AS135" s="29"/>
      <c r="AT135" s="29">
        <f>734-130</f>
        <v>604</v>
      </c>
      <c r="AU135" s="29">
        <f>1223+217</f>
        <v>1440</v>
      </c>
      <c r="AV135" s="29" t="s">
        <v>60</v>
      </c>
      <c r="AW135" s="97"/>
      <c r="AX135" s="29" t="s">
        <v>13</v>
      </c>
      <c r="AY135" s="16" t="s">
        <v>842</v>
      </c>
      <c r="AZ135" s="97" t="s">
        <v>13</v>
      </c>
      <c r="BA135" s="97">
        <v>2.4248889999999999</v>
      </c>
      <c r="BB135" s="59"/>
      <c r="BC135" s="59"/>
      <c r="BD135" s="29">
        <v>385.8023</v>
      </c>
      <c r="BE135" s="39" t="s">
        <v>239</v>
      </c>
      <c r="BF135" s="29">
        <f t="shared" si="55"/>
        <v>350.96019999999999</v>
      </c>
      <c r="BG135" s="29">
        <f t="shared" si="55"/>
        <v>421.74509999999998</v>
      </c>
      <c r="BH135" s="29" t="s">
        <v>542</v>
      </c>
      <c r="BI135" s="23" t="s">
        <v>419</v>
      </c>
      <c r="BJ135" s="29">
        <v>350.96019999999999</v>
      </c>
      <c r="BK135" s="29">
        <v>421.74509999999998</v>
      </c>
      <c r="BL135" s="29" t="s">
        <v>843</v>
      </c>
      <c r="BM135" s="25" t="s">
        <v>13</v>
      </c>
      <c r="BO135" s="44"/>
      <c r="CA135" s="25" t="s">
        <v>13</v>
      </c>
      <c r="CC135" s="25" t="s">
        <v>13</v>
      </c>
    </row>
    <row r="136" spans="1:81">
      <c r="A136" s="7" t="s">
        <v>72</v>
      </c>
      <c r="B136" s="25" t="s">
        <v>127</v>
      </c>
      <c r="C136" s="68">
        <f t="shared" si="50"/>
        <v>92.15</v>
      </c>
      <c r="D136" s="68">
        <v>93</v>
      </c>
      <c r="E136" s="68">
        <v>91.3</v>
      </c>
      <c r="F136" s="23">
        <f t="shared" si="56"/>
        <v>620.375</v>
      </c>
      <c r="G136" s="23" t="s">
        <v>389</v>
      </c>
      <c r="H136" s="23">
        <f>F136*0.5</f>
        <v>310.1875</v>
      </c>
      <c r="I136" s="23">
        <f t="shared" si="57"/>
        <v>1240.75</v>
      </c>
      <c r="J136" s="23" t="s">
        <v>480</v>
      </c>
      <c r="K136" s="23" t="s">
        <v>400</v>
      </c>
      <c r="L136" s="28">
        <f>AVERAGE(M136:N137)</f>
        <v>1240.75</v>
      </c>
      <c r="M136" s="28">
        <v>1450</v>
      </c>
      <c r="N136" s="32">
        <v>2690</v>
      </c>
      <c r="O136" s="26">
        <v>4000</v>
      </c>
      <c r="P136" s="22">
        <v>2000</v>
      </c>
      <c r="Q136" s="22" t="s">
        <v>331</v>
      </c>
      <c r="R136" s="26" t="s">
        <v>13</v>
      </c>
      <c r="S136" s="6" t="s">
        <v>263</v>
      </c>
      <c r="T136" s="44" t="s">
        <v>397</v>
      </c>
      <c r="U136" s="72">
        <v>13.7088</v>
      </c>
      <c r="V136" s="26"/>
      <c r="W136" s="26"/>
      <c r="X136" s="26">
        <v>301.11599999999999</v>
      </c>
      <c r="Y136" s="26" t="s">
        <v>389</v>
      </c>
      <c r="Z136" s="26">
        <f t="shared" si="51"/>
        <v>278.55799999999999</v>
      </c>
      <c r="AA136" s="26">
        <f t="shared" si="52"/>
        <v>323.55799999999999</v>
      </c>
      <c r="AB136" s="26" t="s">
        <v>429</v>
      </c>
      <c r="AC136" s="26" t="s">
        <v>418</v>
      </c>
      <c r="AD136" s="26">
        <v>256</v>
      </c>
      <c r="AE136" s="26">
        <v>346</v>
      </c>
      <c r="AF136" s="26" t="s">
        <v>13</v>
      </c>
      <c r="AG136" s="25" t="s">
        <v>13</v>
      </c>
      <c r="AH136" s="6" t="s">
        <v>47</v>
      </c>
      <c r="AI136" s="55" t="s">
        <v>247</v>
      </c>
      <c r="AJ136" s="59">
        <f t="shared" si="58"/>
        <v>121</v>
      </c>
      <c r="AK136" s="59">
        <v>123</v>
      </c>
      <c r="AL136" s="59">
        <v>119</v>
      </c>
      <c r="AM136" s="29">
        <f t="shared" si="59"/>
        <v>1164.2421227197347</v>
      </c>
      <c r="AN136" s="29" t="s">
        <v>389</v>
      </c>
      <c r="AO136" s="100">
        <f>10.6/(5.6+1.1)*1*370</f>
        <v>585.37313432835822</v>
      </c>
      <c r="AP136" s="100">
        <f>10.6/(5.6-1.1)*2*370</f>
        <v>1743.1111111111111</v>
      </c>
      <c r="AQ136" s="29" t="s">
        <v>426</v>
      </c>
      <c r="AR136" s="29" t="s">
        <v>422</v>
      </c>
      <c r="AS136" s="29"/>
      <c r="AT136" s="29">
        <f>681-132</f>
        <v>549</v>
      </c>
      <c r="AU136" s="29">
        <f>1136+220</f>
        <v>1356</v>
      </c>
      <c r="AV136" s="29" t="s">
        <v>60</v>
      </c>
      <c r="AW136" s="29"/>
      <c r="AX136" s="29" t="s">
        <v>13</v>
      </c>
      <c r="AY136" s="16" t="s">
        <v>842</v>
      </c>
      <c r="AZ136" s="97" t="s">
        <v>13</v>
      </c>
      <c r="BA136" s="97">
        <v>2.4512320000000001</v>
      </c>
      <c r="BB136" s="59"/>
      <c r="BC136" s="59"/>
      <c r="BD136" s="29">
        <v>373.98720000000003</v>
      </c>
      <c r="BE136" s="39" t="s">
        <v>239</v>
      </c>
      <c r="BF136" s="29">
        <f t="shared" si="55"/>
        <v>340.51840000000004</v>
      </c>
      <c r="BG136" s="29">
        <f t="shared" si="55"/>
        <v>408.83269999999999</v>
      </c>
      <c r="BH136" s="29" t="s">
        <v>542</v>
      </c>
      <c r="BI136" s="23" t="s">
        <v>419</v>
      </c>
      <c r="BJ136" s="29">
        <v>340.51840000000004</v>
      </c>
      <c r="BK136" s="29">
        <v>408.83269999999999</v>
      </c>
      <c r="BL136" s="29" t="s">
        <v>843</v>
      </c>
      <c r="BM136" s="25" t="s">
        <v>13</v>
      </c>
      <c r="BO136" s="44"/>
      <c r="CA136" s="25" t="s">
        <v>13</v>
      </c>
      <c r="CC136" s="25" t="s">
        <v>13</v>
      </c>
    </row>
    <row r="137" spans="1:81">
      <c r="A137" s="7" t="s">
        <v>541</v>
      </c>
      <c r="B137" s="25" t="s">
        <v>567</v>
      </c>
      <c r="C137" s="80">
        <v>300.17588000000001</v>
      </c>
      <c r="D137" s="81">
        <f>C137+0.3</f>
        <v>300.47588000000002</v>
      </c>
      <c r="E137" s="81">
        <f t="shared" ref="E137:E147" si="60">C137-0.3</f>
        <v>299.87588</v>
      </c>
      <c r="F137" s="23">
        <f>L137</f>
        <v>331</v>
      </c>
      <c r="G137" s="23" t="s">
        <v>239</v>
      </c>
      <c r="H137" s="23">
        <f>M137</f>
        <v>128</v>
      </c>
      <c r="I137" s="23">
        <f>N137</f>
        <v>695</v>
      </c>
      <c r="J137" s="23" t="s">
        <v>402</v>
      </c>
      <c r="K137" s="23" t="s">
        <v>400</v>
      </c>
      <c r="L137" s="31">
        <v>331</v>
      </c>
      <c r="M137" s="31">
        <v>128</v>
      </c>
      <c r="N137" s="31">
        <v>695</v>
      </c>
      <c r="O137" s="31"/>
      <c r="P137" s="22"/>
      <c r="Q137" s="22" t="s">
        <v>544</v>
      </c>
      <c r="R137" s="26" t="s">
        <v>13</v>
      </c>
      <c r="S137" s="6" t="s">
        <v>263</v>
      </c>
      <c r="T137" s="44" t="s">
        <v>397</v>
      </c>
      <c r="U137" s="72">
        <v>13.7155</v>
      </c>
      <c r="V137" s="26"/>
      <c r="W137" s="26"/>
      <c r="X137" s="26">
        <v>292.38600000000002</v>
      </c>
      <c r="Y137" s="26" t="s">
        <v>389</v>
      </c>
      <c r="Z137" s="26">
        <f t="shared" si="51"/>
        <v>271.19299999999998</v>
      </c>
      <c r="AA137" s="26">
        <f t="shared" si="52"/>
        <v>315.19299999999998</v>
      </c>
      <c r="AB137" s="26" t="s">
        <v>429</v>
      </c>
      <c r="AC137" s="26" t="s">
        <v>418</v>
      </c>
      <c r="AD137" s="26">
        <v>250</v>
      </c>
      <c r="AE137" s="26">
        <v>338</v>
      </c>
      <c r="AF137" s="26" t="s">
        <v>13</v>
      </c>
      <c r="AG137" s="25" t="s">
        <v>13</v>
      </c>
      <c r="AH137" s="6" t="s">
        <v>47</v>
      </c>
      <c r="AI137" s="55" t="s">
        <v>247</v>
      </c>
      <c r="AJ137" s="59">
        <f t="shared" si="58"/>
        <v>121</v>
      </c>
      <c r="AK137" s="59">
        <v>123</v>
      </c>
      <c r="AL137" s="59">
        <v>119</v>
      </c>
      <c r="AM137" s="29">
        <f t="shared" si="59"/>
        <v>1283.9880952380952</v>
      </c>
      <c r="AN137" s="29" t="s">
        <v>389</v>
      </c>
      <c r="AO137" s="100">
        <f>10.6/(4.9+0.7)*1*370</f>
        <v>700.35714285714278</v>
      </c>
      <c r="AP137" s="100">
        <f>10.6/(4.9-0.7)*2*370</f>
        <v>1867.6190476190475</v>
      </c>
      <c r="AQ137" s="29" t="s">
        <v>426</v>
      </c>
      <c r="AR137" s="29" t="s">
        <v>422</v>
      </c>
      <c r="AS137" s="29"/>
      <c r="AT137" s="29">
        <f>779-12</f>
        <v>767</v>
      </c>
      <c r="AU137" s="29">
        <f>1298+188</f>
        <v>1486</v>
      </c>
      <c r="AV137" s="29" t="s">
        <v>60</v>
      </c>
      <c r="AW137" s="29"/>
      <c r="AX137" s="29" t="s">
        <v>13</v>
      </c>
      <c r="AY137" s="16" t="s">
        <v>842</v>
      </c>
      <c r="AZ137" s="97" t="s">
        <v>13</v>
      </c>
      <c r="BA137" s="97">
        <v>2.474494</v>
      </c>
      <c r="BB137" s="59"/>
      <c r="BC137" s="59"/>
      <c r="BD137" s="29">
        <v>394.09409999999997</v>
      </c>
      <c r="BE137" s="39" t="s">
        <v>239</v>
      </c>
      <c r="BF137" s="29">
        <f t="shared" si="55"/>
        <v>357.80719999999997</v>
      </c>
      <c r="BG137" s="29">
        <f t="shared" si="55"/>
        <v>431.23840000000001</v>
      </c>
      <c r="BH137" s="29" t="s">
        <v>542</v>
      </c>
      <c r="BI137" s="23" t="s">
        <v>419</v>
      </c>
      <c r="BJ137" s="29">
        <v>357.80719999999997</v>
      </c>
      <c r="BK137" s="29">
        <v>431.23840000000001</v>
      </c>
      <c r="BL137" s="29" t="s">
        <v>843</v>
      </c>
      <c r="BM137" s="25" t="s">
        <v>13</v>
      </c>
      <c r="BO137" s="44"/>
      <c r="CA137" s="25" t="s">
        <v>13</v>
      </c>
      <c r="CC137" s="25" t="s">
        <v>13</v>
      </c>
    </row>
    <row r="138" spans="1:81">
      <c r="A138" s="7" t="s">
        <v>541</v>
      </c>
      <c r="B138" s="25" t="s">
        <v>567</v>
      </c>
      <c r="C138" s="80">
        <v>299.89999999999998</v>
      </c>
      <c r="D138" s="81">
        <f t="shared" ref="D138:D147" si="61">C138+0.3</f>
        <v>300.2</v>
      </c>
      <c r="E138" s="81">
        <f t="shared" si="60"/>
        <v>299.59999999999997</v>
      </c>
      <c r="F138" s="23">
        <f t="shared" ref="F138:F147" si="62">L138</f>
        <v>247</v>
      </c>
      <c r="G138" s="23" t="s">
        <v>239</v>
      </c>
      <c r="H138" s="23">
        <f t="shared" ref="H138:I147" si="63">M138</f>
        <v>76</v>
      </c>
      <c r="I138" s="23">
        <f t="shared" si="63"/>
        <v>548</v>
      </c>
      <c r="J138" s="23" t="s">
        <v>402</v>
      </c>
      <c r="K138" s="23" t="s">
        <v>400</v>
      </c>
      <c r="L138" s="31">
        <v>247</v>
      </c>
      <c r="M138" s="31">
        <v>76</v>
      </c>
      <c r="N138" s="31">
        <v>548</v>
      </c>
      <c r="O138" s="31"/>
      <c r="P138" s="22"/>
      <c r="Q138" s="22" t="s">
        <v>545</v>
      </c>
      <c r="R138" s="26" t="s">
        <v>13</v>
      </c>
      <c r="S138" s="6" t="s">
        <v>263</v>
      </c>
      <c r="T138" s="44" t="s">
        <v>397</v>
      </c>
      <c r="U138" s="72">
        <v>13.7407</v>
      </c>
      <c r="V138" s="26"/>
      <c r="W138" s="26"/>
      <c r="X138" s="26">
        <v>305.23899999999998</v>
      </c>
      <c r="Y138" s="26" t="s">
        <v>389</v>
      </c>
      <c r="Z138" s="26">
        <f t="shared" si="51"/>
        <v>282.61950000000002</v>
      </c>
      <c r="AA138" s="26">
        <f t="shared" si="52"/>
        <v>328.61950000000002</v>
      </c>
      <c r="AB138" s="26" t="s">
        <v>429</v>
      </c>
      <c r="AC138" s="26" t="s">
        <v>418</v>
      </c>
      <c r="AD138" s="26">
        <v>260</v>
      </c>
      <c r="AE138" s="26">
        <v>352</v>
      </c>
      <c r="AF138" s="26" t="s">
        <v>13</v>
      </c>
      <c r="AG138" s="25" t="s">
        <v>13</v>
      </c>
      <c r="AH138" s="6" t="s">
        <v>47</v>
      </c>
      <c r="AI138" s="55" t="s">
        <v>247</v>
      </c>
      <c r="AJ138" s="59">
        <f t="shared" si="58"/>
        <v>121</v>
      </c>
      <c r="AK138" s="59">
        <v>123</v>
      </c>
      <c r="AL138" s="59">
        <v>119</v>
      </c>
      <c r="AM138" s="29">
        <f t="shared" si="59"/>
        <v>1026.5918803418804</v>
      </c>
      <c r="AN138" s="29" t="s">
        <v>389</v>
      </c>
      <c r="AO138" s="100">
        <f>10.6/(6.2+1)*1*370</f>
        <v>544.72222222222217</v>
      </c>
      <c r="AP138" s="100">
        <f>10.6/(6.2-1)*2*370</f>
        <v>1508.4615384615383</v>
      </c>
      <c r="AQ138" s="29" t="s">
        <v>426</v>
      </c>
      <c r="AR138" s="29" t="s">
        <v>422</v>
      </c>
      <c r="AS138" s="29"/>
      <c r="AT138" s="29">
        <f>615-119</f>
        <v>496</v>
      </c>
      <c r="AU138" s="29">
        <f>1026+199</f>
        <v>1225</v>
      </c>
      <c r="AV138" s="29" t="s">
        <v>60</v>
      </c>
      <c r="AW138" s="29"/>
      <c r="AX138" s="29" t="s">
        <v>13</v>
      </c>
      <c r="AY138" s="16" t="s">
        <v>842</v>
      </c>
      <c r="AZ138" s="97" t="s">
        <v>13</v>
      </c>
      <c r="BA138" s="97">
        <v>2.5004029999999999</v>
      </c>
      <c r="BB138" s="59"/>
      <c r="BC138" s="59"/>
      <c r="BD138" s="29">
        <v>411.44220000000001</v>
      </c>
      <c r="BE138" s="39" t="s">
        <v>239</v>
      </c>
      <c r="BF138" s="29">
        <f t="shared" si="55"/>
        <v>373.30060000000003</v>
      </c>
      <c r="BG138" s="29">
        <f t="shared" si="55"/>
        <v>449.8768</v>
      </c>
      <c r="BH138" s="29" t="s">
        <v>542</v>
      </c>
      <c r="BI138" s="23" t="s">
        <v>419</v>
      </c>
      <c r="BJ138" s="29">
        <v>373.30060000000003</v>
      </c>
      <c r="BK138" s="29">
        <v>449.8768</v>
      </c>
      <c r="BL138" s="29" t="s">
        <v>843</v>
      </c>
      <c r="BM138" s="25" t="s">
        <v>13</v>
      </c>
      <c r="BO138" s="44"/>
      <c r="CA138" s="25" t="s">
        <v>13</v>
      </c>
      <c r="CC138" s="25" t="s">
        <v>13</v>
      </c>
    </row>
    <row r="139" spans="1:81">
      <c r="A139" s="7" t="s">
        <v>541</v>
      </c>
      <c r="B139" s="25" t="s">
        <v>567</v>
      </c>
      <c r="C139" s="80">
        <v>299.7</v>
      </c>
      <c r="D139" s="81">
        <f t="shared" si="61"/>
        <v>300</v>
      </c>
      <c r="E139" s="81">
        <f t="shared" si="60"/>
        <v>299.39999999999998</v>
      </c>
      <c r="F139" s="23">
        <f t="shared" si="62"/>
        <v>128</v>
      </c>
      <c r="G139" s="23" t="s">
        <v>239</v>
      </c>
      <c r="H139" s="23">
        <f t="shared" si="63"/>
        <v>37</v>
      </c>
      <c r="I139" s="23">
        <f t="shared" si="63"/>
        <v>287</v>
      </c>
      <c r="J139" s="23" t="s">
        <v>402</v>
      </c>
      <c r="K139" s="23" t="s">
        <v>400</v>
      </c>
      <c r="L139" s="31">
        <v>128</v>
      </c>
      <c r="M139" s="31">
        <v>37</v>
      </c>
      <c r="N139" s="31">
        <v>287</v>
      </c>
      <c r="O139" s="31"/>
      <c r="P139" s="22"/>
      <c r="Q139" s="22" t="s">
        <v>545</v>
      </c>
      <c r="R139" s="26" t="s">
        <v>13</v>
      </c>
      <c r="S139" s="6" t="s">
        <v>263</v>
      </c>
      <c r="T139" s="44" t="s">
        <v>397</v>
      </c>
      <c r="U139" s="72">
        <v>13.752599999999999</v>
      </c>
      <c r="V139" s="26"/>
      <c r="W139" s="26"/>
      <c r="X139" s="26">
        <v>304.84100000000001</v>
      </c>
      <c r="Y139" s="26" t="s">
        <v>389</v>
      </c>
      <c r="Z139" s="26">
        <f t="shared" si="51"/>
        <v>278.9205</v>
      </c>
      <c r="AA139" s="26">
        <f t="shared" si="52"/>
        <v>331.4205</v>
      </c>
      <c r="AB139" s="26" t="s">
        <v>429</v>
      </c>
      <c r="AC139" s="26" t="s">
        <v>418</v>
      </c>
      <c r="AD139" s="26">
        <v>253</v>
      </c>
      <c r="AE139" s="26">
        <v>358</v>
      </c>
      <c r="AF139" s="26" t="s">
        <v>13</v>
      </c>
      <c r="AG139" s="25" t="s">
        <v>13</v>
      </c>
      <c r="AH139" s="6" t="s">
        <v>47</v>
      </c>
      <c r="AI139" s="55" t="s">
        <v>247</v>
      </c>
      <c r="AJ139" s="59">
        <f t="shared" si="58"/>
        <v>121</v>
      </c>
      <c r="AK139" s="59">
        <v>123</v>
      </c>
      <c r="AL139" s="59">
        <v>119</v>
      </c>
      <c r="AM139" s="29">
        <f t="shared" si="59"/>
        <v>965.35714285714289</v>
      </c>
      <c r="AN139" s="29" t="s">
        <v>389</v>
      </c>
      <c r="AO139" s="100">
        <f>10.6/(6.5+0.9)*1*370</f>
        <v>529.99999999999989</v>
      </c>
      <c r="AP139" s="100">
        <f>10.6/(6.5-0.9)*2*370</f>
        <v>1400.7142857142858</v>
      </c>
      <c r="AQ139" s="29" t="s">
        <v>426</v>
      </c>
      <c r="AR139" s="29" t="s">
        <v>422</v>
      </c>
      <c r="AS139" s="29"/>
      <c r="AT139" s="29">
        <f>587-111</f>
        <v>476</v>
      </c>
      <c r="AU139" s="29">
        <f>978+185</f>
        <v>1163</v>
      </c>
      <c r="AV139" s="29" t="s">
        <v>60</v>
      </c>
      <c r="AW139" s="29"/>
      <c r="AX139" s="29" t="s">
        <v>13</v>
      </c>
      <c r="AY139" s="16" t="s">
        <v>842</v>
      </c>
      <c r="AZ139" s="97" t="s">
        <v>13</v>
      </c>
      <c r="BA139" s="97">
        <v>2.5014029999999998</v>
      </c>
      <c r="BB139" s="59"/>
      <c r="BC139" s="59"/>
      <c r="BD139" s="29">
        <v>415.07959999999997</v>
      </c>
      <c r="BE139" s="39" t="s">
        <v>239</v>
      </c>
      <c r="BF139" s="29">
        <f t="shared" si="55"/>
        <v>377.35480000000001</v>
      </c>
      <c r="BG139" s="29">
        <f t="shared" si="55"/>
        <v>454.91539999999998</v>
      </c>
      <c r="BH139" s="29" t="s">
        <v>542</v>
      </c>
      <c r="BI139" s="23" t="s">
        <v>419</v>
      </c>
      <c r="BJ139" s="29">
        <v>377.35480000000001</v>
      </c>
      <c r="BK139" s="29">
        <v>454.91539999999998</v>
      </c>
      <c r="BL139" s="29" t="s">
        <v>843</v>
      </c>
      <c r="BM139" s="25" t="s">
        <v>13</v>
      </c>
      <c r="BO139" s="44"/>
      <c r="CA139" s="25" t="s">
        <v>13</v>
      </c>
      <c r="CC139" s="25" t="s">
        <v>13</v>
      </c>
    </row>
    <row r="140" spans="1:81">
      <c r="A140" s="7" t="s">
        <v>541</v>
      </c>
      <c r="B140" s="25" t="s">
        <v>567</v>
      </c>
      <c r="C140" s="80">
        <v>299.5</v>
      </c>
      <c r="D140" s="81">
        <f t="shared" si="61"/>
        <v>299.8</v>
      </c>
      <c r="E140" s="81">
        <f t="shared" si="60"/>
        <v>299.2</v>
      </c>
      <c r="F140" s="23">
        <f t="shared" si="62"/>
        <v>290</v>
      </c>
      <c r="G140" s="23" t="s">
        <v>239</v>
      </c>
      <c r="H140" s="23">
        <f t="shared" si="63"/>
        <v>117</v>
      </c>
      <c r="I140" s="23">
        <f t="shared" si="63"/>
        <v>590</v>
      </c>
      <c r="J140" s="23" t="s">
        <v>402</v>
      </c>
      <c r="K140" s="23" t="s">
        <v>400</v>
      </c>
      <c r="L140" s="31">
        <v>290</v>
      </c>
      <c r="M140" s="31">
        <v>117</v>
      </c>
      <c r="N140" s="31">
        <v>590</v>
      </c>
      <c r="O140" s="31"/>
      <c r="P140" s="22"/>
      <c r="Q140" s="22" t="s">
        <v>546</v>
      </c>
      <c r="R140" s="26" t="s">
        <v>13</v>
      </c>
      <c r="S140" s="6" t="s">
        <v>263</v>
      </c>
      <c r="T140" s="44" t="s">
        <v>397</v>
      </c>
      <c r="U140" s="72">
        <v>13.7597</v>
      </c>
      <c r="V140" s="26"/>
      <c r="W140" s="26"/>
      <c r="X140" s="26">
        <v>291.56099999999998</v>
      </c>
      <c r="Y140" s="26" t="s">
        <v>389</v>
      </c>
      <c r="Z140" s="26">
        <f t="shared" si="51"/>
        <v>270.28049999999996</v>
      </c>
      <c r="AA140" s="26">
        <f t="shared" si="52"/>
        <v>314.78049999999996</v>
      </c>
      <c r="AB140" s="26" t="s">
        <v>429</v>
      </c>
      <c r="AC140" s="26" t="s">
        <v>418</v>
      </c>
      <c r="AD140" s="26">
        <v>249</v>
      </c>
      <c r="AE140" s="26">
        <v>338</v>
      </c>
      <c r="AF140" s="26" t="s">
        <v>13</v>
      </c>
      <c r="AG140" s="25" t="s">
        <v>13</v>
      </c>
      <c r="AH140" s="6" t="s">
        <v>47</v>
      </c>
      <c r="AI140" s="55" t="s">
        <v>247</v>
      </c>
      <c r="AJ140" s="59">
        <f t="shared" si="58"/>
        <v>121</v>
      </c>
      <c r="AK140" s="59">
        <v>123</v>
      </c>
      <c r="AL140" s="59">
        <v>119</v>
      </c>
      <c r="AM140" s="29">
        <f t="shared" si="59"/>
        <v>1005.7774762550882</v>
      </c>
      <c r="AN140" s="29" t="s">
        <v>389</v>
      </c>
      <c r="AO140" s="100">
        <f>10.6/(6.1+0.6)*1*370</f>
        <v>585.37313432835822</v>
      </c>
      <c r="AP140" s="100">
        <f>10.6/(6.1-0.6)*2*370</f>
        <v>1426.1818181818182</v>
      </c>
      <c r="AQ140" s="29" t="s">
        <v>426</v>
      </c>
      <c r="AR140" s="29" t="s">
        <v>422</v>
      </c>
      <c r="AS140" s="29"/>
      <c r="AT140" s="29">
        <f>626-97</f>
        <v>529</v>
      </c>
      <c r="AU140" s="29">
        <f>1043+161</f>
        <v>1204</v>
      </c>
      <c r="AV140" s="29" t="s">
        <v>60</v>
      </c>
      <c r="AW140" s="29"/>
      <c r="AX140" s="29" t="s">
        <v>13</v>
      </c>
      <c r="AY140" s="16" t="s">
        <v>842</v>
      </c>
      <c r="AZ140" s="97" t="s">
        <v>13</v>
      </c>
      <c r="BA140" s="97">
        <v>2.5219320000000001</v>
      </c>
      <c r="BB140" s="59"/>
      <c r="BC140" s="59"/>
      <c r="BD140" s="29">
        <v>303.47680000000003</v>
      </c>
      <c r="BE140" s="39" t="s">
        <v>239</v>
      </c>
      <c r="BF140" s="29">
        <f t="shared" si="55"/>
        <v>275.93099999999998</v>
      </c>
      <c r="BG140" s="29">
        <f t="shared" si="55"/>
        <v>332.03410000000002</v>
      </c>
      <c r="BH140" s="29" t="s">
        <v>542</v>
      </c>
      <c r="BI140" s="23" t="s">
        <v>419</v>
      </c>
      <c r="BJ140" s="29">
        <v>275.93099999999998</v>
      </c>
      <c r="BK140" s="29">
        <v>332.03410000000002</v>
      </c>
      <c r="BL140" s="29" t="s">
        <v>843</v>
      </c>
      <c r="BM140" s="25" t="s">
        <v>13</v>
      </c>
      <c r="BO140" s="44"/>
      <c r="CA140" s="25" t="s">
        <v>13</v>
      </c>
      <c r="CC140" s="25" t="s">
        <v>13</v>
      </c>
    </row>
    <row r="141" spans="1:81">
      <c r="A141" s="7" t="s">
        <v>541</v>
      </c>
      <c r="B141" s="25" t="s">
        <v>567</v>
      </c>
      <c r="C141" s="80">
        <v>298.60000000000002</v>
      </c>
      <c r="D141" s="81">
        <f t="shared" si="61"/>
        <v>298.90000000000003</v>
      </c>
      <c r="E141" s="81">
        <f t="shared" si="60"/>
        <v>298.3</v>
      </c>
      <c r="F141" s="23">
        <f t="shared" si="62"/>
        <v>169</v>
      </c>
      <c r="G141" s="23" t="s">
        <v>239</v>
      </c>
      <c r="H141" s="23">
        <f t="shared" si="63"/>
        <v>66</v>
      </c>
      <c r="I141" s="23">
        <f t="shared" si="63"/>
        <v>350</v>
      </c>
      <c r="J141" s="23" t="s">
        <v>402</v>
      </c>
      <c r="K141" s="23" t="s">
        <v>400</v>
      </c>
      <c r="L141" s="31">
        <v>169</v>
      </c>
      <c r="M141" s="31">
        <v>66</v>
      </c>
      <c r="N141" s="31">
        <v>350</v>
      </c>
      <c r="O141" s="31"/>
      <c r="P141" s="22"/>
      <c r="Q141" s="22" t="s">
        <v>547</v>
      </c>
      <c r="R141" s="26" t="s">
        <v>13</v>
      </c>
      <c r="S141" s="6" t="s">
        <v>263</v>
      </c>
      <c r="T141" s="44" t="s">
        <v>397</v>
      </c>
      <c r="U141" s="72">
        <v>13.7659</v>
      </c>
      <c r="V141" s="26"/>
      <c r="W141" s="26"/>
      <c r="X141" s="26">
        <v>340.46100000000001</v>
      </c>
      <c r="Y141" s="26" t="s">
        <v>389</v>
      </c>
      <c r="Z141" s="26">
        <f t="shared" si="51"/>
        <v>312.73050000000001</v>
      </c>
      <c r="AA141" s="26">
        <f t="shared" si="52"/>
        <v>367.73050000000001</v>
      </c>
      <c r="AB141" s="26" t="s">
        <v>429</v>
      </c>
      <c r="AC141" s="26" t="s">
        <v>418</v>
      </c>
      <c r="AD141" s="26">
        <v>285</v>
      </c>
      <c r="AE141" s="26">
        <v>395</v>
      </c>
      <c r="AF141" s="26" t="s">
        <v>13</v>
      </c>
      <c r="AG141" s="25" t="s">
        <v>13</v>
      </c>
      <c r="AH141" s="6" t="s">
        <v>47</v>
      </c>
      <c r="AI141" s="55" t="s">
        <v>247</v>
      </c>
      <c r="AJ141" s="59">
        <f t="shared" si="58"/>
        <v>121</v>
      </c>
      <c r="AK141" s="59">
        <v>123</v>
      </c>
      <c r="AL141" s="59">
        <v>119</v>
      </c>
      <c r="AM141" s="29">
        <f t="shared" si="59"/>
        <v>1236.6233766233765</v>
      </c>
      <c r="AN141" s="29" t="s">
        <v>389</v>
      </c>
      <c r="AO141" s="100">
        <f>11.5/(5.7+1.3)*1*360</f>
        <v>591.42857142857144</v>
      </c>
      <c r="AP141" s="100">
        <f>11.5/(5.7-1.3)*2*360</f>
        <v>1881.8181818181815</v>
      </c>
      <c r="AQ141" s="29" t="s">
        <v>426</v>
      </c>
      <c r="AR141" s="29" t="s">
        <v>422</v>
      </c>
      <c r="AS141" s="29"/>
      <c r="AT141" s="29">
        <f>726-213</f>
        <v>513</v>
      </c>
      <c r="AU141" s="29">
        <f>1211+356</f>
        <v>1567</v>
      </c>
      <c r="AV141" s="29" t="s">
        <v>60</v>
      </c>
      <c r="AW141" s="29"/>
      <c r="AX141" s="29" t="s">
        <v>13</v>
      </c>
      <c r="AY141" s="16" t="s">
        <v>842</v>
      </c>
      <c r="AZ141" s="97" t="s">
        <v>13</v>
      </c>
      <c r="BA141" s="97">
        <v>2.5451549999999998</v>
      </c>
      <c r="BB141" s="59"/>
      <c r="BC141" s="59"/>
      <c r="BD141" s="29">
        <v>388.86279999999999</v>
      </c>
      <c r="BE141" s="39" t="s">
        <v>239</v>
      </c>
      <c r="BF141" s="29">
        <f t="shared" si="55"/>
        <v>354.31219999999996</v>
      </c>
      <c r="BG141" s="29">
        <f t="shared" si="55"/>
        <v>425.54259999999999</v>
      </c>
      <c r="BH141" s="29" t="s">
        <v>542</v>
      </c>
      <c r="BI141" s="23" t="s">
        <v>419</v>
      </c>
      <c r="BJ141" s="29">
        <v>354.31219999999996</v>
      </c>
      <c r="BK141" s="29">
        <v>425.54259999999999</v>
      </c>
      <c r="BL141" s="29" t="s">
        <v>843</v>
      </c>
      <c r="BM141" s="25" t="s">
        <v>13</v>
      </c>
      <c r="BO141" s="44"/>
      <c r="CA141" s="25" t="s">
        <v>13</v>
      </c>
      <c r="CC141" s="25" t="s">
        <v>13</v>
      </c>
    </row>
    <row r="142" spans="1:81">
      <c r="A142" s="7" t="s">
        <v>541</v>
      </c>
      <c r="B142" s="25" t="s">
        <v>567</v>
      </c>
      <c r="C142" s="80">
        <v>298.5</v>
      </c>
      <c r="D142" s="81">
        <f>C142+0.3</f>
        <v>298.8</v>
      </c>
      <c r="E142" s="81">
        <f t="shared" si="60"/>
        <v>298.2</v>
      </c>
      <c r="F142" s="23">
        <f t="shared" si="62"/>
        <v>83</v>
      </c>
      <c r="G142" s="23" t="s">
        <v>239</v>
      </c>
      <c r="H142" s="23">
        <f t="shared" si="63"/>
        <v>21</v>
      </c>
      <c r="I142" s="23">
        <f t="shared" si="63"/>
        <v>186</v>
      </c>
      <c r="J142" s="23" t="s">
        <v>402</v>
      </c>
      <c r="K142" s="23" t="s">
        <v>400</v>
      </c>
      <c r="L142" s="31">
        <v>83</v>
      </c>
      <c r="M142" s="31">
        <v>21</v>
      </c>
      <c r="N142" s="31">
        <v>186</v>
      </c>
      <c r="O142" s="31"/>
      <c r="P142" s="22"/>
      <c r="Q142" s="22" t="s">
        <v>547</v>
      </c>
      <c r="R142" s="26" t="s">
        <v>13</v>
      </c>
      <c r="S142" s="6" t="s">
        <v>263</v>
      </c>
      <c r="T142" s="44" t="s">
        <v>397</v>
      </c>
      <c r="U142" s="72">
        <v>13.772500000000001</v>
      </c>
      <c r="V142" s="26"/>
      <c r="W142" s="26"/>
      <c r="X142" s="26">
        <v>312.77300000000002</v>
      </c>
      <c r="Y142" s="26" t="s">
        <v>389</v>
      </c>
      <c r="Z142" s="26">
        <f t="shared" si="51"/>
        <v>289.38650000000001</v>
      </c>
      <c r="AA142" s="26">
        <f t="shared" si="52"/>
        <v>336.38650000000001</v>
      </c>
      <c r="AB142" s="26" t="s">
        <v>429</v>
      </c>
      <c r="AC142" s="26" t="s">
        <v>418</v>
      </c>
      <c r="AD142" s="26">
        <v>266</v>
      </c>
      <c r="AE142" s="26">
        <v>360</v>
      </c>
      <c r="AF142" s="26" t="s">
        <v>13</v>
      </c>
      <c r="AG142" s="25" t="s">
        <v>13</v>
      </c>
      <c r="AH142" s="6" t="s">
        <v>47</v>
      </c>
      <c r="AI142" s="55" t="s">
        <v>247</v>
      </c>
      <c r="AJ142" s="59">
        <f t="shared" si="58"/>
        <v>121</v>
      </c>
      <c r="AK142" s="59">
        <v>123</v>
      </c>
      <c r="AL142" s="59">
        <v>119</v>
      </c>
      <c r="AM142" s="29">
        <f t="shared" si="59"/>
        <v>685.66666666666674</v>
      </c>
      <c r="AN142" s="29" t="s">
        <v>389</v>
      </c>
      <c r="AO142" s="100">
        <f>12.1/(8.6+1.4)*1*300</f>
        <v>363</v>
      </c>
      <c r="AP142" s="100">
        <f>12.1/(8.6-1.4)*2*300</f>
        <v>1008.3333333333334</v>
      </c>
      <c r="AQ142" s="29" t="s">
        <v>426</v>
      </c>
      <c r="AR142" s="29" t="s">
        <v>422</v>
      </c>
      <c r="AS142" s="29"/>
      <c r="AT142" s="29">
        <f>474-66</f>
        <v>408</v>
      </c>
      <c r="AU142" s="29">
        <f>791+110</f>
        <v>901</v>
      </c>
      <c r="AV142" s="29" t="s">
        <v>60</v>
      </c>
      <c r="AW142" s="29"/>
      <c r="AX142" s="29" t="s">
        <v>13</v>
      </c>
      <c r="AY142" s="16" t="s">
        <v>842</v>
      </c>
      <c r="AZ142" s="97" t="s">
        <v>13</v>
      </c>
      <c r="BA142" s="97">
        <v>2.5618979999999998</v>
      </c>
      <c r="BB142" s="59"/>
      <c r="BC142" s="59"/>
      <c r="BD142" s="29">
        <v>357.70350000000002</v>
      </c>
      <c r="BE142" s="39" t="s">
        <v>239</v>
      </c>
      <c r="BF142" s="29">
        <f t="shared" si="55"/>
        <v>324.73149999999998</v>
      </c>
      <c r="BG142" s="29">
        <f t="shared" si="55"/>
        <v>391.5009</v>
      </c>
      <c r="BH142" s="29" t="s">
        <v>542</v>
      </c>
      <c r="BI142" s="23" t="s">
        <v>419</v>
      </c>
      <c r="BJ142" s="29">
        <v>324.73149999999998</v>
      </c>
      <c r="BK142" s="29">
        <v>391.5009</v>
      </c>
      <c r="BL142" s="29" t="s">
        <v>843</v>
      </c>
      <c r="BM142" s="25" t="s">
        <v>13</v>
      </c>
      <c r="BO142" s="44"/>
      <c r="CA142" s="25" t="s">
        <v>13</v>
      </c>
      <c r="CC142" s="25" t="s">
        <v>13</v>
      </c>
    </row>
    <row r="143" spans="1:81">
      <c r="A143" s="7" t="s">
        <v>541</v>
      </c>
      <c r="B143" s="25" t="s">
        <v>567</v>
      </c>
      <c r="C143" s="80">
        <v>298.2</v>
      </c>
      <c r="D143" s="81">
        <f t="shared" si="61"/>
        <v>298.5</v>
      </c>
      <c r="E143" s="81">
        <f t="shared" si="60"/>
        <v>297.89999999999998</v>
      </c>
      <c r="F143" s="23">
        <f t="shared" si="62"/>
        <v>158</v>
      </c>
      <c r="G143" s="23" t="s">
        <v>239</v>
      </c>
      <c r="H143" s="23">
        <f t="shared" si="63"/>
        <v>10</v>
      </c>
      <c r="I143" s="23">
        <f t="shared" si="63"/>
        <v>519</v>
      </c>
      <c r="J143" s="23" t="s">
        <v>402</v>
      </c>
      <c r="K143" s="23" t="s">
        <v>400</v>
      </c>
      <c r="L143" s="31">
        <v>158</v>
      </c>
      <c r="M143" s="31">
        <v>10</v>
      </c>
      <c r="N143" s="31">
        <v>519</v>
      </c>
      <c r="O143" s="31"/>
      <c r="P143" s="22"/>
      <c r="Q143" s="22" t="s">
        <v>548</v>
      </c>
      <c r="R143" s="26" t="s">
        <v>13</v>
      </c>
      <c r="S143" s="6" t="s">
        <v>263</v>
      </c>
      <c r="T143" s="44" t="s">
        <v>397</v>
      </c>
      <c r="U143" s="72">
        <v>13.778700000000001</v>
      </c>
      <c r="V143" s="26"/>
      <c r="W143" s="26"/>
      <c r="X143" s="26">
        <v>312.76400000000001</v>
      </c>
      <c r="Y143" s="26" t="s">
        <v>389</v>
      </c>
      <c r="Z143" s="26">
        <f t="shared" si="51"/>
        <v>286.38200000000001</v>
      </c>
      <c r="AA143" s="26">
        <f t="shared" si="52"/>
        <v>338.88200000000001</v>
      </c>
      <c r="AB143" s="26" t="s">
        <v>429</v>
      </c>
      <c r="AC143" s="26" t="s">
        <v>418</v>
      </c>
      <c r="AD143" s="26">
        <v>260</v>
      </c>
      <c r="AE143" s="26">
        <v>365</v>
      </c>
      <c r="AF143" s="26" t="s">
        <v>13</v>
      </c>
      <c r="AG143" s="25" t="s">
        <v>13</v>
      </c>
      <c r="AH143" s="6" t="s">
        <v>47</v>
      </c>
      <c r="AI143" s="55" t="s">
        <v>247</v>
      </c>
      <c r="AJ143" s="59">
        <f t="shared" si="58"/>
        <v>121</v>
      </c>
      <c r="AK143" s="59">
        <v>123</v>
      </c>
      <c r="AL143" s="59">
        <v>119</v>
      </c>
      <c r="AM143" s="29">
        <f t="shared" si="59"/>
        <v>1121.8835731013717</v>
      </c>
      <c r="AN143" s="29" t="s">
        <v>389</v>
      </c>
      <c r="AO143" s="100">
        <f>10.6/(5.5+0.6)*1*370</f>
        <v>642.95081967213116</v>
      </c>
      <c r="AP143" s="100">
        <f>10.6/(5.5-0.6)*2*370</f>
        <v>1600.8163265306121</v>
      </c>
      <c r="AQ143" s="29" t="s">
        <v>426</v>
      </c>
      <c r="AR143" s="29" t="s">
        <v>422</v>
      </c>
      <c r="AS143" s="29"/>
      <c r="AT143" s="29">
        <f>693-101</f>
        <v>592</v>
      </c>
      <c r="AU143" s="29">
        <f>1156+168</f>
        <v>1324</v>
      </c>
      <c r="AV143" s="29" t="s">
        <v>60</v>
      </c>
      <c r="AW143" s="29"/>
      <c r="AX143" s="29" t="s">
        <v>13</v>
      </c>
      <c r="AY143" s="16" t="s">
        <v>842</v>
      </c>
      <c r="AZ143" s="97" t="s">
        <v>13</v>
      </c>
      <c r="BA143" s="97">
        <v>2.5794250000000001</v>
      </c>
      <c r="BB143" s="59"/>
      <c r="BC143" s="59"/>
      <c r="BD143" s="29">
        <v>385.39009999999996</v>
      </c>
      <c r="BE143" s="39" t="s">
        <v>239</v>
      </c>
      <c r="BF143" s="29">
        <f t="shared" si="55"/>
        <v>350.32660000000004</v>
      </c>
      <c r="BG143" s="29">
        <f t="shared" si="55"/>
        <v>421.72230000000002</v>
      </c>
      <c r="BH143" s="29" t="s">
        <v>542</v>
      </c>
      <c r="BI143" s="23" t="s">
        <v>419</v>
      </c>
      <c r="BJ143" s="29">
        <v>350.32660000000004</v>
      </c>
      <c r="BK143" s="29">
        <v>421.72230000000002</v>
      </c>
      <c r="BL143" s="29" t="s">
        <v>843</v>
      </c>
      <c r="BM143" s="25" t="s">
        <v>13</v>
      </c>
      <c r="BO143" s="44"/>
      <c r="CA143" s="25" t="s">
        <v>13</v>
      </c>
      <c r="CC143" s="25" t="s">
        <v>13</v>
      </c>
    </row>
    <row r="144" spans="1:81">
      <c r="A144" s="7" t="s">
        <v>541</v>
      </c>
      <c r="B144" s="25" t="s">
        <v>567</v>
      </c>
      <c r="C144" s="80">
        <v>298</v>
      </c>
      <c r="D144" s="81">
        <f t="shared" si="61"/>
        <v>298.3</v>
      </c>
      <c r="E144" s="81">
        <f t="shared" si="60"/>
        <v>297.7</v>
      </c>
      <c r="F144" s="23">
        <f t="shared" si="62"/>
        <v>10</v>
      </c>
      <c r="G144" s="23" t="s">
        <v>239</v>
      </c>
      <c r="H144" s="23">
        <f t="shared" si="63"/>
        <v>1</v>
      </c>
      <c r="I144" s="23">
        <f t="shared" si="63"/>
        <v>49</v>
      </c>
      <c r="J144" s="23" t="s">
        <v>402</v>
      </c>
      <c r="K144" s="23" t="s">
        <v>400</v>
      </c>
      <c r="L144" s="31">
        <v>10</v>
      </c>
      <c r="M144" s="31">
        <v>1</v>
      </c>
      <c r="N144" s="31">
        <v>49</v>
      </c>
      <c r="O144" s="31"/>
      <c r="P144" s="22"/>
      <c r="Q144" s="22" t="s">
        <v>549</v>
      </c>
      <c r="R144" s="26" t="s">
        <v>13</v>
      </c>
      <c r="S144" s="6" t="s">
        <v>263</v>
      </c>
      <c r="T144" s="44" t="s">
        <v>397</v>
      </c>
      <c r="U144" s="72">
        <v>13.7857</v>
      </c>
      <c r="V144" s="26"/>
      <c r="W144" s="26"/>
      <c r="X144" s="26">
        <v>294.17500000000001</v>
      </c>
      <c r="Y144" s="26" t="s">
        <v>389</v>
      </c>
      <c r="Z144" s="26">
        <f t="shared" si="51"/>
        <v>272.08749999999998</v>
      </c>
      <c r="AA144" s="26">
        <f t="shared" si="52"/>
        <v>317.58749999999998</v>
      </c>
      <c r="AB144" s="26" t="s">
        <v>429</v>
      </c>
      <c r="AC144" s="26" t="s">
        <v>418</v>
      </c>
      <c r="AD144" s="26">
        <v>250</v>
      </c>
      <c r="AE144" s="26">
        <v>341</v>
      </c>
      <c r="AF144" s="26" t="s">
        <v>13</v>
      </c>
      <c r="AG144" s="25" t="s">
        <v>13</v>
      </c>
      <c r="AH144" s="6" t="s">
        <v>47</v>
      </c>
      <c r="AI144" s="55" t="s">
        <v>247</v>
      </c>
      <c r="AJ144" s="59">
        <f t="shared" si="58"/>
        <v>121</v>
      </c>
      <c r="AK144" s="59">
        <v>123</v>
      </c>
      <c r="AL144" s="59">
        <v>119</v>
      </c>
      <c r="AM144" s="29">
        <f t="shared" si="59"/>
        <v>1452.5925925925924</v>
      </c>
      <c r="AN144" s="29" t="s">
        <v>389</v>
      </c>
      <c r="AO144" s="100">
        <f>10.6/(4.5+0.9)*1*370</f>
        <v>726.29629629629619</v>
      </c>
      <c r="AP144" s="100">
        <f>10.6/(4.5-0.9)*2*370</f>
        <v>2178.8888888888887</v>
      </c>
      <c r="AQ144" s="29" t="s">
        <v>426</v>
      </c>
      <c r="AR144" s="29" t="s">
        <v>422</v>
      </c>
      <c r="AS144" s="29"/>
      <c r="AT144" s="29">
        <f>848-133</f>
        <v>715</v>
      </c>
      <c r="AU144" s="29">
        <f>1413+222</f>
        <v>1635</v>
      </c>
      <c r="AV144" s="29" t="s">
        <v>60</v>
      </c>
      <c r="AW144" s="29"/>
      <c r="AX144" s="29" t="s">
        <v>13</v>
      </c>
      <c r="AY144" s="16" t="s">
        <v>842</v>
      </c>
      <c r="AZ144" s="97" t="s">
        <v>13</v>
      </c>
      <c r="BA144" s="97">
        <v>2.5948359999999999</v>
      </c>
      <c r="BB144" s="59"/>
      <c r="BC144" s="59"/>
      <c r="BD144" s="29">
        <v>417.99040000000002</v>
      </c>
      <c r="BE144" s="39" t="s">
        <v>239</v>
      </c>
      <c r="BF144" s="29">
        <f t="shared" si="55"/>
        <v>378.89109999999999</v>
      </c>
      <c r="BG144" s="29">
        <f t="shared" si="55"/>
        <v>456.81939999999997</v>
      </c>
      <c r="BH144" s="29" t="s">
        <v>542</v>
      </c>
      <c r="BI144" s="23" t="s">
        <v>419</v>
      </c>
      <c r="BJ144" s="29">
        <v>378.89109999999999</v>
      </c>
      <c r="BK144" s="29">
        <v>456.81939999999997</v>
      </c>
      <c r="BL144" s="29" t="s">
        <v>843</v>
      </c>
      <c r="BM144" s="25" t="s">
        <v>13</v>
      </c>
      <c r="BO144" s="44"/>
      <c r="CA144" s="25" t="s">
        <v>13</v>
      </c>
      <c r="CC144" s="25" t="s">
        <v>13</v>
      </c>
    </row>
    <row r="145" spans="1:81">
      <c r="A145" s="7" t="s">
        <v>541</v>
      </c>
      <c r="B145" s="25" t="s">
        <v>567</v>
      </c>
      <c r="C145" s="80">
        <v>297.39999999999998</v>
      </c>
      <c r="D145" s="81">
        <f t="shared" si="61"/>
        <v>297.7</v>
      </c>
      <c r="E145" s="81">
        <f t="shared" si="60"/>
        <v>297.09999999999997</v>
      </c>
      <c r="F145" s="23">
        <f t="shared" si="62"/>
        <v>14</v>
      </c>
      <c r="G145" s="23" t="s">
        <v>239</v>
      </c>
      <c r="H145" s="23">
        <f t="shared" si="63"/>
        <v>1</v>
      </c>
      <c r="I145" s="23">
        <f t="shared" si="63"/>
        <v>78</v>
      </c>
      <c r="J145" s="23" t="s">
        <v>402</v>
      </c>
      <c r="K145" s="23" t="s">
        <v>400</v>
      </c>
      <c r="L145" s="31">
        <v>14</v>
      </c>
      <c r="M145" s="31">
        <v>1</v>
      </c>
      <c r="N145" s="31">
        <v>78</v>
      </c>
      <c r="O145" s="31"/>
      <c r="P145" s="22"/>
      <c r="Q145" s="22" t="s">
        <v>548</v>
      </c>
      <c r="R145" s="26" t="s">
        <v>13</v>
      </c>
      <c r="S145" s="6" t="s">
        <v>263</v>
      </c>
      <c r="T145" s="44" t="s">
        <v>397</v>
      </c>
      <c r="U145" s="72">
        <v>13.7919</v>
      </c>
      <c r="V145" s="26"/>
      <c r="W145" s="26"/>
      <c r="X145" s="26">
        <v>315.01900000000001</v>
      </c>
      <c r="Y145" s="26" t="s">
        <v>389</v>
      </c>
      <c r="Z145" s="26">
        <f t="shared" si="51"/>
        <v>288.0095</v>
      </c>
      <c r="AA145" s="26">
        <f t="shared" si="52"/>
        <v>344.5095</v>
      </c>
      <c r="AB145" s="26" t="s">
        <v>429</v>
      </c>
      <c r="AC145" s="26" t="s">
        <v>418</v>
      </c>
      <c r="AD145" s="26">
        <v>261</v>
      </c>
      <c r="AE145" s="26">
        <v>374</v>
      </c>
      <c r="AF145" s="26" t="s">
        <v>13</v>
      </c>
      <c r="AG145" s="25" t="s">
        <v>13</v>
      </c>
      <c r="AH145" s="6" t="s">
        <v>47</v>
      </c>
      <c r="AI145" s="55" t="s">
        <v>247</v>
      </c>
      <c r="AJ145" s="59">
        <f t="shared" si="58"/>
        <v>121</v>
      </c>
      <c r="AK145" s="59">
        <v>123</v>
      </c>
      <c r="AL145" s="59">
        <v>119</v>
      </c>
      <c r="AM145" s="29">
        <f t="shared" si="59"/>
        <v>1409.2206477732793</v>
      </c>
      <c r="AN145" s="29" t="s">
        <v>389</v>
      </c>
      <c r="AO145" s="100">
        <f>10.6/(4.5+0.7)*1*370</f>
        <v>754.23076923076917</v>
      </c>
      <c r="AP145" s="100">
        <f>10.6/(4.5-0.7)*2*370</f>
        <v>2064.2105263157896</v>
      </c>
      <c r="AQ145" s="29" t="s">
        <v>426</v>
      </c>
      <c r="AR145" s="29" t="s">
        <v>422</v>
      </c>
      <c r="AS145" s="29"/>
      <c r="AT145" s="29">
        <f>848-117</f>
        <v>731</v>
      </c>
      <c r="AU145" s="29">
        <f>1413+195</f>
        <v>1608</v>
      </c>
      <c r="AV145" s="29" t="s">
        <v>60</v>
      </c>
      <c r="AW145" s="29"/>
      <c r="AX145" s="29" t="s">
        <v>13</v>
      </c>
      <c r="AY145" s="16" t="s">
        <v>842</v>
      </c>
      <c r="AZ145" s="97" t="s">
        <v>13</v>
      </c>
      <c r="BA145" s="97">
        <v>2.6150690000000001</v>
      </c>
      <c r="BB145" s="59"/>
      <c r="BC145" s="59"/>
      <c r="BD145" s="29">
        <v>335.98919999999998</v>
      </c>
      <c r="BE145" s="39" t="s">
        <v>239</v>
      </c>
      <c r="BF145" s="29">
        <f t="shared" si="55"/>
        <v>305.54680000000002</v>
      </c>
      <c r="BG145" s="29">
        <f t="shared" si="55"/>
        <v>367.29399999999998</v>
      </c>
      <c r="BH145" s="29" t="s">
        <v>542</v>
      </c>
      <c r="BI145" s="23" t="s">
        <v>419</v>
      </c>
      <c r="BJ145" s="29">
        <v>305.54680000000002</v>
      </c>
      <c r="BK145" s="29">
        <v>367.29399999999998</v>
      </c>
      <c r="BL145" s="29" t="s">
        <v>843</v>
      </c>
      <c r="BM145" s="25" t="s">
        <v>13</v>
      </c>
      <c r="BO145" s="44"/>
      <c r="CA145" s="25" t="s">
        <v>13</v>
      </c>
      <c r="CC145" s="25" t="s">
        <v>13</v>
      </c>
    </row>
    <row r="146" spans="1:81">
      <c r="A146" s="7" t="s">
        <v>541</v>
      </c>
      <c r="B146" s="25" t="s">
        <v>567</v>
      </c>
      <c r="C146" s="80">
        <v>296.8</v>
      </c>
      <c r="D146" s="81">
        <f t="shared" si="61"/>
        <v>297.10000000000002</v>
      </c>
      <c r="E146" s="81">
        <f t="shared" si="60"/>
        <v>296.5</v>
      </c>
      <c r="F146" s="23">
        <f t="shared" si="62"/>
        <v>47</v>
      </c>
      <c r="G146" s="23" t="s">
        <v>239</v>
      </c>
      <c r="H146" s="23">
        <f t="shared" si="63"/>
        <v>1</v>
      </c>
      <c r="I146" s="23">
        <f t="shared" si="63"/>
        <v>183</v>
      </c>
      <c r="J146" s="23" t="s">
        <v>402</v>
      </c>
      <c r="K146" s="23" t="s">
        <v>400</v>
      </c>
      <c r="L146" s="31">
        <v>47</v>
      </c>
      <c r="M146" s="31">
        <v>1</v>
      </c>
      <c r="N146" s="31">
        <v>183</v>
      </c>
      <c r="O146" s="31"/>
      <c r="P146" s="22"/>
      <c r="Q146" s="22" t="s">
        <v>548</v>
      </c>
      <c r="R146" s="26" t="s">
        <v>13</v>
      </c>
      <c r="S146" s="6" t="s">
        <v>263</v>
      </c>
      <c r="T146" s="44" t="s">
        <v>397</v>
      </c>
      <c r="U146" s="72">
        <v>13.7989</v>
      </c>
      <c r="V146" s="26"/>
      <c r="W146" s="26"/>
      <c r="X146" s="26">
        <v>329.416</v>
      </c>
      <c r="Y146" s="26" t="s">
        <v>389</v>
      </c>
      <c r="Z146" s="26">
        <f t="shared" si="51"/>
        <v>306.20799999999997</v>
      </c>
      <c r="AA146" s="26">
        <f t="shared" si="52"/>
        <v>353.70799999999997</v>
      </c>
      <c r="AB146" s="26" t="s">
        <v>429</v>
      </c>
      <c r="AC146" s="26" t="s">
        <v>418</v>
      </c>
      <c r="AD146" s="26">
        <v>283</v>
      </c>
      <c r="AE146" s="26">
        <v>378</v>
      </c>
      <c r="AF146" s="26" t="s">
        <v>13</v>
      </c>
      <c r="AG146" s="25" t="s">
        <v>13</v>
      </c>
      <c r="AH146" s="6" t="s">
        <v>47</v>
      </c>
      <c r="AI146" s="55" t="s">
        <v>246</v>
      </c>
      <c r="AJ146" s="59">
        <f t="shared" si="58"/>
        <v>101.75</v>
      </c>
      <c r="AK146" s="59">
        <v>103</v>
      </c>
      <c r="AL146" s="59">
        <v>100.5</v>
      </c>
      <c r="AM146" s="29">
        <f t="shared" si="59"/>
        <v>1070.5210918114144</v>
      </c>
      <c r="AN146" s="29" t="s">
        <v>389</v>
      </c>
      <c r="AO146" s="100">
        <f>10.6/(5.7+0.5)*1*370</f>
        <v>632.58064516129025</v>
      </c>
      <c r="AP146" s="100">
        <f>10.6/(5.7-0.5)*2*370</f>
        <v>1508.4615384615383</v>
      </c>
      <c r="AQ146" s="29" t="s">
        <v>426</v>
      </c>
      <c r="AR146" s="29" t="s">
        <v>422</v>
      </c>
      <c r="AS146" s="29"/>
      <c r="AT146" s="29">
        <f>669-92</f>
        <v>577</v>
      </c>
      <c r="AU146" s="29">
        <f>1116+155</f>
        <v>1271</v>
      </c>
      <c r="AV146" s="29" t="s">
        <v>60</v>
      </c>
      <c r="AW146" s="29"/>
      <c r="AX146" s="29" t="s">
        <v>13</v>
      </c>
      <c r="AY146" s="16" t="s">
        <v>842</v>
      </c>
      <c r="AZ146" s="97" t="s">
        <v>13</v>
      </c>
      <c r="BA146" s="97">
        <v>2.6244960000000002</v>
      </c>
      <c r="BB146" s="59"/>
      <c r="BC146" s="59"/>
      <c r="BD146" s="29">
        <v>361.8965</v>
      </c>
      <c r="BE146" s="39" t="s">
        <v>239</v>
      </c>
      <c r="BF146" s="29">
        <f t="shared" si="55"/>
        <v>328.91579999999999</v>
      </c>
      <c r="BG146" s="29">
        <f t="shared" si="55"/>
        <v>394.79629999999997</v>
      </c>
      <c r="BH146" s="29" t="s">
        <v>542</v>
      </c>
      <c r="BI146" s="23" t="s">
        <v>419</v>
      </c>
      <c r="BJ146" s="29">
        <v>328.91579999999999</v>
      </c>
      <c r="BK146" s="29">
        <v>394.79629999999997</v>
      </c>
      <c r="BL146" s="29" t="s">
        <v>843</v>
      </c>
      <c r="BM146" s="25" t="s">
        <v>13</v>
      </c>
      <c r="BO146" s="44"/>
      <c r="CA146" s="25" t="s">
        <v>13</v>
      </c>
      <c r="CC146" s="25" t="s">
        <v>13</v>
      </c>
    </row>
    <row r="147" spans="1:81">
      <c r="A147" s="7" t="s">
        <v>541</v>
      </c>
      <c r="B147" s="25" t="s">
        <v>567</v>
      </c>
      <c r="C147" s="80">
        <v>296.7</v>
      </c>
      <c r="D147" s="81">
        <f t="shared" si="61"/>
        <v>297</v>
      </c>
      <c r="E147" s="81">
        <f t="shared" si="60"/>
        <v>296.39999999999998</v>
      </c>
      <c r="F147" s="23">
        <f t="shared" si="62"/>
        <v>404</v>
      </c>
      <c r="G147" s="23" t="s">
        <v>239</v>
      </c>
      <c r="H147" s="23">
        <f t="shared" si="63"/>
        <v>101</v>
      </c>
      <c r="I147" s="23">
        <f t="shared" si="63"/>
        <v>1162</v>
      </c>
      <c r="J147" s="23" t="s">
        <v>402</v>
      </c>
      <c r="K147" s="23" t="s">
        <v>400</v>
      </c>
      <c r="L147" s="31">
        <v>404</v>
      </c>
      <c r="M147" s="31">
        <v>101</v>
      </c>
      <c r="N147" s="31">
        <v>1162</v>
      </c>
      <c r="O147" s="31"/>
      <c r="P147" s="22"/>
      <c r="Q147" s="22" t="s">
        <v>548</v>
      </c>
      <c r="R147" s="26" t="s">
        <v>13</v>
      </c>
      <c r="S147" s="6" t="s">
        <v>264</v>
      </c>
      <c r="T147" s="44"/>
      <c r="U147" s="72">
        <v>2.8099600000000002</v>
      </c>
      <c r="V147" s="26"/>
      <c r="W147" s="26"/>
      <c r="X147" s="26">
        <v>282.2396699584927</v>
      </c>
      <c r="Y147" s="26" t="s">
        <v>389</v>
      </c>
      <c r="Z147" s="26">
        <f t="shared" si="51"/>
        <v>260.75445505416786</v>
      </c>
      <c r="AA147" s="26">
        <f t="shared" si="52"/>
        <v>304.20514711992035</v>
      </c>
      <c r="AB147" s="26" t="s">
        <v>429</v>
      </c>
      <c r="AC147" s="26" t="s">
        <v>418</v>
      </c>
      <c r="AD147" s="26">
        <v>239.269240149843</v>
      </c>
      <c r="AE147" s="26">
        <v>326.17062428134801</v>
      </c>
      <c r="AF147" s="26" t="s">
        <v>394</v>
      </c>
      <c r="AG147" s="25" t="s">
        <v>13</v>
      </c>
      <c r="AH147" s="6" t="s">
        <v>61</v>
      </c>
      <c r="AI147" s="21" t="s">
        <v>59</v>
      </c>
      <c r="AJ147" s="65">
        <f t="shared" si="58"/>
        <v>3.8899999999999997</v>
      </c>
      <c r="AK147" s="62">
        <v>4.18</v>
      </c>
      <c r="AL147" s="62">
        <v>3.6</v>
      </c>
      <c r="AM147" s="24">
        <f>AS147</f>
        <v>355.26343750987434</v>
      </c>
      <c r="AN147" s="26" t="s">
        <v>389</v>
      </c>
      <c r="AO147" s="66">
        <f>AM147*0.7</f>
        <v>248.68440625691201</v>
      </c>
      <c r="AP147" s="100">
        <f>AM147*1.65</f>
        <v>586.18467189129262</v>
      </c>
      <c r="AQ147" s="29" t="s">
        <v>512</v>
      </c>
      <c r="AR147" s="23" t="s">
        <v>400</v>
      </c>
      <c r="AS147" s="23">
        <f>294.1+(1/(4.84*10^-10*8.9^7.93))</f>
        <v>355.26343750987434</v>
      </c>
      <c r="AT147" s="23">
        <f>294.1+(1/(4.84*10^-10*(8.9+2.1)^7.93))</f>
        <v>305.5001520829469</v>
      </c>
      <c r="AU147" s="23">
        <f>294.1+(1/(4.84*10^-10*(8.9-2.1)^7.93))</f>
        <v>810.94338311864931</v>
      </c>
      <c r="AV147" s="95" t="s">
        <v>236</v>
      </c>
      <c r="AW147" s="95"/>
      <c r="AX147" s="29" t="s">
        <v>13</v>
      </c>
      <c r="AY147" s="16" t="s">
        <v>842</v>
      </c>
      <c r="AZ147" s="97" t="s">
        <v>13</v>
      </c>
      <c r="BA147" s="97">
        <v>2.6309149999999999</v>
      </c>
      <c r="BB147" s="59"/>
      <c r="BC147" s="59"/>
      <c r="BD147" s="29">
        <v>306.6508</v>
      </c>
      <c r="BE147" s="39" t="s">
        <v>239</v>
      </c>
      <c r="BF147" s="29">
        <f t="shared" si="55"/>
        <v>278.49439999999998</v>
      </c>
      <c r="BG147" s="29">
        <f t="shared" si="55"/>
        <v>334.3288</v>
      </c>
      <c r="BH147" s="29" t="s">
        <v>542</v>
      </c>
      <c r="BI147" s="23" t="s">
        <v>419</v>
      </c>
      <c r="BJ147" s="29">
        <v>278.49439999999998</v>
      </c>
      <c r="BK147" s="29">
        <v>334.3288</v>
      </c>
      <c r="BL147" s="29" t="s">
        <v>843</v>
      </c>
      <c r="BM147" s="25" t="s">
        <v>13</v>
      </c>
      <c r="BO147" s="44"/>
      <c r="CA147" s="25" t="s">
        <v>13</v>
      </c>
      <c r="CC147" s="25" t="s">
        <v>13</v>
      </c>
    </row>
    <row r="148" spans="1:81">
      <c r="A148" s="7" t="s">
        <v>39</v>
      </c>
      <c r="B148" s="25" t="s">
        <v>273</v>
      </c>
      <c r="C148" s="80">
        <v>290.47194000000002</v>
      </c>
      <c r="D148" s="81"/>
      <c r="E148" s="81"/>
      <c r="F148" s="23">
        <f t="shared" si="56"/>
        <v>461.42857142857144</v>
      </c>
      <c r="G148" s="23" t="s">
        <v>389</v>
      </c>
      <c r="H148" s="23">
        <f t="shared" ref="H148:I166" si="64">M148*$P148/$O148</f>
        <v>143.77571428571432</v>
      </c>
      <c r="I148" s="23">
        <f t="shared" si="64"/>
        <v>677.73</v>
      </c>
      <c r="J148" s="23" t="s">
        <v>402</v>
      </c>
      <c r="K148" s="23" t="s">
        <v>401</v>
      </c>
      <c r="L148" s="31">
        <v>1700</v>
      </c>
      <c r="M148" s="31">
        <v>529.70000000000005</v>
      </c>
      <c r="N148" s="31">
        <v>2496.9</v>
      </c>
      <c r="O148" s="31">
        <v>7000</v>
      </c>
      <c r="P148" s="22">
        <v>1900</v>
      </c>
      <c r="Q148" s="22" t="s">
        <v>550</v>
      </c>
      <c r="R148" s="26" t="s">
        <v>13</v>
      </c>
      <c r="S148" s="6" t="s">
        <v>264</v>
      </c>
      <c r="T148" s="44"/>
      <c r="U148" s="72">
        <v>2.8514999999999899</v>
      </c>
      <c r="V148" s="26"/>
      <c r="W148" s="26"/>
      <c r="X148" s="26">
        <v>293.9200246196408</v>
      </c>
      <c r="Y148" s="26" t="s">
        <v>389</v>
      </c>
      <c r="Z148" s="26">
        <f t="shared" si="51"/>
        <v>268.86653940282241</v>
      </c>
      <c r="AA148" s="26">
        <f t="shared" si="52"/>
        <v>319.81318285792292</v>
      </c>
      <c r="AB148" s="26" t="s">
        <v>429</v>
      </c>
      <c r="AC148" s="26" t="s">
        <v>418</v>
      </c>
      <c r="AD148" s="26">
        <v>243.813054186004</v>
      </c>
      <c r="AE148" s="26">
        <v>345.70634109620499</v>
      </c>
      <c r="AF148" s="26" t="s">
        <v>394</v>
      </c>
      <c r="AG148" s="25" t="s">
        <v>13</v>
      </c>
      <c r="AH148" s="6" t="s">
        <v>61</v>
      </c>
      <c r="AI148" s="21" t="s">
        <v>58</v>
      </c>
      <c r="AJ148" s="62">
        <f t="shared" si="58"/>
        <v>11.96</v>
      </c>
      <c r="AK148" s="62">
        <v>12.29</v>
      </c>
      <c r="AL148" s="62">
        <v>11.63</v>
      </c>
      <c r="AM148" s="24">
        <f>AS148</f>
        <v>468.21830831438854</v>
      </c>
      <c r="AN148" s="26" t="s">
        <v>389</v>
      </c>
      <c r="AO148" s="66">
        <f>AM148*0.7</f>
        <v>327.75281582007193</v>
      </c>
      <c r="AP148" s="100">
        <f>AM148*1.65</f>
        <v>772.56020871874102</v>
      </c>
      <c r="AQ148" s="29" t="s">
        <v>512</v>
      </c>
      <c r="AR148" s="23" t="s">
        <v>400</v>
      </c>
      <c r="AS148" s="23">
        <f>294.1+(1/(4.84*10^-10*7.8^7.93))</f>
        <v>468.21830831438854</v>
      </c>
      <c r="AT148" s="23">
        <f>294.1+(1/(4.84*10^-10*(7.8+0.7)^7.93))</f>
        <v>382.17700887795252</v>
      </c>
      <c r="AU148" s="23">
        <f>294.1+(1/(4.84*10^-10*(7.8-0.7)^7.93))</f>
        <v>661.10833967889027</v>
      </c>
      <c r="AV148" s="95" t="s">
        <v>236</v>
      </c>
      <c r="AW148" s="95"/>
      <c r="AX148" s="29" t="s">
        <v>13</v>
      </c>
      <c r="AY148" s="16" t="s">
        <v>842</v>
      </c>
      <c r="AZ148" s="97" t="s">
        <v>13</v>
      </c>
      <c r="BA148" s="97">
        <v>2.6482579999999998</v>
      </c>
      <c r="BB148" s="59"/>
      <c r="BC148" s="59"/>
      <c r="BD148" s="29">
        <v>340.13050000000004</v>
      </c>
      <c r="BE148" s="39" t="s">
        <v>239</v>
      </c>
      <c r="BF148" s="29">
        <f t="shared" si="55"/>
        <v>309.20209999999997</v>
      </c>
      <c r="BG148" s="29">
        <f t="shared" si="55"/>
        <v>372.43079999999998</v>
      </c>
      <c r="BH148" s="29" t="s">
        <v>542</v>
      </c>
      <c r="BI148" s="23" t="s">
        <v>419</v>
      </c>
      <c r="BJ148" s="29">
        <v>309.20209999999997</v>
      </c>
      <c r="BK148" s="29">
        <v>372.43079999999998</v>
      </c>
      <c r="BL148" s="29" t="s">
        <v>843</v>
      </c>
      <c r="BM148" s="25" t="s">
        <v>13</v>
      </c>
      <c r="BO148" s="44"/>
      <c r="CA148" s="25" t="s">
        <v>13</v>
      </c>
      <c r="CC148" s="25" t="s">
        <v>13</v>
      </c>
    </row>
    <row r="149" spans="1:81">
      <c r="A149" s="7" t="s">
        <v>39</v>
      </c>
      <c r="B149" s="25" t="s">
        <v>273</v>
      </c>
      <c r="C149" s="80">
        <v>290.41899999999998</v>
      </c>
      <c r="D149" s="81"/>
      <c r="E149" s="81"/>
      <c r="F149" s="23">
        <f t="shared" si="56"/>
        <v>1700</v>
      </c>
      <c r="G149" s="23" t="s">
        <v>389</v>
      </c>
      <c r="H149" s="23">
        <f t="shared" si="64"/>
        <v>529.70000000000005</v>
      </c>
      <c r="I149" s="23">
        <f t="shared" si="64"/>
        <v>2496.9</v>
      </c>
      <c r="J149" s="23" t="s">
        <v>402</v>
      </c>
      <c r="K149" s="23" t="s">
        <v>401</v>
      </c>
      <c r="L149" s="31">
        <v>1700</v>
      </c>
      <c r="M149" s="31">
        <v>529.70000000000005</v>
      </c>
      <c r="N149" s="31">
        <v>2496.9</v>
      </c>
      <c r="O149" s="31">
        <v>2000</v>
      </c>
      <c r="P149" s="22">
        <v>2000</v>
      </c>
      <c r="Q149" s="22" t="s">
        <v>551</v>
      </c>
      <c r="R149" s="26" t="s">
        <v>13</v>
      </c>
      <c r="S149" s="6" t="s">
        <v>264</v>
      </c>
      <c r="T149" s="44"/>
      <c r="U149" s="72">
        <v>2.8615999999999997</v>
      </c>
      <c r="V149" s="26"/>
      <c r="W149" s="26"/>
      <c r="X149" s="26">
        <v>287.61693156822099</v>
      </c>
      <c r="Y149" s="26" t="s">
        <v>389</v>
      </c>
      <c r="Z149" s="26">
        <f t="shared" si="51"/>
        <v>268.9515392842485</v>
      </c>
      <c r="AA149" s="26">
        <f t="shared" si="52"/>
        <v>306.74964864293401</v>
      </c>
      <c r="AB149" s="26" t="s">
        <v>429</v>
      </c>
      <c r="AC149" s="26" t="s">
        <v>418</v>
      </c>
      <c r="AD149" s="26">
        <v>250.286147000276</v>
      </c>
      <c r="AE149" s="26">
        <v>325.88236571764702</v>
      </c>
      <c r="AF149" s="26" t="s">
        <v>394</v>
      </c>
      <c r="AG149" s="25" t="s">
        <v>13</v>
      </c>
      <c r="AH149" s="6" t="s">
        <v>61</v>
      </c>
      <c r="AI149" s="21" t="s">
        <v>57</v>
      </c>
      <c r="AJ149" s="62">
        <f t="shared" si="58"/>
        <v>34.450000000000003</v>
      </c>
      <c r="AK149" s="62">
        <v>35</v>
      </c>
      <c r="AL149" s="62">
        <v>33.9</v>
      </c>
      <c r="AM149" s="26">
        <f t="shared" ref="AM149:AM168" si="65">AVERAGE(AO149:AP149)</f>
        <v>672.22222222222217</v>
      </c>
      <c r="AN149" s="26" t="s">
        <v>389</v>
      </c>
      <c r="AO149" s="66">
        <f>12.1/8.1*1*300</f>
        <v>448.14814814814815</v>
      </c>
      <c r="AP149" s="100">
        <f>12.1/8.1*2*300</f>
        <v>896.2962962962963</v>
      </c>
      <c r="AQ149" s="29" t="s">
        <v>426</v>
      </c>
      <c r="AR149" s="26" t="s">
        <v>422</v>
      </c>
      <c r="AS149" s="23">
        <f>294.1+(1/(4.84*10^-10*(8.1)^7.93))</f>
        <v>423.18281822388462</v>
      </c>
      <c r="AT149" s="23">
        <f>294.1+(1/(4.84*10^-10*(8.1+1.1)^7.93))</f>
        <v>341.12374000404691</v>
      </c>
      <c r="AU149" s="23">
        <f>294.1+(1/(4.84*10^-10*(8.1-1.1)^7.93))</f>
        <v>704.80234355977109</v>
      </c>
      <c r="AV149" s="29" t="s">
        <v>60</v>
      </c>
      <c r="AW149" s="29" t="s">
        <v>822</v>
      </c>
      <c r="AX149" s="29" t="s">
        <v>13</v>
      </c>
      <c r="AY149" s="16" t="s">
        <v>842</v>
      </c>
      <c r="AZ149" s="97" t="s">
        <v>13</v>
      </c>
      <c r="BA149" s="97">
        <v>2.6646969999999999</v>
      </c>
      <c r="BB149" s="59"/>
      <c r="BC149" s="59"/>
      <c r="BD149" s="29">
        <v>361.27420000000001</v>
      </c>
      <c r="BE149" s="39" t="s">
        <v>239</v>
      </c>
      <c r="BF149" s="29">
        <f t="shared" si="55"/>
        <v>328.60129999999998</v>
      </c>
      <c r="BG149" s="29">
        <f t="shared" si="55"/>
        <v>395.87139999999999</v>
      </c>
      <c r="BH149" s="29" t="s">
        <v>542</v>
      </c>
      <c r="BI149" s="23" t="s">
        <v>419</v>
      </c>
      <c r="BJ149" s="29">
        <v>328.60129999999998</v>
      </c>
      <c r="BK149" s="29">
        <v>395.87139999999999</v>
      </c>
      <c r="BL149" s="29" t="s">
        <v>843</v>
      </c>
      <c r="BM149" s="25" t="s">
        <v>13</v>
      </c>
      <c r="BO149" s="44"/>
      <c r="CA149" s="25" t="s">
        <v>13</v>
      </c>
      <c r="CC149" s="25" t="s">
        <v>13</v>
      </c>
    </row>
    <row r="150" spans="1:81">
      <c r="A150" s="7" t="s">
        <v>39</v>
      </c>
      <c r="B150" s="25" t="s">
        <v>273</v>
      </c>
      <c r="C150" s="82">
        <v>290.41899999999998</v>
      </c>
      <c r="D150" s="82"/>
      <c r="E150" s="81"/>
      <c r="F150" s="23">
        <f t="shared" si="56"/>
        <v>419.33333333333331</v>
      </c>
      <c r="G150" s="23" t="s">
        <v>389</v>
      </c>
      <c r="H150" s="23">
        <f t="shared" si="64"/>
        <v>130.65933333333334</v>
      </c>
      <c r="I150" s="23">
        <f t="shared" si="64"/>
        <v>615.90200000000004</v>
      </c>
      <c r="J150" s="23" t="s">
        <v>402</v>
      </c>
      <c r="K150" s="23" t="s">
        <v>401</v>
      </c>
      <c r="L150" s="31">
        <v>1700</v>
      </c>
      <c r="M150" s="31">
        <v>529.70000000000005</v>
      </c>
      <c r="N150" s="31">
        <v>2496.9</v>
      </c>
      <c r="O150" s="31">
        <v>7500</v>
      </c>
      <c r="P150" s="22">
        <v>1850</v>
      </c>
      <c r="Q150" s="22" t="s">
        <v>552</v>
      </c>
      <c r="R150" s="26" t="s">
        <v>13</v>
      </c>
      <c r="S150" s="6" t="s">
        <v>264</v>
      </c>
      <c r="T150" s="44"/>
      <c r="U150" s="72">
        <v>2.9016333333333302</v>
      </c>
      <c r="V150" s="26"/>
      <c r="W150" s="26"/>
      <c r="X150" s="26">
        <v>269.94279378033445</v>
      </c>
      <c r="Y150" s="26" t="s">
        <v>389</v>
      </c>
      <c r="Z150" s="26">
        <f t="shared" si="51"/>
        <v>252.01807744356671</v>
      </c>
      <c r="AA150" s="26">
        <f t="shared" si="52"/>
        <v>288.2112460476252</v>
      </c>
      <c r="AB150" s="26" t="s">
        <v>429</v>
      </c>
      <c r="AC150" s="26" t="s">
        <v>418</v>
      </c>
      <c r="AD150" s="26">
        <v>234.09336110679899</v>
      </c>
      <c r="AE150" s="26">
        <v>306.47969831491599</v>
      </c>
      <c r="AF150" s="26" t="s">
        <v>394</v>
      </c>
      <c r="AG150" s="25" t="s">
        <v>13</v>
      </c>
      <c r="AH150" s="6" t="s">
        <v>61</v>
      </c>
      <c r="AI150" s="21" t="s">
        <v>56</v>
      </c>
      <c r="AJ150" s="62">
        <f t="shared" si="58"/>
        <v>35.5</v>
      </c>
      <c r="AK150" s="62">
        <v>36</v>
      </c>
      <c r="AL150" s="62">
        <v>35</v>
      </c>
      <c r="AM150" s="26">
        <f t="shared" si="65"/>
        <v>745.89041095890411</v>
      </c>
      <c r="AN150" s="26" t="s">
        <v>389</v>
      </c>
      <c r="AO150" s="66">
        <f>12.1/7.3*1*300</f>
        <v>497.2602739726027</v>
      </c>
      <c r="AP150" s="100">
        <f>12.1/7.3*2*300</f>
        <v>994.52054794520541</v>
      </c>
      <c r="AQ150" s="29" t="s">
        <v>426</v>
      </c>
      <c r="AR150" s="26" t="s">
        <v>422</v>
      </c>
      <c r="AS150" s="23">
        <f>294.1+(1/(4.84*10^-10*(7.3)^7.93))</f>
        <v>588.54511775247636</v>
      </c>
      <c r="AT150" s="23">
        <f>294.1+(1/(4.84*10^-10*(7.3+0.8)^7.93))</f>
        <v>423.18281822388462</v>
      </c>
      <c r="AU150" s="23">
        <f>294.1+(1/(4.84*10^-10*(7.3-0.8)^7.93))</f>
        <v>1033.2825743451226</v>
      </c>
      <c r="AV150" s="29" t="s">
        <v>60</v>
      </c>
      <c r="AW150" s="29" t="s">
        <v>822</v>
      </c>
      <c r="AX150" s="29" t="s">
        <v>13</v>
      </c>
      <c r="AY150" s="16" t="s">
        <v>842</v>
      </c>
      <c r="AZ150" s="97" t="s">
        <v>13</v>
      </c>
      <c r="BA150" s="97">
        <v>2.6730160000000001</v>
      </c>
      <c r="BB150" s="59"/>
      <c r="BC150" s="59"/>
      <c r="BD150" s="29">
        <v>322.38420000000002</v>
      </c>
      <c r="BE150" s="39" t="s">
        <v>239</v>
      </c>
      <c r="BF150" s="29">
        <f t="shared" si="55"/>
        <v>293.2278</v>
      </c>
      <c r="BG150" s="29">
        <f t="shared" si="55"/>
        <v>351.57089999999999</v>
      </c>
      <c r="BH150" s="29" t="s">
        <v>542</v>
      </c>
      <c r="BI150" s="23" t="s">
        <v>419</v>
      </c>
      <c r="BJ150" s="29">
        <v>293.2278</v>
      </c>
      <c r="BK150" s="29">
        <v>351.57089999999999</v>
      </c>
      <c r="BL150" s="29" t="s">
        <v>843</v>
      </c>
      <c r="BM150" s="25" t="s">
        <v>13</v>
      </c>
      <c r="BO150" s="44"/>
      <c r="CA150" s="25" t="s">
        <v>13</v>
      </c>
      <c r="CC150" s="25" t="s">
        <v>13</v>
      </c>
    </row>
    <row r="151" spans="1:81">
      <c r="A151" s="7" t="s">
        <v>39</v>
      </c>
      <c r="B151" s="25" t="s">
        <v>273</v>
      </c>
      <c r="C151" s="80">
        <v>290.20724000000001</v>
      </c>
      <c r="D151" s="81"/>
      <c r="E151" s="81"/>
      <c r="F151" s="23">
        <f t="shared" si="56"/>
        <v>410.75285714285712</v>
      </c>
      <c r="G151" s="23" t="s">
        <v>389</v>
      </c>
      <c r="H151" s="23">
        <f t="shared" si="64"/>
        <v>95.841428571428565</v>
      </c>
      <c r="I151" s="23">
        <f t="shared" si="64"/>
        <v>538.40571428571434</v>
      </c>
      <c r="J151" s="23" t="s">
        <v>402</v>
      </c>
      <c r="K151" s="23" t="s">
        <v>401</v>
      </c>
      <c r="L151" s="31">
        <v>1513.3</v>
      </c>
      <c r="M151" s="31">
        <v>353.1</v>
      </c>
      <c r="N151" s="31">
        <v>1983.6</v>
      </c>
      <c r="O151" s="31">
        <v>7000</v>
      </c>
      <c r="P151" s="22">
        <v>1900</v>
      </c>
      <c r="Q151" s="22" t="s">
        <v>550</v>
      </c>
      <c r="R151" s="26" t="s">
        <v>13</v>
      </c>
      <c r="S151" s="6" t="s">
        <v>264</v>
      </c>
      <c r="T151" s="44"/>
      <c r="U151" s="72">
        <v>2.91737</v>
      </c>
      <c r="V151" s="26"/>
      <c r="W151" s="26"/>
      <c r="X151" s="26">
        <v>278.400464299828</v>
      </c>
      <c r="Y151" s="26" t="s">
        <v>389</v>
      </c>
      <c r="Z151" s="26">
        <f t="shared" si="51"/>
        <v>260.0246534098145</v>
      </c>
      <c r="AA151" s="26">
        <f t="shared" si="52"/>
        <v>296.90334580336253</v>
      </c>
      <c r="AB151" s="26" t="s">
        <v>429</v>
      </c>
      <c r="AC151" s="26" t="s">
        <v>418</v>
      </c>
      <c r="AD151" s="26">
        <v>241.64884251980101</v>
      </c>
      <c r="AE151" s="26">
        <v>315.40622730689699</v>
      </c>
      <c r="AF151" s="26" t="s">
        <v>394</v>
      </c>
      <c r="AG151" s="25" t="s">
        <v>13</v>
      </c>
      <c r="AH151" s="6" t="s">
        <v>61</v>
      </c>
      <c r="AI151" s="21" t="s">
        <v>55</v>
      </c>
      <c r="AJ151" s="62">
        <f t="shared" si="58"/>
        <v>46.4</v>
      </c>
      <c r="AK151" s="62">
        <v>47.8</v>
      </c>
      <c r="AL151" s="62">
        <v>45</v>
      </c>
      <c r="AM151" s="26">
        <f t="shared" si="65"/>
        <v>907.5</v>
      </c>
      <c r="AN151" s="26" t="s">
        <v>389</v>
      </c>
      <c r="AO151" s="66">
        <f>12.1/6*1*300</f>
        <v>605</v>
      </c>
      <c r="AP151" s="100">
        <f>12.1/6*2*300</f>
        <v>1210</v>
      </c>
      <c r="AQ151" s="29" t="s">
        <v>426</v>
      </c>
      <c r="AR151" s="26" t="s">
        <v>422</v>
      </c>
      <c r="AS151" s="23">
        <f>294.1+(1/(4.84*10^-10*(6)^7.93))</f>
        <v>1688.5894174109985</v>
      </c>
      <c r="AT151" s="23">
        <f>294.1+(1/(4.84*10^-10*(6+1.2)^7.93))</f>
        <v>622.57925093071185</v>
      </c>
      <c r="AU151" s="23">
        <f>294.1+(1/(4.84*10^-10*(6-1.2)^7.93))</f>
        <v>8477.0825671823823</v>
      </c>
      <c r="AV151" s="29" t="s">
        <v>60</v>
      </c>
      <c r="AW151" s="29" t="s">
        <v>822</v>
      </c>
      <c r="AX151" s="29" t="s">
        <v>13</v>
      </c>
      <c r="AY151" s="16" t="s">
        <v>842</v>
      </c>
      <c r="AZ151" s="97" t="s">
        <v>13</v>
      </c>
      <c r="BA151" s="97">
        <v>2.6803590000000002</v>
      </c>
      <c r="BB151" s="59"/>
      <c r="BC151" s="59"/>
      <c r="BD151" s="29">
        <v>377.8485</v>
      </c>
      <c r="BE151" s="39" t="s">
        <v>239</v>
      </c>
      <c r="BF151" s="29">
        <f t="shared" si="55"/>
        <v>343.19469999999995</v>
      </c>
      <c r="BG151" s="29">
        <f t="shared" si="55"/>
        <v>413.45699999999999</v>
      </c>
      <c r="BH151" s="29" t="s">
        <v>542</v>
      </c>
      <c r="BI151" s="23" t="s">
        <v>419</v>
      </c>
      <c r="BJ151" s="29">
        <v>343.19469999999995</v>
      </c>
      <c r="BK151" s="29">
        <v>413.45699999999999</v>
      </c>
      <c r="BL151" s="29" t="s">
        <v>843</v>
      </c>
      <c r="BM151" s="25" t="s">
        <v>13</v>
      </c>
      <c r="BO151" s="44"/>
      <c r="CA151" s="25" t="s">
        <v>13</v>
      </c>
      <c r="CC151" s="25" t="s">
        <v>13</v>
      </c>
    </row>
    <row r="152" spans="1:81">
      <c r="A152" s="7" t="s">
        <v>39</v>
      </c>
      <c r="B152" s="25" t="s">
        <v>273</v>
      </c>
      <c r="C152" s="80">
        <v>289.86266000000001</v>
      </c>
      <c r="D152" s="81"/>
      <c r="E152" s="81"/>
      <c r="F152" s="23">
        <f t="shared" si="56"/>
        <v>620</v>
      </c>
      <c r="G152" s="23" t="s">
        <v>389</v>
      </c>
      <c r="H152" s="23">
        <f t="shared" si="64"/>
        <v>102.05</v>
      </c>
      <c r="I152" s="23">
        <f t="shared" si="64"/>
        <v>770.35</v>
      </c>
      <c r="J152" s="23" t="s">
        <v>402</v>
      </c>
      <c r="K152" s="23" t="s">
        <v>401</v>
      </c>
      <c r="L152" s="31">
        <v>1240</v>
      </c>
      <c r="M152" s="31">
        <v>204.1</v>
      </c>
      <c r="N152" s="31">
        <v>1540.7</v>
      </c>
      <c r="O152" s="31">
        <v>4000</v>
      </c>
      <c r="P152" s="22">
        <v>2000</v>
      </c>
      <c r="Q152" s="22" t="s">
        <v>553</v>
      </c>
      <c r="R152" s="26" t="s">
        <v>13</v>
      </c>
      <c r="S152" s="6" t="s">
        <v>264</v>
      </c>
      <c r="T152" s="44"/>
      <c r="U152" s="72">
        <v>2.9266999999999999</v>
      </c>
      <c r="V152" s="26"/>
      <c r="W152" s="26"/>
      <c r="X152" s="26">
        <v>269.73342162946511</v>
      </c>
      <c r="Y152" s="26" t="s">
        <v>389</v>
      </c>
      <c r="Z152" s="26">
        <f t="shared" si="51"/>
        <v>252.18256318857107</v>
      </c>
      <c r="AA152" s="26">
        <f t="shared" si="52"/>
        <v>287.77004765093204</v>
      </c>
      <c r="AB152" s="26" t="s">
        <v>429</v>
      </c>
      <c r="AC152" s="26" t="s">
        <v>418</v>
      </c>
      <c r="AD152" s="26">
        <v>234.63170474767699</v>
      </c>
      <c r="AE152" s="26">
        <v>305.80667367239897</v>
      </c>
      <c r="AF152" s="26" t="s">
        <v>394</v>
      </c>
      <c r="AG152" s="25" t="s">
        <v>13</v>
      </c>
      <c r="AH152" s="6" t="s">
        <v>61</v>
      </c>
      <c r="AI152" s="21" t="s">
        <v>54</v>
      </c>
      <c r="AJ152" s="62">
        <f t="shared" si="58"/>
        <v>118</v>
      </c>
      <c r="AK152" s="62">
        <v>123</v>
      </c>
      <c r="AL152" s="62">
        <v>113</v>
      </c>
      <c r="AM152" s="26">
        <f t="shared" si="65"/>
        <v>892.62295081967204</v>
      </c>
      <c r="AN152" s="26" t="s">
        <v>389</v>
      </c>
      <c r="AO152" s="66">
        <f>12.1/6.1*1*300</f>
        <v>595.08196721311469</v>
      </c>
      <c r="AP152" s="100">
        <f>12.1/6.1*2*300</f>
        <v>1190.1639344262294</v>
      </c>
      <c r="AQ152" s="29" t="s">
        <v>426</v>
      </c>
      <c r="AR152" s="26" t="s">
        <v>422</v>
      </c>
      <c r="AS152" s="23">
        <f>294.1+(1/(4.84*10^-10*(6.1)^7.93))</f>
        <v>1517.2762691049638</v>
      </c>
      <c r="AT152" s="23">
        <f>294.1+(1/(4.84*10^-10*(6.1+0.8)^7.93))</f>
        <v>754.44279349102612</v>
      </c>
      <c r="AU152" s="23">
        <f>294.1+(1/(4.84*10^-10*(6.1-0.8)^7.93))</f>
        <v>4023.5689214271051</v>
      </c>
      <c r="AV152" s="29" t="s">
        <v>60</v>
      </c>
      <c r="AW152" s="29" t="s">
        <v>822</v>
      </c>
      <c r="AX152" s="29" t="s">
        <v>13</v>
      </c>
      <c r="AY152" s="16" t="s">
        <v>842</v>
      </c>
      <c r="AZ152" s="97" t="s">
        <v>13</v>
      </c>
      <c r="BA152" s="97">
        <v>2.6865600000000001</v>
      </c>
      <c r="BB152" s="59"/>
      <c r="BC152" s="59"/>
      <c r="BD152" s="29">
        <v>341.19759999999997</v>
      </c>
      <c r="BE152" s="39" t="s">
        <v>239</v>
      </c>
      <c r="BF152" s="29">
        <f t="shared" si="55"/>
        <v>310.19370000000004</v>
      </c>
      <c r="BG152" s="29">
        <f t="shared" si="55"/>
        <v>372.0292</v>
      </c>
      <c r="BH152" s="29" t="s">
        <v>542</v>
      </c>
      <c r="BI152" s="23" t="s">
        <v>419</v>
      </c>
      <c r="BJ152" s="29">
        <v>310.19370000000004</v>
      </c>
      <c r="BK152" s="29">
        <v>372.0292</v>
      </c>
      <c r="BL152" s="29" t="s">
        <v>843</v>
      </c>
      <c r="BM152" s="25" t="s">
        <v>13</v>
      </c>
      <c r="BO152" s="44"/>
      <c r="CA152" s="25" t="s">
        <v>13</v>
      </c>
      <c r="CC152" s="25" t="s">
        <v>13</v>
      </c>
    </row>
    <row r="153" spans="1:81">
      <c r="A153" s="7" t="s">
        <v>39</v>
      </c>
      <c r="B153" s="25" t="s">
        <v>273</v>
      </c>
      <c r="C153" s="82">
        <v>289.37174000000005</v>
      </c>
      <c r="D153" s="82"/>
      <c r="E153" s="81"/>
      <c r="F153" s="23">
        <f t="shared" si="56"/>
        <v>182.20090909090908</v>
      </c>
      <c r="G153" s="23" t="s">
        <v>389</v>
      </c>
      <c r="H153" s="23">
        <f t="shared" si="64"/>
        <v>11.097272727272728</v>
      </c>
      <c r="I153" s="23">
        <f t="shared" si="64"/>
        <v>353.30454545454546</v>
      </c>
      <c r="J153" s="23" t="s">
        <v>402</v>
      </c>
      <c r="K153" s="23" t="s">
        <v>401</v>
      </c>
      <c r="L153" s="31">
        <v>513.9</v>
      </c>
      <c r="M153" s="31">
        <v>31.3</v>
      </c>
      <c r="N153" s="31">
        <v>996.5</v>
      </c>
      <c r="O153" s="31">
        <v>5500</v>
      </c>
      <c r="P153" s="22">
        <v>1950</v>
      </c>
      <c r="Q153" s="22" t="s">
        <v>554</v>
      </c>
      <c r="R153" s="26" t="s">
        <v>13</v>
      </c>
      <c r="S153" s="6" t="s">
        <v>264</v>
      </c>
      <c r="T153" s="44"/>
      <c r="U153" s="72">
        <v>2.9436399999999998</v>
      </c>
      <c r="V153" s="26"/>
      <c r="W153" s="26"/>
      <c r="X153" s="26">
        <v>307.3222955339748</v>
      </c>
      <c r="Y153" s="26" t="s">
        <v>389</v>
      </c>
      <c r="Z153" s="26">
        <f t="shared" si="51"/>
        <v>284.78802366000491</v>
      </c>
      <c r="AA153" s="26">
        <f t="shared" si="52"/>
        <v>330.07687360087436</v>
      </c>
      <c r="AB153" s="26" t="s">
        <v>429</v>
      </c>
      <c r="AC153" s="26" t="s">
        <v>418</v>
      </c>
      <c r="AD153" s="26">
        <v>262.25375178603502</v>
      </c>
      <c r="AE153" s="26">
        <v>352.83145166777399</v>
      </c>
      <c r="AF153" s="26" t="s">
        <v>394</v>
      </c>
      <c r="AG153" s="25" t="s">
        <v>13</v>
      </c>
      <c r="AH153" s="6" t="s">
        <v>61</v>
      </c>
      <c r="AI153" s="21" t="s">
        <v>53</v>
      </c>
      <c r="AJ153" s="62">
        <f t="shared" si="58"/>
        <v>124.65</v>
      </c>
      <c r="AK153" s="62">
        <v>126.3</v>
      </c>
      <c r="AL153" s="62">
        <v>123</v>
      </c>
      <c r="AM153" s="26">
        <f t="shared" si="65"/>
        <v>1008.3333333333333</v>
      </c>
      <c r="AN153" s="26" t="s">
        <v>389</v>
      </c>
      <c r="AO153" s="66">
        <f>12.1/5.4*1*300</f>
        <v>672.22222222222217</v>
      </c>
      <c r="AP153" s="100">
        <f>12.1/5.4*2*300</f>
        <v>1344.4444444444443</v>
      </c>
      <c r="AQ153" s="29" t="s">
        <v>426</v>
      </c>
      <c r="AR153" s="26" t="s">
        <v>422</v>
      </c>
      <c r="AS153" s="23">
        <f>294.1+(1/(4.84*10^-10*(5.4)^7.93))</f>
        <v>3509.774805199881</v>
      </c>
      <c r="AT153" s="23">
        <f>294.1+(1/(4.84*10^-10*(5.4+0.2)^7.93))</f>
        <v>2704.1363012364327</v>
      </c>
      <c r="AU153" s="23">
        <f>294.1+(1/(4.84*10^-10*(5.4-0.2)^7.93))</f>
        <v>4631.686247919436</v>
      </c>
      <c r="AV153" s="29" t="s">
        <v>60</v>
      </c>
      <c r="AW153" s="29" t="s">
        <v>822</v>
      </c>
      <c r="AX153" s="29" t="s">
        <v>13</v>
      </c>
      <c r="AY153" s="16" t="s">
        <v>842</v>
      </c>
      <c r="AZ153" s="97" t="s">
        <v>13</v>
      </c>
      <c r="BA153" s="97">
        <v>2.6951580000000002</v>
      </c>
      <c r="BB153" s="59"/>
      <c r="BC153" s="59"/>
      <c r="BD153" s="29">
        <v>331.43819999999999</v>
      </c>
      <c r="BE153" s="39" t="s">
        <v>239</v>
      </c>
      <c r="BF153" s="29">
        <f t="shared" si="55"/>
        <v>301.35250000000002</v>
      </c>
      <c r="BG153" s="29">
        <f t="shared" si="55"/>
        <v>361.8623</v>
      </c>
      <c r="BH153" s="29" t="s">
        <v>542</v>
      </c>
      <c r="BI153" s="23" t="s">
        <v>419</v>
      </c>
      <c r="BJ153" s="29">
        <v>301.35250000000002</v>
      </c>
      <c r="BK153" s="29">
        <v>361.8623</v>
      </c>
      <c r="BL153" s="29" t="s">
        <v>843</v>
      </c>
      <c r="BM153" s="25" t="s">
        <v>13</v>
      </c>
      <c r="BO153" s="44"/>
      <c r="CA153" s="25" t="s">
        <v>13</v>
      </c>
      <c r="CC153" s="25" t="s">
        <v>13</v>
      </c>
    </row>
    <row r="154" spans="1:81">
      <c r="A154" s="7" t="s">
        <v>39</v>
      </c>
      <c r="B154" s="25" t="s">
        <v>273</v>
      </c>
      <c r="C154" s="80">
        <v>288.88082000000003</v>
      </c>
      <c r="D154" s="81"/>
      <c r="E154" s="81"/>
      <c r="F154" s="23">
        <f t="shared" si="56"/>
        <v>183.08727272727273</v>
      </c>
      <c r="G154" s="23" t="s">
        <v>389</v>
      </c>
      <c r="H154" s="23">
        <f t="shared" si="64"/>
        <v>24.32181818181818</v>
      </c>
      <c r="I154" s="23">
        <f t="shared" si="64"/>
        <v>341.85272727272729</v>
      </c>
      <c r="J154" s="23" t="s">
        <v>402</v>
      </c>
      <c r="K154" s="23" t="s">
        <v>401</v>
      </c>
      <c r="L154" s="31">
        <v>516.4</v>
      </c>
      <c r="M154" s="31">
        <v>68.599999999999994</v>
      </c>
      <c r="N154" s="31">
        <v>964.2</v>
      </c>
      <c r="O154" s="31">
        <v>5500</v>
      </c>
      <c r="P154" s="22">
        <v>1950</v>
      </c>
      <c r="Q154" s="22" t="s">
        <v>554</v>
      </c>
      <c r="R154" s="26" t="s">
        <v>13</v>
      </c>
      <c r="S154" s="6" t="s">
        <v>264</v>
      </c>
      <c r="T154" s="44"/>
      <c r="U154" s="72">
        <v>2.9806999999999997</v>
      </c>
      <c r="V154" s="26"/>
      <c r="W154" s="26"/>
      <c r="X154" s="26">
        <v>258.16447077084558</v>
      </c>
      <c r="Y154" s="26" t="s">
        <v>389</v>
      </c>
      <c r="Z154" s="26">
        <f t="shared" si="51"/>
        <v>241.6094282152028</v>
      </c>
      <c r="AA154" s="26">
        <f t="shared" si="52"/>
        <v>274.89482327975577</v>
      </c>
      <c r="AB154" s="26" t="s">
        <v>429</v>
      </c>
      <c r="AC154" s="26" t="s">
        <v>418</v>
      </c>
      <c r="AD154" s="26">
        <v>225.05438565956001</v>
      </c>
      <c r="AE154" s="26">
        <v>291.62517578866601</v>
      </c>
      <c r="AF154" s="26" t="s">
        <v>394</v>
      </c>
      <c r="AG154" s="25" t="s">
        <v>13</v>
      </c>
      <c r="AH154" s="6" t="s">
        <v>61</v>
      </c>
      <c r="AI154" s="21" t="s">
        <v>52</v>
      </c>
      <c r="AJ154" s="62">
        <f t="shared" si="58"/>
        <v>127.9</v>
      </c>
      <c r="AK154" s="62">
        <v>129.5</v>
      </c>
      <c r="AL154" s="62">
        <v>126.3</v>
      </c>
      <c r="AM154" s="26">
        <f t="shared" si="65"/>
        <v>591.8478260869565</v>
      </c>
      <c r="AN154" s="26" t="s">
        <v>389</v>
      </c>
      <c r="AO154" s="66">
        <f>12.1/9.2*1*300</f>
        <v>394.56521739130437</v>
      </c>
      <c r="AP154" s="100">
        <f>12.1/9.2*2*300</f>
        <v>789.13043478260875</v>
      </c>
      <c r="AQ154" s="29" t="s">
        <v>426</v>
      </c>
      <c r="AR154" s="26" t="s">
        <v>422</v>
      </c>
      <c r="AS154" s="23">
        <f>294.1+(1/(4.84*10^-10*(9.2)^7.93))</f>
        <v>341.12374000404691</v>
      </c>
      <c r="AT154" s="23">
        <f>294.1+(1/(4.84*10^-10*(9.2+0.3)^7.93))</f>
        <v>330.55914236194076</v>
      </c>
      <c r="AU154" s="23">
        <f>294.1+(1/(4.84*10^-10*(9.2-0.3)^7.93))</f>
        <v>355.26343750987434</v>
      </c>
      <c r="AV154" s="29" t="s">
        <v>60</v>
      </c>
      <c r="AW154" s="29" t="s">
        <v>822</v>
      </c>
      <c r="AX154" s="29" t="s">
        <v>13</v>
      </c>
      <c r="AY154" s="16" t="s">
        <v>842</v>
      </c>
      <c r="AZ154" s="97" t="s">
        <v>13</v>
      </c>
      <c r="BA154" s="97">
        <v>2.700043</v>
      </c>
      <c r="BB154" s="59"/>
      <c r="BC154" s="59"/>
      <c r="BD154" s="29">
        <v>290.96539999999999</v>
      </c>
      <c r="BE154" s="39" t="s">
        <v>239</v>
      </c>
      <c r="BF154" s="29">
        <f t="shared" si="55"/>
        <v>263.22489999999999</v>
      </c>
      <c r="BG154" s="29">
        <f t="shared" si="55"/>
        <v>318.87480000000005</v>
      </c>
      <c r="BH154" s="29" t="s">
        <v>542</v>
      </c>
      <c r="BI154" s="23" t="s">
        <v>419</v>
      </c>
      <c r="BJ154" s="29">
        <v>263.22489999999999</v>
      </c>
      <c r="BK154" s="29">
        <v>318.87480000000005</v>
      </c>
      <c r="BL154" s="29" t="s">
        <v>843</v>
      </c>
      <c r="BM154" s="25" t="s">
        <v>13</v>
      </c>
      <c r="BO154" s="44"/>
      <c r="CA154" s="25" t="s">
        <v>13</v>
      </c>
      <c r="CC154" s="25" t="s">
        <v>13</v>
      </c>
    </row>
    <row r="155" spans="1:81">
      <c r="A155" s="7" t="s">
        <v>39</v>
      </c>
      <c r="B155" s="25" t="s">
        <v>273</v>
      </c>
      <c r="C155" s="80">
        <v>287.40806000000003</v>
      </c>
      <c r="D155" s="81"/>
      <c r="E155" s="81"/>
      <c r="F155" s="23">
        <f t="shared" si="56"/>
        <v>396.61357142857145</v>
      </c>
      <c r="G155" s="23" t="s">
        <v>389</v>
      </c>
      <c r="H155" s="23">
        <f t="shared" si="64"/>
        <v>248.87785714285715</v>
      </c>
      <c r="I155" s="23">
        <f t="shared" si="64"/>
        <v>544.32285714285717</v>
      </c>
      <c r="J155" s="23" t="s">
        <v>402</v>
      </c>
      <c r="K155" s="23" t="s">
        <v>401</v>
      </c>
      <c r="L155" s="31">
        <v>1500.7</v>
      </c>
      <c r="M155" s="31">
        <v>941.7</v>
      </c>
      <c r="N155" s="31">
        <v>2059.6</v>
      </c>
      <c r="O155" s="31">
        <v>7000</v>
      </c>
      <c r="P155" s="22">
        <v>1850</v>
      </c>
      <c r="Q155" s="22" t="s">
        <v>555</v>
      </c>
      <c r="R155" s="26" t="s">
        <v>13</v>
      </c>
      <c r="S155" s="6" t="s">
        <v>264</v>
      </c>
      <c r="T155" s="44"/>
      <c r="U155" s="72">
        <v>3.0021888888888797</v>
      </c>
      <c r="V155" s="26"/>
      <c r="W155" s="26"/>
      <c r="X155" s="26">
        <v>255.40982424803025</v>
      </c>
      <c r="Y155" s="26" t="s">
        <v>389</v>
      </c>
      <c r="Z155" s="26">
        <f t="shared" si="51"/>
        <v>238.84582557662813</v>
      </c>
      <c r="AA155" s="26">
        <f t="shared" si="52"/>
        <v>272.07789191894915</v>
      </c>
      <c r="AB155" s="26" t="s">
        <v>429</v>
      </c>
      <c r="AC155" s="26" t="s">
        <v>418</v>
      </c>
      <c r="AD155" s="26">
        <v>222.28182690522601</v>
      </c>
      <c r="AE155" s="26">
        <v>288.74595958986799</v>
      </c>
      <c r="AF155" s="26" t="s">
        <v>394</v>
      </c>
      <c r="AG155" s="25" t="s">
        <v>13</v>
      </c>
      <c r="AH155" s="6" t="s">
        <v>61</v>
      </c>
      <c r="AI155" s="21" t="s">
        <v>279</v>
      </c>
      <c r="AJ155" s="62">
        <f t="shared" si="58"/>
        <v>142</v>
      </c>
      <c r="AK155" s="62">
        <v>143</v>
      </c>
      <c r="AL155" s="62">
        <v>141</v>
      </c>
      <c r="AM155" s="26">
        <f t="shared" si="65"/>
        <v>735.81081081081084</v>
      </c>
      <c r="AN155" s="26" t="s">
        <v>389</v>
      </c>
      <c r="AO155" s="66">
        <f>12.1/7.4*1*300</f>
        <v>490.54054054054052</v>
      </c>
      <c r="AP155" s="100">
        <f>12.1/7.4*2*300</f>
        <v>981.08108108108104</v>
      </c>
      <c r="AQ155" s="29" t="s">
        <v>426</v>
      </c>
      <c r="AR155" s="26" t="s">
        <v>422</v>
      </c>
      <c r="AS155" s="23">
        <f>294.1+(1/(4.84*10^-10*(7.4)^7.93))</f>
        <v>558.43039253004645</v>
      </c>
      <c r="AT155" s="23">
        <f>294.1+(1/(4.84*10^-10*(7.4+2)^7.93))</f>
        <v>333.75069091411768</v>
      </c>
      <c r="AU155" s="23">
        <f>294.1+(1/(4.84*10^-10*(7.4-2)^7.93))</f>
        <v>3509.774805199881</v>
      </c>
      <c r="AV155" s="29" t="s">
        <v>60</v>
      </c>
      <c r="AW155" s="29" t="s">
        <v>822</v>
      </c>
      <c r="AX155" s="29" t="s">
        <v>13</v>
      </c>
      <c r="AY155" s="16" t="s">
        <v>842</v>
      </c>
      <c r="AZ155" s="97" t="s">
        <v>13</v>
      </c>
      <c r="BA155" s="97">
        <v>2.7032029999999998</v>
      </c>
      <c r="BB155" s="59"/>
      <c r="BC155" s="59"/>
      <c r="BD155" s="29">
        <v>372.84050000000002</v>
      </c>
      <c r="BE155" s="39" t="s">
        <v>239</v>
      </c>
      <c r="BF155" s="29">
        <f t="shared" si="55"/>
        <v>338.17690000000005</v>
      </c>
      <c r="BG155" s="29">
        <f t="shared" si="55"/>
        <v>407.57080000000002</v>
      </c>
      <c r="BH155" s="29" t="s">
        <v>542</v>
      </c>
      <c r="BI155" s="23" t="s">
        <v>419</v>
      </c>
      <c r="BJ155" s="29">
        <v>338.17690000000005</v>
      </c>
      <c r="BK155" s="29">
        <v>407.57080000000002</v>
      </c>
      <c r="BL155" s="29" t="s">
        <v>843</v>
      </c>
      <c r="BM155" s="25" t="s">
        <v>13</v>
      </c>
      <c r="BO155" s="44"/>
      <c r="CA155" s="25" t="s">
        <v>13</v>
      </c>
      <c r="CC155" s="25" t="s">
        <v>13</v>
      </c>
    </row>
    <row r="156" spans="1:81">
      <c r="A156" s="7" t="s">
        <v>39</v>
      </c>
      <c r="B156" s="25" t="s">
        <v>273</v>
      </c>
      <c r="C156" s="80">
        <v>287.03987000000001</v>
      </c>
      <c r="D156" s="81"/>
      <c r="E156" s="81"/>
      <c r="F156" s="23">
        <f t="shared" si="56"/>
        <v>1030</v>
      </c>
      <c r="G156" s="23" t="s">
        <v>389</v>
      </c>
      <c r="H156" s="23">
        <f t="shared" si="64"/>
        <v>675.5</v>
      </c>
      <c r="I156" s="23">
        <f t="shared" si="64"/>
        <v>1396</v>
      </c>
      <c r="J156" s="23" t="s">
        <v>402</v>
      </c>
      <c r="K156" s="23" t="s">
        <v>401</v>
      </c>
      <c r="L156" s="31">
        <v>2060</v>
      </c>
      <c r="M156" s="31">
        <v>1351</v>
      </c>
      <c r="N156" s="31">
        <v>2792</v>
      </c>
      <c r="O156" s="31">
        <v>4000</v>
      </c>
      <c r="P156" s="22">
        <v>2000</v>
      </c>
      <c r="Q156" s="22" t="s">
        <v>553</v>
      </c>
      <c r="R156" s="26" t="s">
        <v>13</v>
      </c>
      <c r="S156" s="6" t="s">
        <v>264</v>
      </c>
      <c r="T156" s="44"/>
      <c r="U156" s="72">
        <v>3.0161777777777701</v>
      </c>
      <c r="V156" s="26"/>
      <c r="W156" s="26"/>
      <c r="X156" s="26">
        <v>264.96751002432478</v>
      </c>
      <c r="Y156" s="26" t="s">
        <v>389</v>
      </c>
      <c r="Z156" s="26">
        <f t="shared" si="51"/>
        <v>246.92842156033089</v>
      </c>
      <c r="AA156" s="26">
        <f t="shared" si="52"/>
        <v>282.9435915508729</v>
      </c>
      <c r="AB156" s="26" t="s">
        <v>429</v>
      </c>
      <c r="AC156" s="26" t="s">
        <v>418</v>
      </c>
      <c r="AD156" s="26">
        <v>228.889333096337</v>
      </c>
      <c r="AE156" s="26">
        <v>300.91967307742101</v>
      </c>
      <c r="AF156" s="26" t="s">
        <v>394</v>
      </c>
      <c r="AG156" s="25" t="s">
        <v>13</v>
      </c>
      <c r="AH156" s="6" t="s">
        <v>61</v>
      </c>
      <c r="AI156" s="21" t="s">
        <v>279</v>
      </c>
      <c r="AJ156" s="62">
        <f t="shared" si="58"/>
        <v>142</v>
      </c>
      <c r="AK156" s="62">
        <v>143</v>
      </c>
      <c r="AL156" s="62">
        <v>141</v>
      </c>
      <c r="AM156" s="26">
        <f t="shared" si="65"/>
        <v>812.68656716417911</v>
      </c>
      <c r="AN156" s="26" t="s">
        <v>389</v>
      </c>
      <c r="AO156" s="66">
        <f>12.1/6.7*1*300</f>
        <v>541.79104477611941</v>
      </c>
      <c r="AP156" s="100">
        <f>12.1/6.7*2*300</f>
        <v>1083.5820895522388</v>
      </c>
      <c r="AQ156" s="29" t="s">
        <v>426</v>
      </c>
      <c r="AR156" s="26" t="s">
        <v>422</v>
      </c>
      <c r="AS156" s="23">
        <f>294.1+(1/(4.84*10^-10*(6.7)^7.93))</f>
        <v>875.37474316661519</v>
      </c>
      <c r="AT156" s="23">
        <f>294.1+(1/(4.84*10^-10*(6.7+0.8)^7.93))</f>
        <v>531.73960381267727</v>
      </c>
      <c r="AU156" s="23">
        <f>294.1+(1/(4.84*10^-10*(6.7-0.8)^7.93))</f>
        <v>1887.4023109015006</v>
      </c>
      <c r="AV156" s="29" t="s">
        <v>60</v>
      </c>
      <c r="AW156" s="29" t="s">
        <v>822</v>
      </c>
      <c r="AX156" s="29" t="s">
        <v>13</v>
      </c>
      <c r="AY156" s="16" t="s">
        <v>842</v>
      </c>
      <c r="AZ156" s="97" t="s">
        <v>13</v>
      </c>
      <c r="BA156" s="97">
        <v>2.707214</v>
      </c>
      <c r="BB156" s="59"/>
      <c r="BC156" s="59"/>
      <c r="BD156" s="29">
        <v>320.4495</v>
      </c>
      <c r="BE156" s="39" t="s">
        <v>239</v>
      </c>
      <c r="BF156" s="29">
        <f t="shared" si="55"/>
        <v>290.76980000000003</v>
      </c>
      <c r="BG156" s="29">
        <f t="shared" si="55"/>
        <v>350.22070000000002</v>
      </c>
      <c r="BH156" s="29" t="s">
        <v>542</v>
      </c>
      <c r="BI156" s="23" t="s">
        <v>419</v>
      </c>
      <c r="BJ156" s="29">
        <v>290.76980000000003</v>
      </c>
      <c r="BK156" s="29">
        <v>350.22070000000002</v>
      </c>
      <c r="BL156" s="29" t="s">
        <v>843</v>
      </c>
      <c r="BM156" s="25" t="s">
        <v>13</v>
      </c>
      <c r="BO156" s="44"/>
      <c r="CA156" s="25" t="s">
        <v>13</v>
      </c>
      <c r="CC156" s="25" t="s">
        <v>13</v>
      </c>
    </row>
    <row r="157" spans="1:81">
      <c r="A157" s="7" t="s">
        <v>39</v>
      </c>
      <c r="B157" s="25" t="s">
        <v>273</v>
      </c>
      <c r="C157" s="80">
        <v>286.91714000000007</v>
      </c>
      <c r="D157" s="81"/>
      <c r="E157" s="81"/>
      <c r="F157" s="23">
        <f t="shared" si="56"/>
        <v>1448.9333333333334</v>
      </c>
      <c r="G157" s="23" t="s">
        <v>389</v>
      </c>
      <c r="H157" s="23">
        <f t="shared" si="64"/>
        <v>898.5333333333333</v>
      </c>
      <c r="I157" s="23">
        <f t="shared" si="64"/>
        <v>1999.2666666666667</v>
      </c>
      <c r="J157" s="23" t="s">
        <v>402</v>
      </c>
      <c r="K157" s="23" t="s">
        <v>401</v>
      </c>
      <c r="L157" s="31">
        <v>2173.4</v>
      </c>
      <c r="M157" s="31">
        <v>1347.8</v>
      </c>
      <c r="N157" s="31">
        <v>2998.9</v>
      </c>
      <c r="O157" s="31">
        <v>3000</v>
      </c>
      <c r="P157" s="22">
        <v>2000</v>
      </c>
      <c r="Q157" s="22" t="s">
        <v>556</v>
      </c>
      <c r="R157" s="26" t="s">
        <v>13</v>
      </c>
      <c r="S157" s="6" t="s">
        <v>264</v>
      </c>
      <c r="T157" s="44"/>
      <c r="U157" s="72">
        <v>3.0341399999999998</v>
      </c>
      <c r="V157" s="26"/>
      <c r="W157" s="26"/>
      <c r="X157" s="26">
        <v>262.16563832269833</v>
      </c>
      <c r="Y157" s="26" t="s">
        <v>389</v>
      </c>
      <c r="Z157" s="26">
        <f t="shared" si="51"/>
        <v>240.37252382164516</v>
      </c>
      <c r="AA157" s="26">
        <f t="shared" si="52"/>
        <v>285.08033718717263</v>
      </c>
      <c r="AB157" s="26" t="s">
        <v>429</v>
      </c>
      <c r="AC157" s="26" t="s">
        <v>418</v>
      </c>
      <c r="AD157" s="26">
        <v>218.57940932059199</v>
      </c>
      <c r="AE157" s="26">
        <v>307.99503605164699</v>
      </c>
      <c r="AF157" s="26" t="s">
        <v>394</v>
      </c>
      <c r="AG157" s="25" t="s">
        <v>13</v>
      </c>
      <c r="AH157" s="6" t="s">
        <v>61</v>
      </c>
      <c r="AI157" s="21" t="s">
        <v>51</v>
      </c>
      <c r="AJ157" s="62">
        <f t="shared" si="58"/>
        <v>143.5</v>
      </c>
      <c r="AK157" s="62">
        <v>145</v>
      </c>
      <c r="AL157" s="62">
        <v>142</v>
      </c>
      <c r="AM157" s="26">
        <f t="shared" si="65"/>
        <v>972.32142857142844</v>
      </c>
      <c r="AN157" s="26" t="s">
        <v>389</v>
      </c>
      <c r="AO157" s="66">
        <f>12.1/5.6*1*300</f>
        <v>648.21428571428567</v>
      </c>
      <c r="AP157" s="100">
        <f>12.1/5.6*2*300</f>
        <v>1296.4285714285713</v>
      </c>
      <c r="AQ157" s="29" t="s">
        <v>426</v>
      </c>
      <c r="AR157" s="26" t="s">
        <v>422</v>
      </c>
      <c r="AS157" s="23">
        <f>294.1+(1/(4.84*10^-10*(5.6)^7.93))</f>
        <v>2704.1363012364372</v>
      </c>
      <c r="AT157" s="23">
        <f>294.1+(1/(4.84*10^-10*(5.6+0.1)^7.93))</f>
        <v>2388.5357047372108</v>
      </c>
      <c r="AU157" s="23">
        <f>294.1+(1/(4.84*10^-10*(5.6-0.1)^7.93))</f>
        <v>3074.3158227699005</v>
      </c>
      <c r="AV157" s="29" t="s">
        <v>60</v>
      </c>
      <c r="AW157" s="29" t="s">
        <v>822</v>
      </c>
      <c r="AX157" s="29" t="s">
        <v>13</v>
      </c>
      <c r="AY157" s="16" t="s">
        <v>842</v>
      </c>
      <c r="AZ157" s="97" t="s">
        <v>13</v>
      </c>
      <c r="BA157" s="97">
        <v>2.7455159999999998</v>
      </c>
      <c r="BB157" s="59"/>
      <c r="BC157" s="59"/>
      <c r="BD157" s="29">
        <v>395.79969999999997</v>
      </c>
      <c r="BE157" s="39" t="s">
        <v>239</v>
      </c>
      <c r="BF157" s="29">
        <f t="shared" si="55"/>
        <v>360.13339999999999</v>
      </c>
      <c r="BG157" s="29">
        <f t="shared" si="55"/>
        <v>432.5258</v>
      </c>
      <c r="BH157" s="29" t="s">
        <v>542</v>
      </c>
      <c r="BI157" s="23" t="s">
        <v>419</v>
      </c>
      <c r="BJ157" s="29">
        <v>360.13339999999999</v>
      </c>
      <c r="BK157" s="29">
        <v>432.5258</v>
      </c>
      <c r="BL157" s="29" t="s">
        <v>843</v>
      </c>
      <c r="BM157" s="25" t="s">
        <v>13</v>
      </c>
      <c r="BO157" s="44"/>
      <c r="CA157" s="25" t="s">
        <v>13</v>
      </c>
      <c r="CC157" s="25" t="s">
        <v>13</v>
      </c>
    </row>
    <row r="158" spans="1:81">
      <c r="A158" s="7" t="s">
        <v>39</v>
      </c>
      <c r="B158" s="25" t="s">
        <v>273</v>
      </c>
      <c r="C158" s="80">
        <v>285.81256999999999</v>
      </c>
      <c r="D158" s="81"/>
      <c r="E158" s="81"/>
      <c r="F158" s="23">
        <f t="shared" si="56"/>
        <v>774.43363636363631</v>
      </c>
      <c r="G158" s="23" t="s">
        <v>389</v>
      </c>
      <c r="H158" s="23">
        <f t="shared" si="64"/>
        <v>464.77363636363634</v>
      </c>
      <c r="I158" s="23">
        <f t="shared" si="64"/>
        <v>1084.0581818181818</v>
      </c>
      <c r="J158" s="23" t="s">
        <v>402</v>
      </c>
      <c r="K158" s="23" t="s">
        <v>401</v>
      </c>
      <c r="L158" s="31">
        <v>2184.3000000000002</v>
      </c>
      <c r="M158" s="31">
        <v>1310.9</v>
      </c>
      <c r="N158" s="31">
        <v>3057.6</v>
      </c>
      <c r="O158" s="31">
        <v>5500</v>
      </c>
      <c r="P158" s="22">
        <v>1950</v>
      </c>
      <c r="Q158" s="22" t="s">
        <v>554</v>
      </c>
      <c r="R158" s="26" t="s">
        <v>13</v>
      </c>
      <c r="S158" s="6" t="s">
        <v>264</v>
      </c>
      <c r="T158" s="44"/>
      <c r="U158" s="72">
        <v>3.06914444444444</v>
      </c>
      <c r="V158" s="26"/>
      <c r="W158" s="26"/>
      <c r="X158" s="26">
        <v>283.98819412127403</v>
      </c>
      <c r="Y158" s="26" t="s">
        <v>389</v>
      </c>
      <c r="Z158" s="26">
        <f t="shared" si="51"/>
        <v>252.58900917474904</v>
      </c>
      <c r="AA158" s="26">
        <f t="shared" si="52"/>
        <v>318.07863399416203</v>
      </c>
      <c r="AB158" s="26" t="s">
        <v>429</v>
      </c>
      <c r="AC158" s="26" t="s">
        <v>418</v>
      </c>
      <c r="AD158" s="26">
        <v>221.18982422822401</v>
      </c>
      <c r="AE158" s="26">
        <v>352.16907386704997</v>
      </c>
      <c r="AF158" s="26" t="s">
        <v>394</v>
      </c>
      <c r="AG158" s="25" t="s">
        <v>13</v>
      </c>
      <c r="AH158" s="6" t="s">
        <v>61</v>
      </c>
      <c r="AI158" s="21" t="s">
        <v>280</v>
      </c>
      <c r="AJ158" s="62">
        <f t="shared" si="58"/>
        <v>148</v>
      </c>
      <c r="AK158" s="62">
        <v>149</v>
      </c>
      <c r="AL158" s="62">
        <v>147</v>
      </c>
      <c r="AM158" s="26">
        <f t="shared" si="65"/>
        <v>735.81081081081084</v>
      </c>
      <c r="AN158" s="26" t="s">
        <v>389</v>
      </c>
      <c r="AO158" s="66">
        <f>12.1/7.4*1*300</f>
        <v>490.54054054054052</v>
      </c>
      <c r="AP158" s="100">
        <f>12.1/7.4*2*300</f>
        <v>981.08108108108104</v>
      </c>
      <c r="AQ158" s="29" t="s">
        <v>426</v>
      </c>
      <c r="AR158" s="26" t="s">
        <v>422</v>
      </c>
      <c r="AS158" s="23">
        <f>294.1+(1/(4.84*10^-10*(7.4)^7.93))</f>
        <v>558.43039253004645</v>
      </c>
      <c r="AT158" s="23">
        <f>294.1+(1/(4.84*10^-10*(7.4+0.6)^7.93))</f>
        <v>436.5462568544761</v>
      </c>
      <c r="AU158" s="23">
        <f>294.1+(1/(4.84*10^-10*(7.4-0.6)^7.93))</f>
        <v>810.94338311864931</v>
      </c>
      <c r="AV158" s="29" t="s">
        <v>60</v>
      </c>
      <c r="AW158" s="29" t="s">
        <v>822</v>
      </c>
      <c r="AX158" s="29" t="s">
        <v>13</v>
      </c>
      <c r="AY158" s="16" t="s">
        <v>842</v>
      </c>
      <c r="AZ158" s="97" t="s">
        <v>13</v>
      </c>
      <c r="BA158" s="97">
        <v>2.7514829999999999</v>
      </c>
      <c r="BB158" s="59"/>
      <c r="BC158" s="59"/>
      <c r="BD158" s="29">
        <v>378.14859999999999</v>
      </c>
      <c r="BE158" s="39" t="s">
        <v>239</v>
      </c>
      <c r="BF158" s="29">
        <f t="shared" si="55"/>
        <v>342.9402</v>
      </c>
      <c r="BG158" s="29">
        <f t="shared" si="55"/>
        <v>414.32239999999996</v>
      </c>
      <c r="BH158" s="29" t="s">
        <v>542</v>
      </c>
      <c r="BI158" s="23" t="s">
        <v>419</v>
      </c>
      <c r="BJ158" s="29">
        <v>342.9402</v>
      </c>
      <c r="BK158" s="29">
        <v>414.32239999999996</v>
      </c>
      <c r="BL158" s="29" t="s">
        <v>843</v>
      </c>
      <c r="BM158" s="25" t="s">
        <v>13</v>
      </c>
      <c r="BO158" s="44"/>
      <c r="CA158" s="25" t="s">
        <v>13</v>
      </c>
      <c r="CC158" s="25" t="s">
        <v>13</v>
      </c>
    </row>
    <row r="159" spans="1:81">
      <c r="A159" s="7" t="s">
        <v>39</v>
      </c>
      <c r="B159" s="25" t="s">
        <v>273</v>
      </c>
      <c r="C159" s="80">
        <v>284.95346000000001</v>
      </c>
      <c r="D159" s="81"/>
      <c r="E159" s="81"/>
      <c r="F159" s="23">
        <f t="shared" si="56"/>
        <v>792.09</v>
      </c>
      <c r="G159" s="23" t="s">
        <v>389</v>
      </c>
      <c r="H159" s="23">
        <f t="shared" si="64"/>
        <v>460.05818181818182</v>
      </c>
      <c r="I159" s="23">
        <f t="shared" si="64"/>
        <v>1124.1218181818181</v>
      </c>
      <c r="J159" s="23" t="s">
        <v>402</v>
      </c>
      <c r="K159" s="23" t="s">
        <v>401</v>
      </c>
      <c r="L159" s="31">
        <v>2234.1</v>
      </c>
      <c r="M159" s="31">
        <v>1297.5999999999999</v>
      </c>
      <c r="N159" s="31">
        <v>3170.6</v>
      </c>
      <c r="O159" s="31">
        <v>5500</v>
      </c>
      <c r="P159" s="22">
        <v>1950</v>
      </c>
      <c r="Q159" s="22" t="s">
        <v>554</v>
      </c>
      <c r="R159" s="26" t="s">
        <v>13</v>
      </c>
      <c r="S159" s="6" t="s">
        <v>264</v>
      </c>
      <c r="T159" s="44"/>
      <c r="U159" s="72">
        <v>3.08716666666666</v>
      </c>
      <c r="V159" s="26"/>
      <c r="W159" s="26"/>
      <c r="X159" s="26">
        <v>254.18478713974676</v>
      </c>
      <c r="Y159" s="26" t="s">
        <v>389</v>
      </c>
      <c r="Z159" s="26">
        <f t="shared" si="51"/>
        <v>237.2066117293864</v>
      </c>
      <c r="AA159" s="26">
        <f t="shared" si="52"/>
        <v>271.07938695226591</v>
      </c>
      <c r="AB159" s="26" t="s">
        <v>429</v>
      </c>
      <c r="AC159" s="26" t="s">
        <v>418</v>
      </c>
      <c r="AD159" s="26">
        <v>220.228436319026</v>
      </c>
      <c r="AE159" s="26">
        <v>287.97398676478502</v>
      </c>
      <c r="AF159" s="26" t="s">
        <v>394</v>
      </c>
      <c r="AG159" s="25" t="s">
        <v>13</v>
      </c>
      <c r="AH159" s="6" t="s">
        <v>61</v>
      </c>
      <c r="AI159" s="21" t="s">
        <v>50</v>
      </c>
      <c r="AJ159" s="62">
        <f t="shared" si="58"/>
        <v>153.39999999999998</v>
      </c>
      <c r="AK159" s="62">
        <v>154.69999999999999</v>
      </c>
      <c r="AL159" s="62">
        <v>152.1</v>
      </c>
      <c r="AM159" s="26">
        <f t="shared" si="65"/>
        <v>938.79310344827582</v>
      </c>
      <c r="AN159" s="26" t="s">
        <v>389</v>
      </c>
      <c r="AO159" s="66">
        <f>12.1/5.8*1*300</f>
        <v>625.86206896551721</v>
      </c>
      <c r="AP159" s="100">
        <f>12.1/5.8*2*300</f>
        <v>1251.7241379310344</v>
      </c>
      <c r="AQ159" s="29" t="s">
        <v>426</v>
      </c>
      <c r="AR159" s="26" t="s">
        <v>422</v>
      </c>
      <c r="AS159" s="23">
        <f>294.1+(1/(4.84*10^-10*(5.8)^7.93))</f>
        <v>2118.7125151754299</v>
      </c>
      <c r="AT159" s="23">
        <f>294.1+(1/(4.84*10^-10*(5.8+1)^7.93))</f>
        <v>810.94338311864931</v>
      </c>
      <c r="AU159" s="23">
        <f>294.1+(1/(4.84*10^-10*(5.8-1)^7.93))</f>
        <v>8477.0825671823823</v>
      </c>
      <c r="AV159" s="29" t="s">
        <v>60</v>
      </c>
      <c r="AW159" s="29" t="s">
        <v>822</v>
      </c>
      <c r="AX159" s="29" t="s">
        <v>13</v>
      </c>
      <c r="AY159" s="16" t="s">
        <v>842</v>
      </c>
      <c r="AZ159" s="97" t="s">
        <v>13</v>
      </c>
      <c r="BA159" s="97">
        <v>2.7641870000000002</v>
      </c>
      <c r="BB159" s="59"/>
      <c r="BC159" s="59"/>
      <c r="BD159" s="29">
        <v>413.72680000000003</v>
      </c>
      <c r="BE159" s="39" t="s">
        <v>239</v>
      </c>
      <c r="BF159" s="29">
        <f t="shared" si="55"/>
        <v>375.69310000000002</v>
      </c>
      <c r="BG159" s="29">
        <f t="shared" si="55"/>
        <v>452.07920000000001</v>
      </c>
      <c r="BH159" s="29" t="s">
        <v>542</v>
      </c>
      <c r="BI159" s="23" t="s">
        <v>419</v>
      </c>
      <c r="BJ159" s="29">
        <v>375.69310000000002</v>
      </c>
      <c r="BK159" s="29">
        <v>452.07920000000001</v>
      </c>
      <c r="BL159" s="29" t="s">
        <v>843</v>
      </c>
      <c r="BM159" s="25" t="s">
        <v>13</v>
      </c>
      <c r="BO159" s="44"/>
      <c r="CA159" s="25" t="s">
        <v>13</v>
      </c>
      <c r="CC159" s="25" t="s">
        <v>13</v>
      </c>
    </row>
    <row r="160" spans="1:81">
      <c r="A160" s="7" t="s">
        <v>39</v>
      </c>
      <c r="B160" s="25" t="s">
        <v>273</v>
      </c>
      <c r="C160" s="80">
        <v>284.83073000000007</v>
      </c>
      <c r="D160" s="81"/>
      <c r="E160" s="81"/>
      <c r="F160" s="23">
        <f t="shared" si="56"/>
        <v>792.09</v>
      </c>
      <c r="G160" s="23" t="s">
        <v>389</v>
      </c>
      <c r="H160" s="23">
        <f t="shared" si="64"/>
        <v>460.05818181818182</v>
      </c>
      <c r="I160" s="23">
        <f t="shared" si="64"/>
        <v>1124.1218181818181</v>
      </c>
      <c r="J160" s="23" t="s">
        <v>402</v>
      </c>
      <c r="K160" s="23" t="s">
        <v>401</v>
      </c>
      <c r="L160" s="31">
        <v>2234.1</v>
      </c>
      <c r="M160" s="31">
        <v>1297.5999999999999</v>
      </c>
      <c r="N160" s="31">
        <v>3170.6</v>
      </c>
      <c r="O160" s="31">
        <v>5500</v>
      </c>
      <c r="P160" s="22">
        <v>1950</v>
      </c>
      <c r="Q160" s="22" t="s">
        <v>554</v>
      </c>
      <c r="R160" s="26" t="s">
        <v>13</v>
      </c>
      <c r="S160" s="6" t="s">
        <v>264</v>
      </c>
      <c r="T160" s="44"/>
      <c r="U160" s="72">
        <v>3.0962999999999901</v>
      </c>
      <c r="V160" s="26"/>
      <c r="W160" s="26"/>
      <c r="X160" s="26">
        <v>275.09900790638841</v>
      </c>
      <c r="Y160" s="26" t="s">
        <v>389</v>
      </c>
      <c r="Z160" s="26">
        <f t="shared" si="51"/>
        <v>254.8089026773487</v>
      </c>
      <c r="AA160" s="26">
        <f t="shared" si="52"/>
        <v>295.67514983990418</v>
      </c>
      <c r="AB160" s="26" t="s">
        <v>429</v>
      </c>
      <c r="AC160" s="26" t="s">
        <v>418</v>
      </c>
      <c r="AD160" s="26">
        <v>234.51879744830899</v>
      </c>
      <c r="AE160" s="26">
        <v>316.25129177342001</v>
      </c>
      <c r="AF160" s="26" t="s">
        <v>394</v>
      </c>
      <c r="AG160" s="25" t="s">
        <v>13</v>
      </c>
      <c r="AH160" s="6" t="s">
        <v>61</v>
      </c>
      <c r="AI160" s="21" t="s">
        <v>49</v>
      </c>
      <c r="AJ160" s="62">
        <f t="shared" si="58"/>
        <v>203.15</v>
      </c>
      <c r="AK160" s="62">
        <v>205</v>
      </c>
      <c r="AL160" s="62">
        <v>201.3</v>
      </c>
      <c r="AM160" s="26">
        <f t="shared" si="65"/>
        <v>907.5</v>
      </c>
      <c r="AN160" s="26" t="s">
        <v>389</v>
      </c>
      <c r="AO160" s="66">
        <f>12.1/6*1*300</f>
        <v>605</v>
      </c>
      <c r="AP160" s="100">
        <f>12.1/6*2*300</f>
        <v>1210</v>
      </c>
      <c r="AQ160" s="29" t="s">
        <v>426</v>
      </c>
      <c r="AR160" s="26" t="s">
        <v>422</v>
      </c>
      <c r="AS160" s="23">
        <f>294.1+(1/(4.84*10^-10*(6)^7.93))</f>
        <v>1688.5894174109985</v>
      </c>
      <c r="AT160" s="23">
        <f>294.1+(1/(4.84*10^-10*(6+0.6)^7.93))</f>
        <v>948.99432869608586</v>
      </c>
      <c r="AU160" s="23">
        <f>294.1+(1/(4.84*10^-10*(6-0.6)^7.93))</f>
        <v>3509.774805199881</v>
      </c>
      <c r="AV160" s="29" t="s">
        <v>60</v>
      </c>
      <c r="AW160" s="29" t="s">
        <v>822</v>
      </c>
      <c r="AX160" s="29" t="s">
        <v>13</v>
      </c>
      <c r="AY160" s="16" t="s">
        <v>842</v>
      </c>
      <c r="AZ160" s="97" t="s">
        <v>13</v>
      </c>
      <c r="BA160" s="97">
        <v>2.7774809999999999</v>
      </c>
      <c r="BB160" s="59"/>
      <c r="BC160" s="59"/>
      <c r="BD160" s="29">
        <v>335.40519999999998</v>
      </c>
      <c r="BE160" s="39" t="s">
        <v>239</v>
      </c>
      <c r="BF160" s="29">
        <f t="shared" si="55"/>
        <v>305.09949999999998</v>
      </c>
      <c r="BG160" s="29">
        <f t="shared" si="55"/>
        <v>367.17850000000004</v>
      </c>
      <c r="BH160" s="29" t="s">
        <v>542</v>
      </c>
      <c r="BI160" s="23" t="s">
        <v>419</v>
      </c>
      <c r="BJ160" s="29">
        <v>305.09949999999998</v>
      </c>
      <c r="BK160" s="29">
        <v>367.17850000000004</v>
      </c>
      <c r="BL160" s="29" t="s">
        <v>843</v>
      </c>
      <c r="BM160" s="25" t="s">
        <v>13</v>
      </c>
      <c r="BO160" s="44"/>
      <c r="CA160" s="25" t="s">
        <v>13</v>
      </c>
      <c r="CC160" s="25" t="s">
        <v>13</v>
      </c>
    </row>
    <row r="161" spans="1:81">
      <c r="A161" s="7" t="s">
        <v>39</v>
      </c>
      <c r="B161" s="25" t="s">
        <v>273</v>
      </c>
      <c r="C161" s="80">
        <v>284.46254000000005</v>
      </c>
      <c r="D161" s="81"/>
      <c r="E161" s="81"/>
      <c r="F161" s="23">
        <f t="shared" si="56"/>
        <v>823.99909090909091</v>
      </c>
      <c r="G161" s="23" t="s">
        <v>389</v>
      </c>
      <c r="H161" s="23">
        <f t="shared" si="64"/>
        <v>480.48</v>
      </c>
      <c r="I161" s="23">
        <f t="shared" si="64"/>
        <v>1167.5536363636363</v>
      </c>
      <c r="J161" s="23" t="s">
        <v>402</v>
      </c>
      <c r="K161" s="23" t="s">
        <v>401</v>
      </c>
      <c r="L161" s="31">
        <v>2324.1</v>
      </c>
      <c r="M161" s="31">
        <v>1355.2</v>
      </c>
      <c r="N161" s="31">
        <v>3293.1</v>
      </c>
      <c r="O161" s="31">
        <v>5500</v>
      </c>
      <c r="P161" s="22">
        <v>1950</v>
      </c>
      <c r="Q161" s="22" t="s">
        <v>554</v>
      </c>
      <c r="R161" s="26" t="s">
        <v>13</v>
      </c>
      <c r="S161" s="6" t="s">
        <v>264</v>
      </c>
      <c r="T161" s="44"/>
      <c r="U161" s="72">
        <v>3.1061222222222198</v>
      </c>
      <c r="V161" s="26"/>
      <c r="W161" s="26"/>
      <c r="X161" s="26">
        <v>271.26109352573428</v>
      </c>
      <c r="Y161" s="26" t="s">
        <v>389</v>
      </c>
      <c r="Z161" s="26">
        <f t="shared" si="51"/>
        <v>252.71860828534764</v>
      </c>
      <c r="AA161" s="26">
        <f t="shared" si="52"/>
        <v>289.91083944561717</v>
      </c>
      <c r="AB161" s="26" t="s">
        <v>429</v>
      </c>
      <c r="AC161" s="26" t="s">
        <v>418</v>
      </c>
      <c r="AD161" s="26">
        <v>234.176123044961</v>
      </c>
      <c r="AE161" s="26">
        <v>308.5605853655</v>
      </c>
      <c r="AF161" s="26" t="s">
        <v>394</v>
      </c>
      <c r="AG161" s="25" t="s">
        <v>13</v>
      </c>
      <c r="AH161" s="6" t="s">
        <v>61</v>
      </c>
      <c r="AI161" s="21" t="s">
        <v>281</v>
      </c>
      <c r="AJ161" s="62">
        <f t="shared" si="58"/>
        <v>230.5</v>
      </c>
      <c r="AK161" s="62">
        <v>233</v>
      </c>
      <c r="AL161" s="62">
        <v>228</v>
      </c>
      <c r="AM161" s="26">
        <f t="shared" si="65"/>
        <v>812.68656716417911</v>
      </c>
      <c r="AN161" s="26" t="s">
        <v>389</v>
      </c>
      <c r="AO161" s="66">
        <f>12.1/6.7*1*300</f>
        <v>541.79104477611941</v>
      </c>
      <c r="AP161" s="100">
        <f>12.1/6.7*2*300</f>
        <v>1083.5820895522388</v>
      </c>
      <c r="AQ161" s="29" t="s">
        <v>426</v>
      </c>
      <c r="AR161" s="26" t="s">
        <v>422</v>
      </c>
      <c r="AS161" s="23">
        <f>294.1+(1/(4.84*10^-10*(6.7)^7.93))</f>
        <v>875.37474316661519</v>
      </c>
      <c r="AT161" s="23">
        <f>294.1+(1/(4.84*10^-10*(6.7+1.4)^7.93))</f>
        <v>423.18281822388462</v>
      </c>
      <c r="AU161" s="23">
        <f>294.1+(1/(4.84*10^-10*(6.7-1.4)^7.93))</f>
        <v>4023.5689214270988</v>
      </c>
      <c r="AV161" s="29" t="s">
        <v>60</v>
      </c>
      <c r="AW161" s="29" t="s">
        <v>822</v>
      </c>
      <c r="AX161" s="29" t="s">
        <v>13</v>
      </c>
      <c r="AY161" s="16" t="s">
        <v>842</v>
      </c>
      <c r="AZ161" s="97" t="s">
        <v>13</v>
      </c>
      <c r="BA161" s="97">
        <v>2.7985440000000001</v>
      </c>
      <c r="BB161" s="59"/>
      <c r="BC161" s="59"/>
      <c r="BD161" s="29">
        <v>339.0385</v>
      </c>
      <c r="BE161" s="39" t="s">
        <v>239</v>
      </c>
      <c r="BF161" s="29">
        <f t="shared" si="55"/>
        <v>307.86259999999999</v>
      </c>
      <c r="BG161" s="29">
        <f t="shared" si="55"/>
        <v>369.87869999999998</v>
      </c>
      <c r="BH161" s="29" t="s">
        <v>542</v>
      </c>
      <c r="BI161" s="23" t="s">
        <v>419</v>
      </c>
      <c r="BJ161" s="29">
        <v>307.86259999999999</v>
      </c>
      <c r="BK161" s="29">
        <v>369.87869999999998</v>
      </c>
      <c r="BL161" s="29" t="s">
        <v>843</v>
      </c>
      <c r="BM161" s="25" t="s">
        <v>13</v>
      </c>
      <c r="BO161" s="44"/>
      <c r="CA161" s="25" t="s">
        <v>13</v>
      </c>
      <c r="CC161" s="25" t="s">
        <v>13</v>
      </c>
    </row>
    <row r="162" spans="1:81">
      <c r="A162" s="7" t="s">
        <v>39</v>
      </c>
      <c r="B162" s="25" t="s">
        <v>273</v>
      </c>
      <c r="C162" s="80">
        <v>283.84889000000004</v>
      </c>
      <c r="D162" s="81"/>
      <c r="E162" s="81"/>
      <c r="F162" s="23">
        <f t="shared" si="56"/>
        <v>1011.8018181818181</v>
      </c>
      <c r="G162" s="23" t="s">
        <v>389</v>
      </c>
      <c r="H162" s="23">
        <f t="shared" si="64"/>
        <v>604.25181818181818</v>
      </c>
      <c r="I162" s="23">
        <f t="shared" si="64"/>
        <v>1419.3518181818181</v>
      </c>
      <c r="J162" s="23" t="s">
        <v>402</v>
      </c>
      <c r="K162" s="23" t="s">
        <v>401</v>
      </c>
      <c r="L162" s="31">
        <v>2853.8</v>
      </c>
      <c r="M162" s="31">
        <v>1704.3</v>
      </c>
      <c r="N162" s="31">
        <v>4003.3</v>
      </c>
      <c r="O162" s="31">
        <v>5500</v>
      </c>
      <c r="P162" s="22">
        <v>1950</v>
      </c>
      <c r="Q162" s="22" t="s">
        <v>554</v>
      </c>
      <c r="R162" s="26" t="s">
        <v>13</v>
      </c>
      <c r="S162" s="6" t="s">
        <v>264</v>
      </c>
      <c r="T162" s="44"/>
      <c r="U162" s="72">
        <v>3.1304400000000001</v>
      </c>
      <c r="V162" s="26"/>
      <c r="W162" s="26"/>
      <c r="X162" s="26">
        <v>271.5924792684126</v>
      </c>
      <c r="Y162" s="26" t="s">
        <v>389</v>
      </c>
      <c r="Z162" s="26">
        <f t="shared" si="51"/>
        <v>253.5783472937523</v>
      </c>
      <c r="AA162" s="26">
        <f t="shared" si="52"/>
        <v>289.9339566324428</v>
      </c>
      <c r="AB162" s="26" t="s">
        <v>429</v>
      </c>
      <c r="AC162" s="26" t="s">
        <v>418</v>
      </c>
      <c r="AD162" s="26">
        <v>235.564215319092</v>
      </c>
      <c r="AE162" s="26">
        <v>308.275433996473</v>
      </c>
      <c r="AF162" s="26" t="s">
        <v>394</v>
      </c>
      <c r="AG162" s="25" t="s">
        <v>13</v>
      </c>
      <c r="AH162" s="6" t="s">
        <v>61</v>
      </c>
      <c r="AI162" s="21" t="s">
        <v>48</v>
      </c>
      <c r="AJ162" s="62">
        <f t="shared" si="58"/>
        <v>233.75</v>
      </c>
      <c r="AK162" s="62">
        <v>237</v>
      </c>
      <c r="AL162" s="62">
        <v>230.5</v>
      </c>
      <c r="AM162" s="26">
        <f t="shared" si="65"/>
        <v>825</v>
      </c>
      <c r="AN162" s="26" t="s">
        <v>389</v>
      </c>
      <c r="AO162" s="66">
        <f>12.1/6.6*1*300</f>
        <v>550</v>
      </c>
      <c r="AP162" s="100">
        <f>12.1/6.6*2*300</f>
        <v>1100</v>
      </c>
      <c r="AQ162" s="29" t="s">
        <v>426</v>
      </c>
      <c r="AR162" s="26" t="s">
        <v>422</v>
      </c>
      <c r="AS162" s="23">
        <f>294.1+(1/(4.84*10^-10*(6.6)^7.93))</f>
        <v>948.99432869608586</v>
      </c>
      <c r="AT162" s="23">
        <f>294.1+(1/(4.84*10^-10*(6.6+1.1)^7.93))</f>
        <v>486.97821924016216</v>
      </c>
      <c r="AU162" s="23">
        <f>294.1+(1/(4.84*10^-10*(6.6-1.1)^7.93))</f>
        <v>3074.3158227699005</v>
      </c>
      <c r="AV162" s="29" t="s">
        <v>60</v>
      </c>
      <c r="AW162" s="29" t="s">
        <v>822</v>
      </c>
      <c r="AX162" s="29" t="s">
        <v>13</v>
      </c>
      <c r="AY162" s="16" t="s">
        <v>842</v>
      </c>
      <c r="AZ162" s="97" t="s">
        <v>13</v>
      </c>
      <c r="BA162" s="97">
        <v>2.8301759999999998</v>
      </c>
      <c r="BB162" s="59"/>
      <c r="BC162" s="59"/>
      <c r="BD162" s="29">
        <v>376.65410000000003</v>
      </c>
      <c r="BE162" s="39" t="s">
        <v>239</v>
      </c>
      <c r="BF162" s="29">
        <f t="shared" si="55"/>
        <v>342.91340000000002</v>
      </c>
      <c r="BG162" s="29">
        <f t="shared" si="55"/>
        <v>412.41900000000004</v>
      </c>
      <c r="BH162" s="29" t="s">
        <v>542</v>
      </c>
      <c r="BI162" s="23" t="s">
        <v>419</v>
      </c>
      <c r="BJ162" s="29">
        <v>342.91340000000002</v>
      </c>
      <c r="BK162" s="29">
        <v>412.41900000000004</v>
      </c>
      <c r="BL162" s="29" t="s">
        <v>843</v>
      </c>
      <c r="BM162" s="25" t="s">
        <v>13</v>
      </c>
      <c r="BO162" s="44"/>
      <c r="CA162" s="25" t="s">
        <v>13</v>
      </c>
      <c r="CC162" s="25" t="s">
        <v>13</v>
      </c>
    </row>
    <row r="163" spans="1:81">
      <c r="A163" s="7" t="s">
        <v>39</v>
      </c>
      <c r="B163" s="25" t="s">
        <v>273</v>
      </c>
      <c r="C163" s="81">
        <v>283.35797000000002</v>
      </c>
      <c r="D163" s="81"/>
      <c r="E163" s="81"/>
      <c r="F163" s="23">
        <f t="shared" si="56"/>
        <v>1099.8</v>
      </c>
      <c r="G163" s="23" t="s">
        <v>389</v>
      </c>
      <c r="H163" s="23">
        <f t="shared" si="64"/>
        <v>679.45090909090914</v>
      </c>
      <c r="I163" s="23">
        <f t="shared" si="64"/>
        <v>1520.149090909091</v>
      </c>
      <c r="J163" s="23" t="s">
        <v>402</v>
      </c>
      <c r="K163" s="23" t="s">
        <v>401</v>
      </c>
      <c r="L163" s="32">
        <v>3102</v>
      </c>
      <c r="M163" s="32">
        <v>1916.4</v>
      </c>
      <c r="N163" s="32">
        <v>4287.6000000000004</v>
      </c>
      <c r="O163" s="32">
        <v>5500</v>
      </c>
      <c r="P163" s="22">
        <v>1950</v>
      </c>
      <c r="Q163" s="22" t="s">
        <v>554</v>
      </c>
      <c r="R163" s="26" t="s">
        <v>13</v>
      </c>
      <c r="S163" s="6" t="s">
        <v>264</v>
      </c>
      <c r="T163" s="44"/>
      <c r="U163" s="72">
        <v>3.1605666666666599</v>
      </c>
      <c r="V163" s="26"/>
      <c r="W163" s="26"/>
      <c r="X163" s="26">
        <v>277.80689090298984</v>
      </c>
      <c r="Y163" s="26" t="s">
        <v>389</v>
      </c>
      <c r="Z163" s="26">
        <f t="shared" si="51"/>
        <v>257.75376676026593</v>
      </c>
      <c r="AA163" s="26">
        <f t="shared" si="52"/>
        <v>298.14623009898389</v>
      </c>
      <c r="AB163" s="26" t="s">
        <v>429</v>
      </c>
      <c r="AC163" s="26" t="s">
        <v>418</v>
      </c>
      <c r="AD163" s="26">
        <v>237.700642617542</v>
      </c>
      <c r="AE163" s="26">
        <v>318.48556929497801</v>
      </c>
      <c r="AF163" s="26" t="s">
        <v>394</v>
      </c>
      <c r="AG163" s="25" t="s">
        <v>13</v>
      </c>
      <c r="AH163" s="6" t="s">
        <v>61</v>
      </c>
      <c r="AI163" s="21" t="s">
        <v>48</v>
      </c>
      <c r="AJ163" s="62">
        <f t="shared" si="58"/>
        <v>233.75</v>
      </c>
      <c r="AK163" s="62">
        <v>237</v>
      </c>
      <c r="AL163" s="62">
        <v>230.5</v>
      </c>
      <c r="AM163" s="26">
        <f t="shared" si="65"/>
        <v>789.13043478260852</v>
      </c>
      <c r="AN163" s="26" t="s">
        <v>389</v>
      </c>
      <c r="AO163" s="66">
        <f>12.1/6.9*1*300</f>
        <v>526.08695652173901</v>
      </c>
      <c r="AP163" s="100">
        <f>12.1/6.9*2*300</f>
        <v>1052.173913043478</v>
      </c>
      <c r="AQ163" s="29" t="s">
        <v>426</v>
      </c>
      <c r="AR163" s="26" t="s">
        <v>422</v>
      </c>
      <c r="AS163" s="23">
        <f>294.1+(1/(4.84*10^-10*(6.9)^7.93))</f>
        <v>754.44279349102544</v>
      </c>
      <c r="AT163" s="23">
        <f>294.1+(1/(4.84*10^-10*(6.9+0.9)^7.93))</f>
        <v>468.21830831438854</v>
      </c>
      <c r="AU163" s="23">
        <f>294.1+(1/(4.84*10^-10*(6.9-0.9)^7.93))</f>
        <v>1688.5894174109985</v>
      </c>
      <c r="AV163" s="29" t="s">
        <v>60</v>
      </c>
      <c r="AW163" s="29" t="s">
        <v>822</v>
      </c>
      <c r="AX163" s="29" t="s">
        <v>13</v>
      </c>
      <c r="AY163" s="16" t="s">
        <v>842</v>
      </c>
      <c r="AZ163" s="97" t="s">
        <v>13</v>
      </c>
      <c r="BA163" s="97">
        <v>2.8316840000000001</v>
      </c>
      <c r="BB163" s="59"/>
      <c r="BC163" s="59"/>
      <c r="BD163" s="29">
        <v>415.28149999999999</v>
      </c>
      <c r="BE163" s="39" t="s">
        <v>239</v>
      </c>
      <c r="BF163" s="29">
        <f t="shared" si="55"/>
        <v>373.6651</v>
      </c>
      <c r="BG163" s="29">
        <f t="shared" si="55"/>
        <v>458.15460000000002</v>
      </c>
      <c r="BH163" s="29" t="s">
        <v>542</v>
      </c>
      <c r="BI163" s="23" t="s">
        <v>419</v>
      </c>
      <c r="BJ163" s="29">
        <v>373.6651</v>
      </c>
      <c r="BK163" s="29">
        <v>458.15460000000002</v>
      </c>
      <c r="BL163" s="29" t="s">
        <v>843</v>
      </c>
      <c r="BM163" s="25" t="s">
        <v>13</v>
      </c>
      <c r="BO163" s="44"/>
      <c r="CA163" s="25" t="s">
        <v>13</v>
      </c>
      <c r="CC163" s="25" t="s">
        <v>13</v>
      </c>
    </row>
    <row r="164" spans="1:81">
      <c r="A164" s="7" t="s">
        <v>39</v>
      </c>
      <c r="B164" s="25" t="s">
        <v>273</v>
      </c>
      <c r="C164" s="80">
        <v>282.37613000000005</v>
      </c>
      <c r="D164" s="80"/>
      <c r="E164" s="80"/>
      <c r="F164" s="23">
        <f t="shared" si="56"/>
        <v>899.4</v>
      </c>
      <c r="G164" s="23" t="s">
        <v>389</v>
      </c>
      <c r="H164" s="23">
        <f t="shared" si="64"/>
        <v>565.83000000000004</v>
      </c>
      <c r="I164" s="23">
        <f t="shared" si="64"/>
        <v>1233</v>
      </c>
      <c r="J164" s="23" t="s">
        <v>402</v>
      </c>
      <c r="K164" s="23" t="s">
        <v>401</v>
      </c>
      <c r="L164" s="30">
        <v>2998</v>
      </c>
      <c r="M164" s="30">
        <v>1886.1</v>
      </c>
      <c r="N164" s="30">
        <v>4110</v>
      </c>
      <c r="O164" s="30">
        <v>6500</v>
      </c>
      <c r="P164" s="22">
        <v>1950</v>
      </c>
      <c r="Q164" s="22" t="s">
        <v>554</v>
      </c>
      <c r="R164" s="26" t="s">
        <v>13</v>
      </c>
      <c r="S164" s="6" t="s">
        <v>264</v>
      </c>
      <c r="T164" s="44"/>
      <c r="U164" s="72">
        <v>3.1814</v>
      </c>
      <c r="V164" s="26"/>
      <c r="W164" s="26"/>
      <c r="X164" s="26">
        <v>259.33955862037277</v>
      </c>
      <c r="Y164" s="26" t="s">
        <v>389</v>
      </c>
      <c r="Z164" s="26">
        <f t="shared" si="51"/>
        <v>238.91877193518889</v>
      </c>
      <c r="AA164" s="26">
        <f t="shared" si="52"/>
        <v>280.34909358398841</v>
      </c>
      <c r="AB164" s="26" t="s">
        <v>429</v>
      </c>
      <c r="AC164" s="26" t="s">
        <v>418</v>
      </c>
      <c r="AD164" s="26">
        <v>218.497985250005</v>
      </c>
      <c r="AE164" s="26">
        <v>301.35862854760398</v>
      </c>
      <c r="AF164" s="26" t="s">
        <v>394</v>
      </c>
      <c r="AG164" s="25" t="s">
        <v>13</v>
      </c>
      <c r="AH164" s="6" t="s">
        <v>62</v>
      </c>
      <c r="AI164" s="44" t="s">
        <v>162</v>
      </c>
      <c r="AJ164" s="62">
        <f t="shared" si="58"/>
        <v>168.8</v>
      </c>
      <c r="AK164" s="62">
        <v>174.1</v>
      </c>
      <c r="AL164" s="62">
        <v>163.5</v>
      </c>
      <c r="AM164" s="26">
        <f t="shared" si="65"/>
        <v>1422</v>
      </c>
      <c r="AN164" s="26" t="s">
        <v>389</v>
      </c>
      <c r="AO164" s="66">
        <f>AP164/2</f>
        <v>948</v>
      </c>
      <c r="AP164" s="100">
        <f>AS164</f>
        <v>1896</v>
      </c>
      <c r="AQ164" s="29" t="s">
        <v>426</v>
      </c>
      <c r="AR164" s="26" t="s">
        <v>422</v>
      </c>
      <c r="AS164" s="23">
        <v>1896</v>
      </c>
      <c r="AT164" s="95"/>
      <c r="AU164" s="95"/>
      <c r="AV164" s="29" t="s">
        <v>60</v>
      </c>
      <c r="AW164" s="29"/>
      <c r="AX164" s="29" t="s">
        <v>13</v>
      </c>
      <c r="AY164" s="16" t="s">
        <v>842</v>
      </c>
      <c r="AZ164" s="97" t="s">
        <v>13</v>
      </c>
      <c r="BA164" s="97">
        <v>2.8389009999999999</v>
      </c>
      <c r="BB164" s="59"/>
      <c r="BC164" s="59"/>
      <c r="BD164" s="29">
        <v>441.68879999999996</v>
      </c>
      <c r="BE164" s="39" t="s">
        <v>239</v>
      </c>
      <c r="BF164" s="29">
        <f t="shared" si="55"/>
        <v>400.53739999999999</v>
      </c>
      <c r="BG164" s="29">
        <f t="shared" si="55"/>
        <v>484.31009999999998</v>
      </c>
      <c r="BH164" s="29" t="s">
        <v>542</v>
      </c>
      <c r="BI164" s="23" t="s">
        <v>419</v>
      </c>
      <c r="BJ164" s="29">
        <v>400.53739999999999</v>
      </c>
      <c r="BK164" s="29">
        <v>484.31009999999998</v>
      </c>
      <c r="BL164" s="29" t="s">
        <v>843</v>
      </c>
      <c r="BM164" s="25" t="s">
        <v>13</v>
      </c>
      <c r="BO164" s="44"/>
      <c r="CA164" s="25" t="s">
        <v>13</v>
      </c>
      <c r="CC164" s="25" t="s">
        <v>13</v>
      </c>
    </row>
    <row r="165" spans="1:81">
      <c r="A165" s="7" t="s">
        <v>39</v>
      </c>
      <c r="B165" s="25" t="s">
        <v>273</v>
      </c>
      <c r="C165" s="80">
        <v>281.14883000000009</v>
      </c>
      <c r="D165" s="80"/>
      <c r="E165" s="80"/>
      <c r="F165" s="23">
        <f t="shared" si="56"/>
        <v>1248.3545454545454</v>
      </c>
      <c r="G165" s="23" t="s">
        <v>389</v>
      </c>
      <c r="H165" s="23">
        <f t="shared" si="64"/>
        <v>759.32999999999993</v>
      </c>
      <c r="I165" s="23">
        <f t="shared" si="64"/>
        <v>1737.4145454545455</v>
      </c>
      <c r="J165" s="23" t="s">
        <v>402</v>
      </c>
      <c r="K165" s="23" t="s">
        <v>401</v>
      </c>
      <c r="L165" s="30">
        <v>3521</v>
      </c>
      <c r="M165" s="30">
        <v>2141.6999999999998</v>
      </c>
      <c r="N165" s="30">
        <v>4900.3999999999996</v>
      </c>
      <c r="O165" s="30">
        <v>5500</v>
      </c>
      <c r="P165" s="22">
        <v>1950</v>
      </c>
      <c r="Q165" s="22" t="s">
        <v>554</v>
      </c>
      <c r="R165" s="26" t="s">
        <v>13</v>
      </c>
      <c r="S165" s="6" t="s">
        <v>264</v>
      </c>
      <c r="T165" s="44"/>
      <c r="U165" s="72">
        <v>3.1899000000000002</v>
      </c>
      <c r="V165" s="26"/>
      <c r="W165" s="26"/>
      <c r="X165" s="26">
        <v>274.44930077451932</v>
      </c>
      <c r="Y165" s="26" t="s">
        <v>389</v>
      </c>
      <c r="Z165" s="26">
        <f t="shared" si="51"/>
        <v>254.79430469892014</v>
      </c>
      <c r="AA165" s="26">
        <f t="shared" si="52"/>
        <v>294.37058047105563</v>
      </c>
      <c r="AB165" s="26" t="s">
        <v>429</v>
      </c>
      <c r="AC165" s="26" t="s">
        <v>418</v>
      </c>
      <c r="AD165" s="26">
        <v>235.139308623321</v>
      </c>
      <c r="AE165" s="26">
        <v>314.29186016759201</v>
      </c>
      <c r="AF165" s="26" t="s">
        <v>394</v>
      </c>
      <c r="AG165" s="25" t="s">
        <v>13</v>
      </c>
      <c r="AH165" s="6" t="s">
        <v>62</v>
      </c>
      <c r="AI165" s="44" t="s">
        <v>162</v>
      </c>
      <c r="AJ165" s="62">
        <f t="shared" si="58"/>
        <v>168.8</v>
      </c>
      <c r="AK165" s="62">
        <v>174.1</v>
      </c>
      <c r="AL165" s="62">
        <v>163.5</v>
      </c>
      <c r="AM165" s="26">
        <f t="shared" si="65"/>
        <v>1372.5</v>
      </c>
      <c r="AN165" s="26" t="s">
        <v>389</v>
      </c>
      <c r="AO165" s="66">
        <f>AP165/2</f>
        <v>915</v>
      </c>
      <c r="AP165" s="100">
        <f>AS165</f>
        <v>1830</v>
      </c>
      <c r="AQ165" s="29" t="s">
        <v>426</v>
      </c>
      <c r="AR165" s="26" t="s">
        <v>422</v>
      </c>
      <c r="AS165" s="23">
        <v>1830</v>
      </c>
      <c r="AT165" s="95"/>
      <c r="AU165" s="95"/>
      <c r="AV165" s="29" t="s">
        <v>60</v>
      </c>
      <c r="AW165" s="29"/>
      <c r="AX165" s="29" t="s">
        <v>13</v>
      </c>
      <c r="AY165" s="16" t="s">
        <v>842</v>
      </c>
      <c r="AZ165" s="97" t="s">
        <v>13</v>
      </c>
      <c r="BA165" s="97">
        <v>2.8491819999999999</v>
      </c>
      <c r="BB165" s="59"/>
      <c r="BC165" s="59"/>
      <c r="BD165" s="29">
        <v>363.28990000000005</v>
      </c>
      <c r="BE165" s="39" t="s">
        <v>239</v>
      </c>
      <c r="BF165" s="29">
        <f t="shared" si="55"/>
        <v>330.2133</v>
      </c>
      <c r="BG165" s="29">
        <f t="shared" si="55"/>
        <v>397.27049999999997</v>
      </c>
      <c r="BH165" s="29" t="s">
        <v>542</v>
      </c>
      <c r="BI165" s="23" t="s">
        <v>419</v>
      </c>
      <c r="BJ165" s="29">
        <v>330.2133</v>
      </c>
      <c r="BK165" s="29">
        <v>397.27049999999997</v>
      </c>
      <c r="BL165" s="29" t="s">
        <v>843</v>
      </c>
      <c r="BM165" s="25" t="s">
        <v>13</v>
      </c>
      <c r="BO165" s="44"/>
      <c r="CA165" s="25" t="s">
        <v>13</v>
      </c>
      <c r="CC165" s="25" t="s">
        <v>13</v>
      </c>
    </row>
    <row r="166" spans="1:81">
      <c r="A166" s="7" t="s">
        <v>39</v>
      </c>
      <c r="B166" s="25" t="s">
        <v>273</v>
      </c>
      <c r="C166" s="80">
        <v>277.61999999999995</v>
      </c>
      <c r="D166" s="80"/>
      <c r="E166" s="80"/>
      <c r="F166" s="23">
        <f t="shared" si="56"/>
        <v>1236.5836363636363</v>
      </c>
      <c r="G166" s="23" t="s">
        <v>389</v>
      </c>
      <c r="H166" s="23">
        <f t="shared" si="64"/>
        <v>788.43818181818187</v>
      </c>
      <c r="I166" s="23">
        <f t="shared" si="64"/>
        <v>1684.7290909090909</v>
      </c>
      <c r="J166" s="23" t="s">
        <v>402</v>
      </c>
      <c r="K166" s="23" t="s">
        <v>401</v>
      </c>
      <c r="L166" s="30">
        <v>3487.8</v>
      </c>
      <c r="M166" s="30">
        <v>2223.8000000000002</v>
      </c>
      <c r="N166" s="30">
        <v>4751.8</v>
      </c>
      <c r="O166" s="30">
        <v>5500</v>
      </c>
      <c r="P166" s="22">
        <v>1950</v>
      </c>
      <c r="Q166" s="22" t="s">
        <v>554</v>
      </c>
      <c r="R166" s="26" t="s">
        <v>13</v>
      </c>
      <c r="S166" s="6" t="s">
        <v>264</v>
      </c>
      <c r="T166" s="44"/>
      <c r="U166" s="72">
        <v>3.1999933333333304</v>
      </c>
      <c r="V166" s="26"/>
      <c r="W166" s="26"/>
      <c r="X166" s="26">
        <v>272.17588474003503</v>
      </c>
      <c r="Y166" s="26" t="s">
        <v>389</v>
      </c>
      <c r="Z166" s="26">
        <f t="shared" si="51"/>
        <v>254.37566125856702</v>
      </c>
      <c r="AA166" s="26">
        <f t="shared" si="52"/>
        <v>290.2730914177755</v>
      </c>
      <c r="AB166" s="26" t="s">
        <v>429</v>
      </c>
      <c r="AC166" s="26" t="s">
        <v>418</v>
      </c>
      <c r="AD166" s="26">
        <v>236.57543777709901</v>
      </c>
      <c r="AE166" s="26">
        <v>308.37029809551598</v>
      </c>
      <c r="AF166" s="26" t="s">
        <v>394</v>
      </c>
      <c r="AG166" s="25" t="s">
        <v>13</v>
      </c>
      <c r="AH166" s="6" t="s">
        <v>62</v>
      </c>
      <c r="AI166" s="44" t="s">
        <v>162</v>
      </c>
      <c r="AJ166" s="62">
        <f t="shared" si="58"/>
        <v>168.8</v>
      </c>
      <c r="AK166" s="62">
        <v>174.1</v>
      </c>
      <c r="AL166" s="62">
        <v>163.5</v>
      </c>
      <c r="AM166" s="26">
        <f t="shared" si="65"/>
        <v>1296</v>
      </c>
      <c r="AN166" s="26" t="s">
        <v>389</v>
      </c>
      <c r="AO166" s="66">
        <f>AP166/2</f>
        <v>864</v>
      </c>
      <c r="AP166" s="100">
        <f>AS166</f>
        <v>1728</v>
      </c>
      <c r="AQ166" s="29" t="s">
        <v>426</v>
      </c>
      <c r="AR166" s="26" t="s">
        <v>422</v>
      </c>
      <c r="AS166" s="23">
        <v>1728</v>
      </c>
      <c r="AT166" s="95"/>
      <c r="AU166" s="95"/>
      <c r="AV166" s="29" t="s">
        <v>60</v>
      </c>
      <c r="AW166" s="29"/>
      <c r="AX166" s="29" t="s">
        <v>13</v>
      </c>
      <c r="AY166" s="16" t="s">
        <v>842</v>
      </c>
      <c r="AZ166" s="97" t="s">
        <v>13</v>
      </c>
      <c r="BA166" s="97">
        <v>2.8583210000000001</v>
      </c>
      <c r="BB166" s="59"/>
      <c r="BC166" s="59"/>
      <c r="BD166" s="29">
        <v>493.17790000000002</v>
      </c>
      <c r="BE166" s="39" t="s">
        <v>239</v>
      </c>
      <c r="BF166" s="29">
        <f t="shared" si="55"/>
        <v>446.19869999999997</v>
      </c>
      <c r="BG166" s="29">
        <f t="shared" si="55"/>
        <v>541.24189999999999</v>
      </c>
      <c r="BH166" s="29" t="s">
        <v>542</v>
      </c>
      <c r="BI166" s="23" t="s">
        <v>419</v>
      </c>
      <c r="BJ166" s="29">
        <v>446.19869999999997</v>
      </c>
      <c r="BK166" s="29">
        <v>541.24189999999999</v>
      </c>
      <c r="BL166" s="29" t="s">
        <v>843</v>
      </c>
      <c r="BM166" s="25" t="s">
        <v>13</v>
      </c>
      <c r="BO166" s="44"/>
      <c r="CA166" s="25" t="s">
        <v>13</v>
      </c>
      <c r="CC166" s="25" t="s">
        <v>13</v>
      </c>
    </row>
    <row r="167" spans="1:81">
      <c r="A167" s="7" t="s">
        <v>46</v>
      </c>
      <c r="B167" s="25" t="s">
        <v>149</v>
      </c>
      <c r="C167" s="68">
        <f t="shared" ref="C167:C209" si="66">AVERAGE(D167:E167)</f>
        <v>210.7</v>
      </c>
      <c r="D167" s="76">
        <v>211.9</v>
      </c>
      <c r="E167" s="76">
        <v>209.5</v>
      </c>
      <c r="F167" s="23">
        <f t="shared" si="56"/>
        <v>111</v>
      </c>
      <c r="G167" s="23" t="s">
        <v>389</v>
      </c>
      <c r="H167" s="23">
        <f t="shared" ref="H167:H209" si="67">F167*0.5</f>
        <v>55.5</v>
      </c>
      <c r="I167" s="23">
        <f>F167*2</f>
        <v>222</v>
      </c>
      <c r="J167" s="23" t="s">
        <v>480</v>
      </c>
      <c r="K167" s="23" t="s">
        <v>400</v>
      </c>
      <c r="L167" s="21">
        <v>222</v>
      </c>
      <c r="M167" s="21">
        <v>0</v>
      </c>
      <c r="N167" s="21">
        <f t="shared" ref="N167:N209" si="68">L167+500</f>
        <v>722</v>
      </c>
      <c r="O167" s="21">
        <v>4000</v>
      </c>
      <c r="P167" s="22">
        <v>2000</v>
      </c>
      <c r="Q167" s="25" t="s">
        <v>334</v>
      </c>
      <c r="R167" s="26" t="s">
        <v>13</v>
      </c>
      <c r="S167" s="6" t="s">
        <v>264</v>
      </c>
      <c r="T167" s="44"/>
      <c r="U167" s="72">
        <v>3.2092333333333301</v>
      </c>
      <c r="V167" s="26"/>
      <c r="W167" s="26"/>
      <c r="X167" s="26">
        <v>267.04254016838206</v>
      </c>
      <c r="Y167" s="26" t="s">
        <v>389</v>
      </c>
      <c r="Z167" s="26">
        <f t="shared" si="51"/>
        <v>244.73000629316303</v>
      </c>
      <c r="AA167" s="26">
        <f t="shared" si="52"/>
        <v>290.14181523932604</v>
      </c>
      <c r="AB167" s="26" t="s">
        <v>429</v>
      </c>
      <c r="AC167" s="26" t="s">
        <v>418</v>
      </c>
      <c r="AD167" s="26">
        <v>222.417472417944</v>
      </c>
      <c r="AE167" s="26">
        <v>313.24109031027001</v>
      </c>
      <c r="AF167" s="26" t="s">
        <v>394</v>
      </c>
      <c r="AG167" s="25" t="s">
        <v>13</v>
      </c>
      <c r="AH167" s="6" t="s">
        <v>62</v>
      </c>
      <c r="AI167" s="44" t="s">
        <v>162</v>
      </c>
      <c r="AJ167" s="62">
        <f t="shared" si="58"/>
        <v>168.8</v>
      </c>
      <c r="AK167" s="62">
        <v>174.1</v>
      </c>
      <c r="AL167" s="62">
        <v>163.5</v>
      </c>
      <c r="AM167" s="26">
        <f t="shared" si="65"/>
        <v>1188</v>
      </c>
      <c r="AN167" s="26" t="s">
        <v>389</v>
      </c>
      <c r="AO167" s="66">
        <f>AP167/2</f>
        <v>792</v>
      </c>
      <c r="AP167" s="100">
        <f>AS167</f>
        <v>1584</v>
      </c>
      <c r="AQ167" s="29" t="s">
        <v>426</v>
      </c>
      <c r="AR167" s="26" t="s">
        <v>422</v>
      </c>
      <c r="AS167" s="23">
        <v>1584</v>
      </c>
      <c r="AT167" s="95"/>
      <c r="AU167" s="95"/>
      <c r="AV167" s="29" t="s">
        <v>60</v>
      </c>
      <c r="AW167" s="29"/>
      <c r="AX167" s="29" t="s">
        <v>13</v>
      </c>
      <c r="AY167" s="16" t="s">
        <v>842</v>
      </c>
      <c r="AZ167" s="97" t="s">
        <v>13</v>
      </c>
      <c r="BA167" s="97">
        <v>2.9123839999999999</v>
      </c>
      <c r="BB167" s="59"/>
      <c r="BC167" s="59"/>
      <c r="BD167" s="29">
        <v>421.53569999999996</v>
      </c>
      <c r="BE167" s="39" t="s">
        <v>239</v>
      </c>
      <c r="BF167" s="29">
        <f t="shared" si="55"/>
        <v>381.97710000000001</v>
      </c>
      <c r="BG167" s="29">
        <f t="shared" si="55"/>
        <v>461.49270000000001</v>
      </c>
      <c r="BH167" s="29" t="s">
        <v>542</v>
      </c>
      <c r="BI167" s="23" t="s">
        <v>419</v>
      </c>
      <c r="BJ167" s="29">
        <v>381.97710000000001</v>
      </c>
      <c r="BK167" s="29">
        <v>461.49270000000001</v>
      </c>
      <c r="BL167" s="29" t="s">
        <v>843</v>
      </c>
      <c r="BM167" s="25" t="s">
        <v>13</v>
      </c>
      <c r="BO167" s="44"/>
      <c r="CA167" s="25" t="s">
        <v>13</v>
      </c>
      <c r="CC167" s="25" t="s">
        <v>13</v>
      </c>
    </row>
    <row r="168" spans="1:81">
      <c r="A168" s="7" t="s">
        <v>46</v>
      </c>
      <c r="B168" s="25" t="s">
        <v>149</v>
      </c>
      <c r="C168" s="68">
        <f t="shared" si="66"/>
        <v>211.75</v>
      </c>
      <c r="D168" s="76">
        <v>214</v>
      </c>
      <c r="E168" s="76">
        <v>209.5</v>
      </c>
      <c r="F168" s="23">
        <f t="shared" si="56"/>
        <v>544</v>
      </c>
      <c r="G168" s="23" t="s">
        <v>389</v>
      </c>
      <c r="H168" s="23">
        <f t="shared" si="67"/>
        <v>272</v>
      </c>
      <c r="I168" s="23">
        <f>F168*2</f>
        <v>1088</v>
      </c>
      <c r="J168" s="23" t="s">
        <v>480</v>
      </c>
      <c r="K168" s="23" t="s">
        <v>400</v>
      </c>
      <c r="L168" s="21">
        <v>816</v>
      </c>
      <c r="M168" s="21">
        <f>L168-500</f>
        <v>316</v>
      </c>
      <c r="N168" s="21">
        <f t="shared" si="68"/>
        <v>1316</v>
      </c>
      <c r="O168" s="21">
        <v>3000</v>
      </c>
      <c r="P168" s="22">
        <v>2000</v>
      </c>
      <c r="Q168" s="25" t="s">
        <v>335</v>
      </c>
      <c r="R168" s="26" t="s">
        <v>13</v>
      </c>
      <c r="S168" s="6" t="s">
        <v>264</v>
      </c>
      <c r="T168" s="44"/>
      <c r="U168" s="72">
        <v>3.2201222222222201</v>
      </c>
      <c r="V168" s="26"/>
      <c r="W168" s="26"/>
      <c r="X168" s="26">
        <v>265.04959769396561</v>
      </c>
      <c r="Y168" s="26" t="s">
        <v>389</v>
      </c>
      <c r="Z168" s="26">
        <f t="shared" si="51"/>
        <v>245.96210466166781</v>
      </c>
      <c r="AA168" s="26">
        <f t="shared" si="52"/>
        <v>284.74892235107734</v>
      </c>
      <c r="AB168" s="26" t="s">
        <v>429</v>
      </c>
      <c r="AC168" s="26" t="s">
        <v>418</v>
      </c>
      <c r="AD168" s="26">
        <v>226.87461162937001</v>
      </c>
      <c r="AE168" s="26">
        <v>304.44824700818901</v>
      </c>
      <c r="AF168" s="26" t="s">
        <v>394</v>
      </c>
      <c r="AG168" s="25" t="s">
        <v>13</v>
      </c>
      <c r="AH168" s="6" t="s">
        <v>62</v>
      </c>
      <c r="AI168" s="44" t="s">
        <v>162</v>
      </c>
      <c r="AJ168" s="62">
        <f t="shared" si="58"/>
        <v>168.8</v>
      </c>
      <c r="AK168" s="62">
        <v>174.1</v>
      </c>
      <c r="AL168" s="62">
        <v>163.5</v>
      </c>
      <c r="AM168" s="26">
        <f t="shared" si="65"/>
        <v>1134</v>
      </c>
      <c r="AN168" s="26" t="s">
        <v>389</v>
      </c>
      <c r="AO168" s="66">
        <f>AP168/2</f>
        <v>756</v>
      </c>
      <c r="AP168" s="100">
        <f>AS168</f>
        <v>1512</v>
      </c>
      <c r="AQ168" s="29" t="s">
        <v>426</v>
      </c>
      <c r="AR168" s="26" t="s">
        <v>422</v>
      </c>
      <c r="AS168" s="23">
        <v>1512</v>
      </c>
      <c r="AT168" s="95"/>
      <c r="AU168" s="95"/>
      <c r="AV168" s="29" t="s">
        <v>60</v>
      </c>
      <c r="AW168" s="29"/>
      <c r="AX168" s="29" t="s">
        <v>13</v>
      </c>
      <c r="AY168" s="16" t="s">
        <v>842</v>
      </c>
      <c r="AZ168" s="97" t="s">
        <v>13</v>
      </c>
      <c r="BA168" s="97">
        <v>2.9235600000000002</v>
      </c>
      <c r="BB168" s="59"/>
      <c r="BC168" s="59"/>
      <c r="BD168" s="29">
        <v>427.03190000000001</v>
      </c>
      <c r="BE168" s="39" t="s">
        <v>239</v>
      </c>
      <c r="BF168" s="29">
        <f t="shared" si="55"/>
        <v>387.82799999999997</v>
      </c>
      <c r="BG168" s="29">
        <f t="shared" si="55"/>
        <v>467.60829999999999</v>
      </c>
      <c r="BH168" s="29" t="s">
        <v>542</v>
      </c>
      <c r="BI168" s="23" t="s">
        <v>419</v>
      </c>
      <c r="BJ168" s="29">
        <v>387.82799999999997</v>
      </c>
      <c r="BK168" s="29">
        <v>467.60829999999999</v>
      </c>
      <c r="BL168" s="29" t="s">
        <v>843</v>
      </c>
      <c r="BM168" s="25" t="s">
        <v>13</v>
      </c>
      <c r="BO168" s="44"/>
      <c r="CA168" s="25" t="s">
        <v>13</v>
      </c>
      <c r="CC168" s="25" t="s">
        <v>13</v>
      </c>
    </row>
    <row r="169" spans="1:81">
      <c r="A169" s="7" t="s">
        <v>46</v>
      </c>
      <c r="B169" s="25" t="s">
        <v>149</v>
      </c>
      <c r="C169" s="68">
        <f t="shared" si="66"/>
        <v>211.75</v>
      </c>
      <c r="D169" s="76">
        <v>214</v>
      </c>
      <c r="E169" s="76">
        <v>209.5</v>
      </c>
      <c r="F169" s="23">
        <f t="shared" si="56"/>
        <v>643.33333333333337</v>
      </c>
      <c r="G169" s="23" t="s">
        <v>389</v>
      </c>
      <c r="H169" s="23">
        <f t="shared" si="67"/>
        <v>321.66666666666669</v>
      </c>
      <c r="I169" s="23">
        <f t="shared" ref="I169:I209" si="69">F169*2</f>
        <v>1286.6666666666667</v>
      </c>
      <c r="J169" s="23" t="s">
        <v>480</v>
      </c>
      <c r="K169" s="23" t="s">
        <v>400</v>
      </c>
      <c r="L169" s="21">
        <v>965</v>
      </c>
      <c r="M169" s="21">
        <f>L169-500</f>
        <v>465</v>
      </c>
      <c r="N169" s="21">
        <f t="shared" si="68"/>
        <v>1465</v>
      </c>
      <c r="O169" s="21">
        <v>3000</v>
      </c>
      <c r="P169" s="22">
        <v>2000</v>
      </c>
      <c r="Q169" s="25" t="s">
        <v>335</v>
      </c>
      <c r="R169" s="26" t="s">
        <v>13</v>
      </c>
      <c r="S169" s="6" t="s">
        <v>264</v>
      </c>
      <c r="T169" s="44"/>
      <c r="U169" s="72">
        <v>3.2433299999999901</v>
      </c>
      <c r="V169" s="26"/>
      <c r="W169" s="26"/>
      <c r="X169" s="26">
        <v>273.16455646578316</v>
      </c>
      <c r="Y169" s="26" t="s">
        <v>389</v>
      </c>
      <c r="Z169" s="26">
        <f t="shared" si="51"/>
        <v>253.05853383545909</v>
      </c>
      <c r="AA169" s="26">
        <f t="shared" si="52"/>
        <v>293.45405847102256</v>
      </c>
      <c r="AB169" s="26" t="s">
        <v>429</v>
      </c>
      <c r="AC169" s="26" t="s">
        <v>418</v>
      </c>
      <c r="AD169" s="26">
        <v>232.95251120513501</v>
      </c>
      <c r="AE169" s="26">
        <v>313.74356047626202</v>
      </c>
      <c r="AF169" s="26" t="s">
        <v>394</v>
      </c>
      <c r="AG169" s="25" t="s">
        <v>13</v>
      </c>
      <c r="AH169" s="6" t="s">
        <v>63</v>
      </c>
      <c r="AI169" s="44" t="s">
        <v>216</v>
      </c>
      <c r="AJ169" s="62">
        <v>94.52</v>
      </c>
      <c r="AK169" s="62"/>
      <c r="AL169" s="62"/>
      <c r="AM169" s="26">
        <f>AS169</f>
        <v>365.55</v>
      </c>
      <c r="AN169" s="26" t="s">
        <v>389</v>
      </c>
      <c r="AO169" s="66">
        <f t="shared" ref="AO169:AO185" si="70">AM169*0.7</f>
        <v>255.88499999999999</v>
      </c>
      <c r="AP169" s="100">
        <f t="shared" ref="AP169:AP185" si="71">AM169*1.65</f>
        <v>603.15750000000003</v>
      </c>
      <c r="AQ169" s="29" t="s">
        <v>512</v>
      </c>
      <c r="AR169" s="23" t="s">
        <v>400</v>
      </c>
      <c r="AS169" s="29">
        <f>AVERAGE(312.3,418.8)</f>
        <v>365.55</v>
      </c>
      <c r="AT169" s="29">
        <v>289.89999999999998</v>
      </c>
      <c r="AU169" s="29">
        <v>472</v>
      </c>
      <c r="AV169" s="23" t="s">
        <v>236</v>
      </c>
      <c r="AW169" s="29" t="s">
        <v>741</v>
      </c>
      <c r="AX169" s="29" t="s">
        <v>13</v>
      </c>
      <c r="AY169" s="16" t="s">
        <v>842</v>
      </c>
      <c r="AZ169" s="97" t="s">
        <v>13</v>
      </c>
      <c r="BA169" s="97">
        <v>2.9415779999999998</v>
      </c>
      <c r="BB169" s="59"/>
      <c r="BC169" s="59"/>
      <c r="BD169" s="29">
        <v>390.68549999999999</v>
      </c>
      <c r="BE169" s="39" t="s">
        <v>239</v>
      </c>
      <c r="BF169" s="29">
        <f t="shared" si="55"/>
        <v>355.3032</v>
      </c>
      <c r="BG169" s="29">
        <f t="shared" si="55"/>
        <v>427.65860000000004</v>
      </c>
      <c r="BH169" s="29" t="s">
        <v>542</v>
      </c>
      <c r="BI169" s="23" t="s">
        <v>419</v>
      </c>
      <c r="BJ169" s="29">
        <v>355.3032</v>
      </c>
      <c r="BK169" s="29">
        <v>427.65860000000004</v>
      </c>
      <c r="BL169" s="29" t="s">
        <v>843</v>
      </c>
      <c r="BM169" s="25" t="s">
        <v>13</v>
      </c>
      <c r="BO169" s="44"/>
      <c r="CA169" s="25" t="s">
        <v>13</v>
      </c>
      <c r="CC169" s="25" t="s">
        <v>13</v>
      </c>
    </row>
    <row r="170" spans="1:81">
      <c r="A170" s="7" t="s">
        <v>46</v>
      </c>
      <c r="B170" s="25" t="s">
        <v>149</v>
      </c>
      <c r="C170" s="68">
        <f t="shared" si="66"/>
        <v>210.7</v>
      </c>
      <c r="D170" s="76">
        <v>211.9</v>
      </c>
      <c r="E170" s="76">
        <v>209.5</v>
      </c>
      <c r="F170" s="23">
        <f t="shared" si="56"/>
        <v>12.5</v>
      </c>
      <c r="G170" s="23" t="s">
        <v>389</v>
      </c>
      <c r="H170" s="23">
        <f t="shared" si="67"/>
        <v>6.25</v>
      </c>
      <c r="I170" s="23">
        <f t="shared" si="69"/>
        <v>25</v>
      </c>
      <c r="J170" s="23" t="s">
        <v>480</v>
      </c>
      <c r="K170" s="23" t="s">
        <v>400</v>
      </c>
      <c r="L170" s="21">
        <v>25</v>
      </c>
      <c r="M170" s="21">
        <v>0</v>
      </c>
      <c r="N170" s="21">
        <f t="shared" si="68"/>
        <v>525</v>
      </c>
      <c r="O170" s="21">
        <v>4000</v>
      </c>
      <c r="P170" s="22">
        <v>2000</v>
      </c>
      <c r="Q170" s="25" t="s">
        <v>334</v>
      </c>
      <c r="R170" s="26" t="s">
        <v>13</v>
      </c>
      <c r="S170" s="6" t="s">
        <v>264</v>
      </c>
      <c r="T170" s="44"/>
      <c r="U170" s="72">
        <v>3.2597499999999999</v>
      </c>
      <c r="V170" s="26"/>
      <c r="W170" s="26"/>
      <c r="X170" s="26">
        <v>270.02612095324889</v>
      </c>
      <c r="Y170" s="26" t="s">
        <v>389</v>
      </c>
      <c r="Z170" s="26">
        <f t="shared" si="51"/>
        <v>250.57508115749096</v>
      </c>
      <c r="AA170" s="26">
        <f t="shared" si="52"/>
        <v>289.91692436323592</v>
      </c>
      <c r="AB170" s="26" t="s">
        <v>429</v>
      </c>
      <c r="AC170" s="26" t="s">
        <v>418</v>
      </c>
      <c r="AD170" s="26">
        <v>231.12404136173299</v>
      </c>
      <c r="AE170" s="26">
        <v>309.80772777322301</v>
      </c>
      <c r="AF170" s="26" t="s">
        <v>394</v>
      </c>
      <c r="AG170" s="25" t="s">
        <v>13</v>
      </c>
      <c r="AH170" s="6" t="s">
        <v>63</v>
      </c>
      <c r="AI170" s="44" t="s">
        <v>216</v>
      </c>
      <c r="AJ170" s="62">
        <v>94.37</v>
      </c>
      <c r="AK170" s="62"/>
      <c r="AL170" s="62"/>
      <c r="AM170" s="26">
        <f t="shared" ref="AM170:AM185" si="72">AS170</f>
        <v>380.9</v>
      </c>
      <c r="AN170" s="26" t="s">
        <v>389</v>
      </c>
      <c r="AO170" s="66">
        <f t="shared" si="70"/>
        <v>266.63</v>
      </c>
      <c r="AP170" s="100">
        <f t="shared" si="71"/>
        <v>628.4849999999999</v>
      </c>
      <c r="AQ170" s="29" t="s">
        <v>512</v>
      </c>
      <c r="AR170" s="23" t="s">
        <v>400</v>
      </c>
      <c r="AS170" s="29">
        <f>AVERAGE(332.8,429)</f>
        <v>380.9</v>
      </c>
      <c r="AT170" s="29">
        <v>316.39999999999998</v>
      </c>
      <c r="AU170" s="29">
        <v>484.3</v>
      </c>
      <c r="AV170" s="23" t="s">
        <v>236</v>
      </c>
      <c r="AW170" s="29" t="s">
        <v>741</v>
      </c>
      <c r="AX170" s="29" t="s">
        <v>13</v>
      </c>
      <c r="AY170" s="16" t="s">
        <v>842</v>
      </c>
      <c r="AZ170" s="97" t="s">
        <v>13</v>
      </c>
      <c r="BA170" s="97">
        <v>2.9504929999999998</v>
      </c>
      <c r="BB170" s="59"/>
      <c r="BC170" s="59"/>
      <c r="BD170" s="29">
        <v>407.29330000000004</v>
      </c>
      <c r="BE170" s="39" t="s">
        <v>239</v>
      </c>
      <c r="BF170" s="29">
        <f t="shared" si="55"/>
        <v>369.31630000000001</v>
      </c>
      <c r="BG170" s="29">
        <f t="shared" si="55"/>
        <v>447.21690000000001</v>
      </c>
      <c r="BH170" s="29" t="s">
        <v>542</v>
      </c>
      <c r="BI170" s="23" t="s">
        <v>419</v>
      </c>
      <c r="BJ170" s="29">
        <v>369.31630000000001</v>
      </c>
      <c r="BK170" s="29">
        <v>447.21690000000001</v>
      </c>
      <c r="BL170" s="29" t="s">
        <v>843</v>
      </c>
      <c r="BM170" s="25" t="s">
        <v>13</v>
      </c>
      <c r="BO170" s="44"/>
      <c r="CA170" s="25" t="s">
        <v>13</v>
      </c>
      <c r="CC170" s="25" t="s">
        <v>13</v>
      </c>
    </row>
    <row r="171" spans="1:81">
      <c r="A171" s="7" t="s">
        <v>46</v>
      </c>
      <c r="B171" s="25" t="s">
        <v>149</v>
      </c>
      <c r="C171" s="68">
        <f t="shared" si="66"/>
        <v>210.7</v>
      </c>
      <c r="D171" s="76">
        <v>211.9</v>
      </c>
      <c r="E171" s="76">
        <v>209.5</v>
      </c>
      <c r="F171" s="23">
        <f t="shared" si="56"/>
        <v>45</v>
      </c>
      <c r="G171" s="23" t="s">
        <v>389</v>
      </c>
      <c r="H171" s="23">
        <f t="shared" si="67"/>
        <v>22.5</v>
      </c>
      <c r="I171" s="23">
        <f t="shared" si="69"/>
        <v>90</v>
      </c>
      <c r="J171" s="23" t="s">
        <v>480</v>
      </c>
      <c r="K171" s="23" t="s">
        <v>400</v>
      </c>
      <c r="L171" s="21">
        <v>90</v>
      </c>
      <c r="M171" s="21">
        <v>0</v>
      </c>
      <c r="N171" s="21">
        <f t="shared" si="68"/>
        <v>590</v>
      </c>
      <c r="O171" s="21">
        <v>4000</v>
      </c>
      <c r="P171" s="22">
        <v>2000</v>
      </c>
      <c r="Q171" s="25" t="s">
        <v>334</v>
      </c>
      <c r="R171" s="26" t="s">
        <v>13</v>
      </c>
      <c r="S171" s="6" t="s">
        <v>264</v>
      </c>
      <c r="T171" s="44"/>
      <c r="U171" s="72">
        <v>3.2671000000000001</v>
      </c>
      <c r="V171" s="26"/>
      <c r="W171" s="26"/>
      <c r="X171" s="26">
        <v>261.76146444120855</v>
      </c>
      <c r="Y171" s="26" t="s">
        <v>389</v>
      </c>
      <c r="Z171" s="26">
        <f t="shared" si="51"/>
        <v>243.61346134212926</v>
      </c>
      <c r="AA171" s="26">
        <f t="shared" si="52"/>
        <v>280.25457118358378</v>
      </c>
      <c r="AB171" s="26" t="s">
        <v>429</v>
      </c>
      <c r="AC171" s="26" t="s">
        <v>418</v>
      </c>
      <c r="AD171" s="26">
        <v>225.46545824304999</v>
      </c>
      <c r="AE171" s="26">
        <v>298.74767792595901</v>
      </c>
      <c r="AF171" s="26" t="s">
        <v>394</v>
      </c>
      <c r="AG171" s="25" t="s">
        <v>13</v>
      </c>
      <c r="AH171" s="6" t="s">
        <v>63</v>
      </c>
      <c r="AI171" s="44" t="s">
        <v>216</v>
      </c>
      <c r="AJ171" s="62">
        <v>94.31</v>
      </c>
      <c r="AK171" s="62"/>
      <c r="AL171" s="62"/>
      <c r="AM171" s="26">
        <f t="shared" si="72"/>
        <v>384</v>
      </c>
      <c r="AN171" s="26" t="s">
        <v>389</v>
      </c>
      <c r="AO171" s="66">
        <f t="shared" si="70"/>
        <v>268.79999999999995</v>
      </c>
      <c r="AP171" s="100">
        <f t="shared" si="71"/>
        <v>633.59999999999991</v>
      </c>
      <c r="AQ171" s="29" t="s">
        <v>512</v>
      </c>
      <c r="AR171" s="23" t="s">
        <v>400</v>
      </c>
      <c r="AS171" s="29">
        <f>AVERAGE(336.9,431.1)</f>
        <v>384</v>
      </c>
      <c r="AT171" s="29">
        <v>322.5</v>
      </c>
      <c r="AU171" s="29">
        <v>490.4</v>
      </c>
      <c r="AV171" s="23" t="s">
        <v>236</v>
      </c>
      <c r="AW171" s="29" t="s">
        <v>741</v>
      </c>
      <c r="AX171" s="29" t="s">
        <v>13</v>
      </c>
      <c r="AY171" s="16" t="s">
        <v>842</v>
      </c>
      <c r="AZ171" s="97" t="s">
        <v>13</v>
      </c>
      <c r="BA171" s="97">
        <v>2.9511609999999999</v>
      </c>
      <c r="BB171" s="59"/>
      <c r="BC171" s="59"/>
      <c r="BD171" s="29">
        <v>467.79789999999997</v>
      </c>
      <c r="BE171" s="39" t="s">
        <v>239</v>
      </c>
      <c r="BF171" s="29">
        <f t="shared" si="55"/>
        <v>423.23620000000005</v>
      </c>
      <c r="BG171" s="29">
        <f t="shared" si="55"/>
        <v>515.93310000000008</v>
      </c>
      <c r="BH171" s="29" t="s">
        <v>542</v>
      </c>
      <c r="BI171" s="23" t="s">
        <v>419</v>
      </c>
      <c r="BJ171" s="29">
        <v>423.23620000000005</v>
      </c>
      <c r="BK171" s="29">
        <v>515.93310000000008</v>
      </c>
      <c r="BL171" s="29" t="s">
        <v>843</v>
      </c>
      <c r="BM171" s="25" t="s">
        <v>13</v>
      </c>
      <c r="BO171" s="44"/>
      <c r="CA171" s="25" t="s">
        <v>13</v>
      </c>
      <c r="CC171" s="25" t="s">
        <v>13</v>
      </c>
    </row>
    <row r="172" spans="1:81">
      <c r="A172" s="7" t="s">
        <v>46</v>
      </c>
      <c r="B172" s="25" t="s">
        <v>149</v>
      </c>
      <c r="C172" s="68">
        <f t="shared" si="66"/>
        <v>210.7</v>
      </c>
      <c r="D172" s="76">
        <v>211.9</v>
      </c>
      <c r="E172" s="76">
        <v>209.5</v>
      </c>
      <c r="F172" s="23">
        <f t="shared" si="56"/>
        <v>371.5</v>
      </c>
      <c r="G172" s="23" t="s">
        <v>389</v>
      </c>
      <c r="H172" s="23">
        <f t="shared" si="67"/>
        <v>185.75</v>
      </c>
      <c r="I172" s="23">
        <f t="shared" si="69"/>
        <v>743</v>
      </c>
      <c r="J172" s="23" t="s">
        <v>480</v>
      </c>
      <c r="K172" s="23" t="s">
        <v>400</v>
      </c>
      <c r="L172" s="21">
        <v>743</v>
      </c>
      <c r="M172" s="21">
        <f t="shared" ref="M172:M209" si="73">L172-500</f>
        <v>243</v>
      </c>
      <c r="N172" s="21">
        <f t="shared" si="68"/>
        <v>1243</v>
      </c>
      <c r="O172" s="21">
        <v>4000</v>
      </c>
      <c r="P172" s="22">
        <v>2000</v>
      </c>
      <c r="Q172" s="25" t="s">
        <v>334</v>
      </c>
      <c r="R172" s="26" t="s">
        <v>13</v>
      </c>
      <c r="S172" s="6" t="s">
        <v>264</v>
      </c>
      <c r="T172" s="44"/>
      <c r="U172" s="72">
        <v>3.27525555555555</v>
      </c>
      <c r="V172" s="26"/>
      <c r="W172" s="26"/>
      <c r="X172" s="26">
        <v>257.78370416018009</v>
      </c>
      <c r="Y172" s="26" t="s">
        <v>389</v>
      </c>
      <c r="Z172" s="26">
        <f t="shared" si="51"/>
        <v>241.06283355089954</v>
      </c>
      <c r="AA172" s="26">
        <f t="shared" si="52"/>
        <v>274.63713027881306</v>
      </c>
      <c r="AB172" s="26" t="s">
        <v>429</v>
      </c>
      <c r="AC172" s="26" t="s">
        <v>418</v>
      </c>
      <c r="AD172" s="26">
        <v>224.34196294161899</v>
      </c>
      <c r="AE172" s="26">
        <v>291.49055639744603</v>
      </c>
      <c r="AF172" s="26" t="s">
        <v>394</v>
      </c>
      <c r="AG172" s="25" t="s">
        <v>13</v>
      </c>
      <c r="AH172" s="6" t="s">
        <v>63</v>
      </c>
      <c r="AI172" s="44" t="s">
        <v>216</v>
      </c>
      <c r="AJ172" s="62">
        <v>94.28</v>
      </c>
      <c r="AK172" s="62"/>
      <c r="AL172" s="62"/>
      <c r="AM172" s="26">
        <f t="shared" si="72"/>
        <v>409.55</v>
      </c>
      <c r="AN172" s="26" t="s">
        <v>389</v>
      </c>
      <c r="AO172" s="66">
        <f t="shared" si="70"/>
        <v>286.685</v>
      </c>
      <c r="AP172" s="100">
        <f t="shared" si="71"/>
        <v>675.75749999999994</v>
      </c>
      <c r="AQ172" s="29" t="s">
        <v>512</v>
      </c>
      <c r="AR172" s="23" t="s">
        <v>400</v>
      </c>
      <c r="AS172" s="29">
        <f>AVERAGE(369.6,449.5)</f>
        <v>409.55</v>
      </c>
      <c r="AT172" s="29">
        <v>345.1</v>
      </c>
      <c r="AU172" s="29">
        <v>508.9</v>
      </c>
      <c r="AV172" s="23" t="s">
        <v>236</v>
      </c>
      <c r="AW172" s="29" t="s">
        <v>741</v>
      </c>
      <c r="AX172" s="29" t="s">
        <v>13</v>
      </c>
      <c r="AY172" s="16" t="s">
        <v>842</v>
      </c>
      <c r="AZ172" s="97" t="s">
        <v>13</v>
      </c>
      <c r="BA172" s="97">
        <v>2.9595989999999999</v>
      </c>
      <c r="BB172" s="59"/>
      <c r="BC172" s="59"/>
      <c r="BD172" s="29">
        <v>402.00149999999996</v>
      </c>
      <c r="BE172" s="39" t="s">
        <v>239</v>
      </c>
      <c r="BF172" s="29">
        <f t="shared" si="55"/>
        <v>365.05680000000001</v>
      </c>
      <c r="BG172" s="29">
        <f t="shared" si="55"/>
        <v>440.83080000000001</v>
      </c>
      <c r="BH172" s="29" t="s">
        <v>542</v>
      </c>
      <c r="BI172" s="23" t="s">
        <v>419</v>
      </c>
      <c r="BJ172" s="29">
        <v>365.05680000000001</v>
      </c>
      <c r="BK172" s="29">
        <v>440.83080000000001</v>
      </c>
      <c r="BL172" s="29" t="s">
        <v>843</v>
      </c>
      <c r="BM172" s="25" t="s">
        <v>13</v>
      </c>
      <c r="BO172" s="44"/>
      <c r="CA172" s="25" t="s">
        <v>13</v>
      </c>
      <c r="CC172" s="25" t="s">
        <v>13</v>
      </c>
    </row>
    <row r="173" spans="1:81">
      <c r="A173" s="7" t="s">
        <v>46</v>
      </c>
      <c r="B173" s="25" t="s">
        <v>149</v>
      </c>
      <c r="C173" s="68">
        <f t="shared" si="66"/>
        <v>211.75</v>
      </c>
      <c r="D173" s="76">
        <v>214</v>
      </c>
      <c r="E173" s="76">
        <v>209.5</v>
      </c>
      <c r="F173" s="23">
        <f t="shared" si="56"/>
        <v>1666.6666666666667</v>
      </c>
      <c r="G173" s="23" t="s">
        <v>389</v>
      </c>
      <c r="H173" s="23">
        <f t="shared" si="67"/>
        <v>833.33333333333337</v>
      </c>
      <c r="I173" s="23">
        <f t="shared" si="69"/>
        <v>3333.3333333333335</v>
      </c>
      <c r="J173" s="23" t="s">
        <v>480</v>
      </c>
      <c r="K173" s="23" t="s">
        <v>400</v>
      </c>
      <c r="L173" s="21">
        <v>2500</v>
      </c>
      <c r="M173" s="21">
        <f t="shared" si="73"/>
        <v>2000</v>
      </c>
      <c r="N173" s="21">
        <f t="shared" si="68"/>
        <v>3000</v>
      </c>
      <c r="O173" s="21">
        <v>3000</v>
      </c>
      <c r="P173" s="22">
        <v>2000</v>
      </c>
      <c r="Q173" s="25" t="s">
        <v>335</v>
      </c>
      <c r="R173" s="26" t="s">
        <v>13</v>
      </c>
      <c r="S173" s="6" t="s">
        <v>264</v>
      </c>
      <c r="T173" s="44"/>
      <c r="U173" s="72">
        <v>3.2867500000000001</v>
      </c>
      <c r="V173" s="26"/>
      <c r="W173" s="26"/>
      <c r="X173" s="26">
        <v>275.82295096396871</v>
      </c>
      <c r="Y173" s="26" t="s">
        <v>389</v>
      </c>
      <c r="Z173" s="26">
        <f t="shared" si="51"/>
        <v>256.82216450173632</v>
      </c>
      <c r="AA173" s="26">
        <f t="shared" si="52"/>
        <v>295.17022123407583</v>
      </c>
      <c r="AB173" s="26" t="s">
        <v>429</v>
      </c>
      <c r="AC173" s="26" t="s">
        <v>418</v>
      </c>
      <c r="AD173" s="26">
        <v>237.821378039504</v>
      </c>
      <c r="AE173" s="26">
        <v>314.517491504183</v>
      </c>
      <c r="AF173" s="26" t="s">
        <v>394</v>
      </c>
      <c r="AG173" s="25" t="s">
        <v>13</v>
      </c>
      <c r="AH173" s="6" t="s">
        <v>63</v>
      </c>
      <c r="AI173" s="44" t="s">
        <v>216</v>
      </c>
      <c r="AJ173" s="62">
        <v>94.21</v>
      </c>
      <c r="AK173" s="62"/>
      <c r="AL173" s="62"/>
      <c r="AM173" s="26">
        <f t="shared" si="72"/>
        <v>444.35</v>
      </c>
      <c r="AN173" s="26" t="s">
        <v>389</v>
      </c>
      <c r="AO173" s="66">
        <f t="shared" si="70"/>
        <v>311.04500000000002</v>
      </c>
      <c r="AP173" s="100">
        <f t="shared" si="71"/>
        <v>733.17750000000001</v>
      </c>
      <c r="AQ173" s="29" t="s">
        <v>512</v>
      </c>
      <c r="AR173" s="23" t="s">
        <v>400</v>
      </c>
      <c r="AS173" s="29">
        <f>AVERAGE(412.6,476.1)</f>
        <v>444.35</v>
      </c>
      <c r="AT173" s="29">
        <v>353.2</v>
      </c>
      <c r="AU173" s="29">
        <v>572.4</v>
      </c>
      <c r="AV173" s="23" t="s">
        <v>236</v>
      </c>
      <c r="AW173" s="29" t="s">
        <v>741</v>
      </c>
      <c r="AX173" s="29" t="s">
        <v>13</v>
      </c>
      <c r="AY173" s="16" t="s">
        <v>842</v>
      </c>
      <c r="AZ173" s="97" t="s">
        <v>13</v>
      </c>
      <c r="BA173" s="97">
        <v>2.9780660000000001</v>
      </c>
      <c r="BB173" s="59"/>
      <c r="BC173" s="59"/>
      <c r="BD173" s="29">
        <v>382.1216</v>
      </c>
      <c r="BE173" s="39" t="s">
        <v>239</v>
      </c>
      <c r="BF173" s="29">
        <f t="shared" si="55"/>
        <v>345.93360000000001</v>
      </c>
      <c r="BG173" s="29">
        <f t="shared" si="55"/>
        <v>418.47610000000003</v>
      </c>
      <c r="BH173" s="29" t="s">
        <v>542</v>
      </c>
      <c r="BI173" s="23" t="s">
        <v>419</v>
      </c>
      <c r="BJ173" s="29">
        <v>345.93360000000001</v>
      </c>
      <c r="BK173" s="29">
        <v>418.47610000000003</v>
      </c>
      <c r="BL173" s="29" t="s">
        <v>843</v>
      </c>
      <c r="BM173" s="25" t="s">
        <v>13</v>
      </c>
      <c r="BO173" s="44"/>
      <c r="CA173" s="25" t="s">
        <v>13</v>
      </c>
      <c r="CC173" s="25" t="s">
        <v>13</v>
      </c>
    </row>
    <row r="174" spans="1:81" ht="16.8">
      <c r="A174" s="7" t="s">
        <v>46</v>
      </c>
      <c r="B174" s="25" t="s">
        <v>149</v>
      </c>
      <c r="C174" s="68">
        <f t="shared" si="66"/>
        <v>211.75</v>
      </c>
      <c r="D174" s="76">
        <v>214</v>
      </c>
      <c r="E174" s="76">
        <v>209.5</v>
      </c>
      <c r="F174" s="23">
        <f t="shared" si="56"/>
        <v>1702</v>
      </c>
      <c r="G174" s="23" t="s">
        <v>389</v>
      </c>
      <c r="H174" s="23">
        <f t="shared" si="67"/>
        <v>851</v>
      </c>
      <c r="I174" s="23">
        <f t="shared" si="69"/>
        <v>3404</v>
      </c>
      <c r="J174" s="23" t="s">
        <v>480</v>
      </c>
      <c r="K174" s="23" t="s">
        <v>400</v>
      </c>
      <c r="L174" s="21">
        <v>2553</v>
      </c>
      <c r="M174" s="21">
        <f t="shared" si="73"/>
        <v>2053</v>
      </c>
      <c r="N174" s="21">
        <f t="shared" si="68"/>
        <v>3053</v>
      </c>
      <c r="O174" s="21">
        <v>3000</v>
      </c>
      <c r="P174" s="22">
        <v>2000</v>
      </c>
      <c r="Q174" s="25" t="s">
        <v>335</v>
      </c>
      <c r="R174" s="26" t="s">
        <v>13</v>
      </c>
      <c r="S174" s="6" t="s">
        <v>499</v>
      </c>
      <c r="T174" s="44" t="s">
        <v>501</v>
      </c>
      <c r="U174" s="62">
        <v>120.31</v>
      </c>
      <c r="V174" s="62">
        <v>120.41</v>
      </c>
      <c r="W174" s="62">
        <v>120.21</v>
      </c>
      <c r="X174" s="26">
        <v>971.61795819315898</v>
      </c>
      <c r="Y174" s="26" t="s">
        <v>389</v>
      </c>
      <c r="Z174" s="26">
        <f>AD174</f>
        <v>698.86266457874103</v>
      </c>
      <c r="AA174" s="26">
        <f>AE174</f>
        <v>1388.4047845576886</v>
      </c>
      <c r="AB174" s="25" t="s">
        <v>508</v>
      </c>
      <c r="AC174" s="77" t="s">
        <v>400</v>
      </c>
      <c r="AD174" s="26">
        <v>698.86266457874103</v>
      </c>
      <c r="AE174" s="26">
        <v>1388.4047845576886</v>
      </c>
      <c r="AF174" s="88" t="s">
        <v>506</v>
      </c>
      <c r="AG174" s="25" t="s">
        <v>13</v>
      </c>
      <c r="AH174" s="6" t="s">
        <v>63</v>
      </c>
      <c r="AI174" s="44" t="s">
        <v>216</v>
      </c>
      <c r="AJ174" s="62">
        <v>94.14</v>
      </c>
      <c r="AK174" s="62"/>
      <c r="AL174" s="62"/>
      <c r="AM174" s="26">
        <f t="shared" si="72"/>
        <v>456.65</v>
      </c>
      <c r="AN174" s="26" t="s">
        <v>389</v>
      </c>
      <c r="AO174" s="66">
        <f t="shared" si="70"/>
        <v>319.65499999999997</v>
      </c>
      <c r="AP174" s="100">
        <f t="shared" si="71"/>
        <v>753.47249999999997</v>
      </c>
      <c r="AQ174" s="29" t="s">
        <v>512</v>
      </c>
      <c r="AR174" s="23" t="s">
        <v>400</v>
      </c>
      <c r="AS174" s="29">
        <f>AVERAGE(429,484.3)</f>
        <v>456.65</v>
      </c>
      <c r="AT174" s="29">
        <v>357.3</v>
      </c>
      <c r="AU174" s="29">
        <v>637.9</v>
      </c>
      <c r="AV174" s="23" t="s">
        <v>236</v>
      </c>
      <c r="AW174" s="29" t="s">
        <v>741</v>
      </c>
      <c r="AX174" s="29" t="s">
        <v>13</v>
      </c>
      <c r="AY174" s="16" t="s">
        <v>842</v>
      </c>
      <c r="AZ174" s="97" t="s">
        <v>13</v>
      </c>
      <c r="BA174" s="97">
        <v>3.0028139999999999</v>
      </c>
      <c r="BB174" s="59"/>
      <c r="BC174" s="59"/>
      <c r="BD174" s="29">
        <v>419.51920000000001</v>
      </c>
      <c r="BE174" s="39" t="s">
        <v>239</v>
      </c>
      <c r="BF174" s="29">
        <f t="shared" si="55"/>
        <v>380.00579999999997</v>
      </c>
      <c r="BG174" s="29">
        <f t="shared" si="55"/>
        <v>461.35520000000002</v>
      </c>
      <c r="BH174" s="29" t="s">
        <v>542</v>
      </c>
      <c r="BI174" s="23" t="s">
        <v>419</v>
      </c>
      <c r="BJ174" s="29">
        <v>380.00579999999997</v>
      </c>
      <c r="BK174" s="29">
        <v>461.35520000000002</v>
      </c>
      <c r="BL174" s="29" t="s">
        <v>843</v>
      </c>
      <c r="BM174" s="25" t="s">
        <v>13</v>
      </c>
      <c r="BO174" s="44"/>
      <c r="CA174" s="25" t="s">
        <v>13</v>
      </c>
      <c r="CC174" s="25" t="s">
        <v>13</v>
      </c>
    </row>
    <row r="175" spans="1:81" ht="16.8">
      <c r="A175" s="7" t="s">
        <v>46</v>
      </c>
      <c r="B175" s="25" t="s">
        <v>149</v>
      </c>
      <c r="C175" s="68">
        <f t="shared" si="66"/>
        <v>211.75</v>
      </c>
      <c r="D175" s="76">
        <v>214</v>
      </c>
      <c r="E175" s="76">
        <v>209.5</v>
      </c>
      <c r="F175" s="23">
        <f t="shared" si="56"/>
        <v>1596</v>
      </c>
      <c r="G175" s="23" t="s">
        <v>389</v>
      </c>
      <c r="H175" s="23">
        <f t="shared" si="67"/>
        <v>798</v>
      </c>
      <c r="I175" s="23">
        <f t="shared" si="69"/>
        <v>3192</v>
      </c>
      <c r="J175" s="23" t="s">
        <v>480</v>
      </c>
      <c r="K175" s="23" t="s">
        <v>400</v>
      </c>
      <c r="L175" s="21">
        <v>2394</v>
      </c>
      <c r="M175" s="21">
        <f t="shared" si="73"/>
        <v>1894</v>
      </c>
      <c r="N175" s="21">
        <f t="shared" si="68"/>
        <v>2894</v>
      </c>
      <c r="O175" s="21">
        <v>3000</v>
      </c>
      <c r="P175" s="22">
        <v>2000</v>
      </c>
      <c r="Q175" s="25" t="s">
        <v>335</v>
      </c>
      <c r="R175" s="26" t="s">
        <v>13</v>
      </c>
      <c r="S175" s="6" t="s">
        <v>499</v>
      </c>
      <c r="T175" s="44" t="s">
        <v>501</v>
      </c>
      <c r="U175" s="62">
        <v>120.31</v>
      </c>
      <c r="V175" s="62">
        <v>120.41</v>
      </c>
      <c r="W175" s="62">
        <v>120.21</v>
      </c>
      <c r="X175" s="26">
        <v>974.93453674074919</v>
      </c>
      <c r="Y175" s="26" t="s">
        <v>389</v>
      </c>
      <c r="Z175" s="26">
        <f t="shared" ref="Z175:AA196" si="74">AD175</f>
        <v>799.4282037882291</v>
      </c>
      <c r="AA175" s="26">
        <f t="shared" si="74"/>
        <v>1221.1943234806683</v>
      </c>
      <c r="AB175" s="25" t="s">
        <v>508</v>
      </c>
      <c r="AC175" s="77" t="s">
        <v>400</v>
      </c>
      <c r="AD175" s="26">
        <v>799.4282037882291</v>
      </c>
      <c r="AE175" s="26">
        <v>1221.1943234806683</v>
      </c>
      <c r="AF175" s="88" t="s">
        <v>506</v>
      </c>
      <c r="AG175" s="25" t="s">
        <v>13</v>
      </c>
      <c r="AH175" s="6" t="s">
        <v>63</v>
      </c>
      <c r="AI175" s="44" t="s">
        <v>216</v>
      </c>
      <c r="AJ175" s="62">
        <v>94.1</v>
      </c>
      <c r="AK175" s="62"/>
      <c r="AL175" s="62"/>
      <c r="AM175" s="26">
        <f t="shared" si="72"/>
        <v>360.4</v>
      </c>
      <c r="AN175" s="26" t="s">
        <v>389</v>
      </c>
      <c r="AO175" s="66">
        <f t="shared" si="70"/>
        <v>252.27999999999997</v>
      </c>
      <c r="AP175" s="100">
        <f t="shared" si="71"/>
        <v>594.66</v>
      </c>
      <c r="AQ175" s="29" t="s">
        <v>512</v>
      </c>
      <c r="AR175" s="23" t="s">
        <v>400</v>
      </c>
      <c r="AS175" s="29">
        <f>AVERAGE(304.1,416.7)</f>
        <v>360.4</v>
      </c>
      <c r="AT175" s="29">
        <v>304.10000000000002</v>
      </c>
      <c r="AU175" s="29">
        <v>480.2</v>
      </c>
      <c r="AV175" s="23" t="s">
        <v>236</v>
      </c>
      <c r="AW175" s="29" t="s">
        <v>741</v>
      </c>
      <c r="AX175" s="29" t="s">
        <v>13</v>
      </c>
      <c r="AY175" s="16" t="s">
        <v>842</v>
      </c>
      <c r="AZ175" s="97" t="s">
        <v>13</v>
      </c>
      <c r="BA175" s="97">
        <v>3.010996</v>
      </c>
      <c r="BB175" s="59"/>
      <c r="BC175" s="59"/>
      <c r="BD175" s="29">
        <v>407.39209999999997</v>
      </c>
      <c r="BE175" s="39" t="s">
        <v>239</v>
      </c>
      <c r="BF175" s="29">
        <f t="shared" si="55"/>
        <v>368.9101</v>
      </c>
      <c r="BG175" s="29">
        <f t="shared" si="55"/>
        <v>447.22769999999997</v>
      </c>
      <c r="BH175" s="29" t="s">
        <v>542</v>
      </c>
      <c r="BI175" s="23" t="s">
        <v>419</v>
      </c>
      <c r="BJ175" s="29">
        <v>368.9101</v>
      </c>
      <c r="BK175" s="29">
        <v>447.22769999999997</v>
      </c>
      <c r="BL175" s="29" t="s">
        <v>843</v>
      </c>
      <c r="BM175" s="25" t="s">
        <v>13</v>
      </c>
      <c r="BO175" s="44"/>
      <c r="CA175" s="25" t="s">
        <v>13</v>
      </c>
      <c r="CC175" s="25" t="s">
        <v>13</v>
      </c>
    </row>
    <row r="176" spans="1:81" ht="16.8">
      <c r="A176" s="7" t="s">
        <v>46</v>
      </c>
      <c r="B176" s="25" t="s">
        <v>149</v>
      </c>
      <c r="C176" s="68">
        <f t="shared" si="66"/>
        <v>210.7</v>
      </c>
      <c r="D176" s="76">
        <v>211.9</v>
      </c>
      <c r="E176" s="76">
        <v>209.5</v>
      </c>
      <c r="F176" s="23">
        <f t="shared" si="56"/>
        <v>344</v>
      </c>
      <c r="G176" s="23" t="s">
        <v>389</v>
      </c>
      <c r="H176" s="23">
        <f t="shared" si="67"/>
        <v>172</v>
      </c>
      <c r="I176" s="23">
        <f t="shared" si="69"/>
        <v>688</v>
      </c>
      <c r="J176" s="23" t="s">
        <v>480</v>
      </c>
      <c r="K176" s="23" t="s">
        <v>400</v>
      </c>
      <c r="L176" s="21">
        <v>688</v>
      </c>
      <c r="M176" s="21">
        <f t="shared" si="73"/>
        <v>188</v>
      </c>
      <c r="N176" s="21">
        <f t="shared" si="68"/>
        <v>1188</v>
      </c>
      <c r="O176" s="21">
        <v>4000</v>
      </c>
      <c r="P176" s="22">
        <v>2000</v>
      </c>
      <c r="Q176" s="25" t="s">
        <v>334</v>
      </c>
      <c r="R176" s="26" t="s">
        <v>13</v>
      </c>
      <c r="S176" s="6" t="s">
        <v>499</v>
      </c>
      <c r="T176" s="44" t="s">
        <v>500</v>
      </c>
      <c r="U176" s="62">
        <v>120.13499999999999</v>
      </c>
      <c r="V176" s="62">
        <v>120.21</v>
      </c>
      <c r="W176" s="62">
        <v>120.05999999999999</v>
      </c>
      <c r="X176" s="26">
        <v>895.59451038141879</v>
      </c>
      <c r="Y176" s="26" t="s">
        <v>389</v>
      </c>
      <c r="Z176" s="26">
        <f t="shared" si="74"/>
        <v>691.79760245614295</v>
      </c>
      <c r="AA176" s="26">
        <f t="shared" si="74"/>
        <v>1194.4992059645531</v>
      </c>
      <c r="AB176" s="25" t="s">
        <v>508</v>
      </c>
      <c r="AC176" s="77" t="s">
        <v>400</v>
      </c>
      <c r="AD176" s="26">
        <v>691.79760245614295</v>
      </c>
      <c r="AE176" s="26">
        <v>1194.4992059645531</v>
      </c>
      <c r="AF176" s="88" t="s">
        <v>506</v>
      </c>
      <c r="AG176" s="25" t="s">
        <v>13</v>
      </c>
      <c r="AH176" s="6" t="s">
        <v>63</v>
      </c>
      <c r="AI176" s="44" t="s">
        <v>216</v>
      </c>
      <c r="AJ176" s="62">
        <v>94.09</v>
      </c>
      <c r="AK176" s="62"/>
      <c r="AL176" s="62"/>
      <c r="AM176" s="26">
        <f t="shared" si="72"/>
        <v>446.45</v>
      </c>
      <c r="AN176" s="26" t="s">
        <v>389</v>
      </c>
      <c r="AO176" s="66">
        <f t="shared" si="70"/>
        <v>312.51499999999999</v>
      </c>
      <c r="AP176" s="100">
        <f t="shared" si="71"/>
        <v>736.64249999999993</v>
      </c>
      <c r="AQ176" s="29" t="s">
        <v>512</v>
      </c>
      <c r="AR176" s="23" t="s">
        <v>400</v>
      </c>
      <c r="AS176" s="29">
        <f>AVERAGE(414.7,478.2)</f>
        <v>446.45</v>
      </c>
      <c r="AT176" s="29">
        <v>349.9</v>
      </c>
      <c r="AU176" s="29">
        <v>543.70000000000005</v>
      </c>
      <c r="AV176" s="23" t="s">
        <v>236</v>
      </c>
      <c r="AW176" s="29" t="s">
        <v>741</v>
      </c>
      <c r="AX176" s="29" t="s">
        <v>13</v>
      </c>
      <c r="AY176" s="16" t="s">
        <v>842</v>
      </c>
      <c r="AZ176" s="97" t="s">
        <v>13</v>
      </c>
      <c r="BA176" s="97">
        <v>3.0275820000000002</v>
      </c>
      <c r="BB176" s="59"/>
      <c r="BC176" s="59"/>
      <c r="BD176" s="29">
        <v>430.44200000000001</v>
      </c>
      <c r="BE176" s="39" t="s">
        <v>239</v>
      </c>
      <c r="BF176" s="29">
        <f t="shared" si="55"/>
        <v>390.27799999999996</v>
      </c>
      <c r="BG176" s="29">
        <f t="shared" si="55"/>
        <v>472.95799999999997</v>
      </c>
      <c r="BH176" s="29" t="s">
        <v>542</v>
      </c>
      <c r="BI176" s="23" t="s">
        <v>419</v>
      </c>
      <c r="BJ176" s="29">
        <v>390.27799999999996</v>
      </c>
      <c r="BK176" s="29">
        <v>472.95799999999997</v>
      </c>
      <c r="BL176" s="29" t="s">
        <v>843</v>
      </c>
      <c r="BM176" s="25" t="s">
        <v>13</v>
      </c>
      <c r="BO176" s="44"/>
      <c r="CA176" s="25" t="s">
        <v>13</v>
      </c>
      <c r="CC176" s="25" t="s">
        <v>13</v>
      </c>
    </row>
    <row r="177" spans="1:81" ht="16.8">
      <c r="A177" s="7" t="s">
        <v>46</v>
      </c>
      <c r="B177" s="25" t="s">
        <v>149</v>
      </c>
      <c r="C177" s="68">
        <f t="shared" si="66"/>
        <v>210.7</v>
      </c>
      <c r="D177" s="76">
        <v>211.9</v>
      </c>
      <c r="E177" s="76">
        <v>209.5</v>
      </c>
      <c r="F177" s="23">
        <f t="shared" si="56"/>
        <v>268.5</v>
      </c>
      <c r="G177" s="23" t="s">
        <v>389</v>
      </c>
      <c r="H177" s="23">
        <f t="shared" si="67"/>
        <v>134.25</v>
      </c>
      <c r="I177" s="23">
        <f t="shared" si="69"/>
        <v>537</v>
      </c>
      <c r="J177" s="23" t="s">
        <v>480</v>
      </c>
      <c r="K177" s="23" t="s">
        <v>400</v>
      </c>
      <c r="L177" s="21">
        <v>537</v>
      </c>
      <c r="M177" s="21">
        <f t="shared" si="73"/>
        <v>37</v>
      </c>
      <c r="N177" s="21">
        <f t="shared" si="68"/>
        <v>1037</v>
      </c>
      <c r="O177" s="21">
        <v>4000</v>
      </c>
      <c r="P177" s="22">
        <v>2000</v>
      </c>
      <c r="Q177" s="25" t="s">
        <v>334</v>
      </c>
      <c r="R177" s="26" t="s">
        <v>13</v>
      </c>
      <c r="S177" s="6" t="s">
        <v>499</v>
      </c>
      <c r="T177" s="44" t="s">
        <v>500</v>
      </c>
      <c r="U177" s="62">
        <v>120.13499999999999</v>
      </c>
      <c r="V177" s="62">
        <v>120.21</v>
      </c>
      <c r="W177" s="62">
        <v>120.05999999999999</v>
      </c>
      <c r="X177" s="26">
        <v>914.79615233742129</v>
      </c>
      <c r="Y177" s="26" t="s">
        <v>389</v>
      </c>
      <c r="Z177" s="26">
        <f t="shared" si="74"/>
        <v>753.08501357564239</v>
      </c>
      <c r="AA177" s="26">
        <f t="shared" si="74"/>
        <v>1140.7128334135573</v>
      </c>
      <c r="AB177" s="25" t="s">
        <v>508</v>
      </c>
      <c r="AC177" s="77" t="s">
        <v>400</v>
      </c>
      <c r="AD177" s="26">
        <v>753.08501357564239</v>
      </c>
      <c r="AE177" s="26">
        <v>1140.7128334135573</v>
      </c>
      <c r="AF177" s="88" t="s">
        <v>506</v>
      </c>
      <c r="AG177" s="25" t="s">
        <v>13</v>
      </c>
      <c r="AH177" s="6" t="s">
        <v>63</v>
      </c>
      <c r="AI177" s="44" t="s">
        <v>216</v>
      </c>
      <c r="AJ177" s="62">
        <v>94.09</v>
      </c>
      <c r="AK177" s="62"/>
      <c r="AL177" s="62"/>
      <c r="AM177" s="26">
        <f t="shared" si="72"/>
        <v>396.25</v>
      </c>
      <c r="AN177" s="26" t="s">
        <v>389</v>
      </c>
      <c r="AO177" s="66">
        <f t="shared" si="70"/>
        <v>277.375</v>
      </c>
      <c r="AP177" s="100">
        <f t="shared" si="71"/>
        <v>653.8125</v>
      </c>
      <c r="AQ177" s="29" t="s">
        <v>512</v>
      </c>
      <c r="AR177" s="23" t="s">
        <v>400</v>
      </c>
      <c r="AS177" s="29">
        <f>AVERAGE(351.2,441.3)</f>
        <v>396.25</v>
      </c>
      <c r="AT177" s="29">
        <v>351.2</v>
      </c>
      <c r="AU177" s="29">
        <v>500.7</v>
      </c>
      <c r="AV177" s="23" t="s">
        <v>236</v>
      </c>
      <c r="AW177" s="29" t="s">
        <v>741</v>
      </c>
      <c r="AX177" s="29" t="s">
        <v>13</v>
      </c>
      <c r="AY177" s="16" t="s">
        <v>842</v>
      </c>
      <c r="AZ177" s="97" t="s">
        <v>13</v>
      </c>
      <c r="BA177" s="97">
        <v>3.0426630000000001</v>
      </c>
      <c r="BB177" s="59"/>
      <c r="BC177" s="59"/>
      <c r="BD177" s="29">
        <v>467.83890000000002</v>
      </c>
      <c r="BE177" s="39" t="s">
        <v>239</v>
      </c>
      <c r="BF177" s="29">
        <f t="shared" si="55"/>
        <v>423.7971</v>
      </c>
      <c r="BG177" s="29">
        <f t="shared" si="55"/>
        <v>512.04269999999997</v>
      </c>
      <c r="BH177" s="29" t="s">
        <v>542</v>
      </c>
      <c r="BI177" s="23" t="s">
        <v>419</v>
      </c>
      <c r="BJ177" s="29">
        <v>423.7971</v>
      </c>
      <c r="BK177" s="29">
        <v>512.04269999999997</v>
      </c>
      <c r="BL177" s="29" t="s">
        <v>843</v>
      </c>
      <c r="BM177" s="25" t="s">
        <v>13</v>
      </c>
      <c r="BO177" s="44"/>
      <c r="CA177" s="25" t="s">
        <v>13</v>
      </c>
      <c r="CC177" s="25" t="s">
        <v>13</v>
      </c>
    </row>
    <row r="178" spans="1:81" ht="16.8">
      <c r="A178" s="7" t="s">
        <v>46</v>
      </c>
      <c r="B178" s="25" t="s">
        <v>149</v>
      </c>
      <c r="C178" s="68">
        <f t="shared" si="66"/>
        <v>210.7</v>
      </c>
      <c r="D178" s="76">
        <v>211.9</v>
      </c>
      <c r="E178" s="76">
        <v>209.5</v>
      </c>
      <c r="F178" s="23">
        <f t="shared" si="56"/>
        <v>377</v>
      </c>
      <c r="G178" s="23" t="s">
        <v>389</v>
      </c>
      <c r="H178" s="23">
        <f t="shared" si="67"/>
        <v>188.5</v>
      </c>
      <c r="I178" s="23">
        <f t="shared" si="69"/>
        <v>754</v>
      </c>
      <c r="J178" s="23" t="s">
        <v>480</v>
      </c>
      <c r="K178" s="23" t="s">
        <v>400</v>
      </c>
      <c r="L178" s="21">
        <v>754</v>
      </c>
      <c r="M178" s="21">
        <f t="shared" si="73"/>
        <v>254</v>
      </c>
      <c r="N178" s="21">
        <f t="shared" si="68"/>
        <v>1254</v>
      </c>
      <c r="O178" s="21">
        <v>4000</v>
      </c>
      <c r="P178" s="22">
        <v>2000</v>
      </c>
      <c r="Q178" s="25" t="s">
        <v>334</v>
      </c>
      <c r="R178" s="26" t="s">
        <v>13</v>
      </c>
      <c r="S178" s="6" t="s">
        <v>499</v>
      </c>
      <c r="T178" s="44" t="s">
        <v>500</v>
      </c>
      <c r="U178" s="62">
        <v>120.13499999999999</v>
      </c>
      <c r="V178" s="62">
        <v>120.21</v>
      </c>
      <c r="W178" s="62">
        <v>120.05999999999999</v>
      </c>
      <c r="X178" s="26">
        <v>1436.6479263864176</v>
      </c>
      <c r="Y178" s="26" t="s">
        <v>389</v>
      </c>
      <c r="Z178" s="26">
        <f t="shared" si="74"/>
        <v>933.64147901480248</v>
      </c>
      <c r="AA178" s="26">
        <f t="shared" si="74"/>
        <v>2289.2267835429716</v>
      </c>
      <c r="AB178" s="25" t="s">
        <v>508</v>
      </c>
      <c r="AC178" s="77" t="s">
        <v>400</v>
      </c>
      <c r="AD178" s="26">
        <v>933.64147901480248</v>
      </c>
      <c r="AE178" s="26">
        <v>2289.2267835429716</v>
      </c>
      <c r="AF178" s="88" t="s">
        <v>506</v>
      </c>
      <c r="AG178" s="25" t="s">
        <v>13</v>
      </c>
      <c r="AH178" s="6" t="s">
        <v>63</v>
      </c>
      <c r="AI178" s="44" t="s">
        <v>216</v>
      </c>
      <c r="AJ178" s="62">
        <v>94.09</v>
      </c>
      <c r="AK178" s="62"/>
      <c r="AL178" s="62"/>
      <c r="AM178" s="26">
        <f t="shared" si="72"/>
        <v>448.45</v>
      </c>
      <c r="AN178" s="26" t="s">
        <v>389</v>
      </c>
      <c r="AO178" s="66">
        <f t="shared" si="70"/>
        <v>313.91499999999996</v>
      </c>
      <c r="AP178" s="100">
        <f t="shared" si="71"/>
        <v>739.9425</v>
      </c>
      <c r="AQ178" s="29" t="s">
        <v>512</v>
      </c>
      <c r="AR178" s="23" t="s">
        <v>400</v>
      </c>
      <c r="AS178" s="29">
        <f>AVERAGE(416.7,480.2)</f>
        <v>448.45</v>
      </c>
      <c r="AT178" s="29">
        <v>361.4</v>
      </c>
      <c r="AU178" s="29">
        <v>568.29999999999995</v>
      </c>
      <c r="AV178" s="23" t="s">
        <v>236</v>
      </c>
      <c r="AW178" s="29" t="s">
        <v>741</v>
      </c>
      <c r="AX178" s="29" t="s">
        <v>13</v>
      </c>
      <c r="AY178" s="16" t="s">
        <v>842</v>
      </c>
      <c r="AZ178" s="97" t="s">
        <v>13</v>
      </c>
      <c r="BA178" s="97">
        <v>3.0500159999999998</v>
      </c>
      <c r="BB178" s="59"/>
      <c r="BC178" s="59"/>
      <c r="BD178" s="29">
        <v>469.63069999999999</v>
      </c>
      <c r="BE178" s="39" t="s">
        <v>239</v>
      </c>
      <c r="BF178" s="29">
        <f t="shared" si="55"/>
        <v>425.57490000000001</v>
      </c>
      <c r="BG178" s="29">
        <f t="shared" si="55"/>
        <v>515.38549999999998</v>
      </c>
      <c r="BH178" s="29" t="s">
        <v>542</v>
      </c>
      <c r="BI178" s="23" t="s">
        <v>419</v>
      </c>
      <c r="BJ178" s="29">
        <v>425.57490000000001</v>
      </c>
      <c r="BK178" s="29">
        <v>515.38549999999998</v>
      </c>
      <c r="BL178" s="29" t="s">
        <v>843</v>
      </c>
      <c r="BM178" s="25" t="s">
        <v>13</v>
      </c>
      <c r="BO178" s="44"/>
      <c r="CA178" s="25" t="s">
        <v>13</v>
      </c>
      <c r="CC178" s="25" t="s">
        <v>13</v>
      </c>
    </row>
    <row r="179" spans="1:81" ht="16.8">
      <c r="A179" s="7" t="s">
        <v>46</v>
      </c>
      <c r="B179" s="25" t="s">
        <v>149</v>
      </c>
      <c r="C179" s="68">
        <f t="shared" si="66"/>
        <v>211.75</v>
      </c>
      <c r="D179" s="76">
        <v>214</v>
      </c>
      <c r="E179" s="76">
        <v>209.5</v>
      </c>
      <c r="F179" s="23">
        <f t="shared" si="56"/>
        <v>1442.6666666666667</v>
      </c>
      <c r="G179" s="23" t="s">
        <v>389</v>
      </c>
      <c r="H179" s="23">
        <f t="shared" si="67"/>
        <v>721.33333333333337</v>
      </c>
      <c r="I179" s="23">
        <f t="shared" si="69"/>
        <v>2885.3333333333335</v>
      </c>
      <c r="J179" s="23" t="s">
        <v>480</v>
      </c>
      <c r="K179" s="23" t="s">
        <v>400</v>
      </c>
      <c r="L179" s="21">
        <v>2164</v>
      </c>
      <c r="M179" s="21">
        <f t="shared" si="73"/>
        <v>1664</v>
      </c>
      <c r="N179" s="21">
        <f t="shared" si="68"/>
        <v>2664</v>
      </c>
      <c r="O179" s="21">
        <v>3000</v>
      </c>
      <c r="P179" s="22">
        <v>2000</v>
      </c>
      <c r="Q179" s="25" t="s">
        <v>335</v>
      </c>
      <c r="R179" s="26" t="s">
        <v>13</v>
      </c>
      <c r="S179" s="6" t="s">
        <v>499</v>
      </c>
      <c r="T179" s="44" t="s">
        <v>500</v>
      </c>
      <c r="U179" s="62">
        <v>120.13499999999999</v>
      </c>
      <c r="V179" s="62">
        <v>120.21</v>
      </c>
      <c r="W179" s="62">
        <v>120.05999999999999</v>
      </c>
      <c r="X179" s="26">
        <v>1596.129513006995</v>
      </c>
      <c r="Y179" s="26" t="s">
        <v>389</v>
      </c>
      <c r="Z179" s="26">
        <f t="shared" si="74"/>
        <v>1050.1578348903658</v>
      </c>
      <c r="AA179" s="26">
        <f t="shared" si="74"/>
        <v>2517.3585771637136</v>
      </c>
      <c r="AB179" s="25" t="s">
        <v>508</v>
      </c>
      <c r="AC179" s="77" t="s">
        <v>400</v>
      </c>
      <c r="AD179" s="26">
        <v>1050.1578348903658</v>
      </c>
      <c r="AE179" s="26">
        <v>2517.3585771637136</v>
      </c>
      <c r="AF179" s="88" t="s">
        <v>506</v>
      </c>
      <c r="AG179" s="25" t="s">
        <v>13</v>
      </c>
      <c r="AH179" s="6" t="s">
        <v>63</v>
      </c>
      <c r="AI179" s="44" t="s">
        <v>216</v>
      </c>
      <c r="AJ179" s="62">
        <v>94.066000000000003</v>
      </c>
      <c r="AK179" s="62"/>
      <c r="AL179" s="62"/>
      <c r="AM179" s="26">
        <f t="shared" si="72"/>
        <v>507.85</v>
      </c>
      <c r="AN179" s="26" t="s">
        <v>389</v>
      </c>
      <c r="AO179" s="66">
        <f t="shared" si="70"/>
        <v>355.495</v>
      </c>
      <c r="AP179" s="100">
        <f t="shared" si="71"/>
        <v>837.95249999999999</v>
      </c>
      <c r="AQ179" s="29" t="s">
        <v>512</v>
      </c>
      <c r="AR179" s="23" t="s">
        <v>400</v>
      </c>
      <c r="AS179" s="29">
        <f>AVERAGE(486.3,529.4)</f>
        <v>507.85</v>
      </c>
      <c r="AT179" s="29">
        <v>326.60000000000002</v>
      </c>
      <c r="AU179" s="29">
        <v>906.1</v>
      </c>
      <c r="AV179" s="23" t="s">
        <v>236</v>
      </c>
      <c r="AW179" s="29" t="s">
        <v>741</v>
      </c>
      <c r="AX179" s="29" t="s">
        <v>13</v>
      </c>
      <c r="AY179" s="16" t="s">
        <v>842</v>
      </c>
      <c r="AZ179" s="97" t="s">
        <v>13</v>
      </c>
      <c r="BA179" s="97">
        <v>3.0590259999999998</v>
      </c>
      <c r="BB179" s="59"/>
      <c r="BC179" s="59"/>
      <c r="BD179" s="29">
        <v>411.5299</v>
      </c>
      <c r="BE179" s="39" t="s">
        <v>239</v>
      </c>
      <c r="BF179" s="29">
        <f t="shared" si="55"/>
        <v>372.85390000000001</v>
      </c>
      <c r="BG179" s="29">
        <f t="shared" si="55"/>
        <v>451.86369999999999</v>
      </c>
      <c r="BH179" s="29" t="s">
        <v>542</v>
      </c>
      <c r="BI179" s="23" t="s">
        <v>419</v>
      </c>
      <c r="BJ179" s="29">
        <v>372.85390000000001</v>
      </c>
      <c r="BK179" s="29">
        <v>451.86369999999999</v>
      </c>
      <c r="BL179" s="29" t="s">
        <v>843</v>
      </c>
      <c r="BM179" s="25" t="s">
        <v>13</v>
      </c>
      <c r="BO179" s="44"/>
      <c r="CA179" s="25" t="s">
        <v>13</v>
      </c>
      <c r="CC179" s="25" t="s">
        <v>13</v>
      </c>
    </row>
    <row r="180" spans="1:81" ht="16.8">
      <c r="A180" s="7" t="s">
        <v>46</v>
      </c>
      <c r="B180" s="25" t="s">
        <v>149</v>
      </c>
      <c r="C180" s="68">
        <f t="shared" si="66"/>
        <v>211.75</v>
      </c>
      <c r="D180" s="76">
        <v>214</v>
      </c>
      <c r="E180" s="76">
        <v>209.5</v>
      </c>
      <c r="F180" s="23">
        <f t="shared" si="56"/>
        <v>1191.3333333333333</v>
      </c>
      <c r="G180" s="23" t="s">
        <v>389</v>
      </c>
      <c r="H180" s="23">
        <f t="shared" si="67"/>
        <v>595.66666666666663</v>
      </c>
      <c r="I180" s="23">
        <f t="shared" si="69"/>
        <v>2382.6666666666665</v>
      </c>
      <c r="J180" s="23" t="s">
        <v>480</v>
      </c>
      <c r="K180" s="23" t="s">
        <v>400</v>
      </c>
      <c r="L180" s="21">
        <v>1787</v>
      </c>
      <c r="M180" s="21">
        <f t="shared" si="73"/>
        <v>1287</v>
      </c>
      <c r="N180" s="21">
        <f t="shared" si="68"/>
        <v>2287</v>
      </c>
      <c r="O180" s="21">
        <v>3000</v>
      </c>
      <c r="P180" s="22">
        <v>2000</v>
      </c>
      <c r="Q180" s="25" t="s">
        <v>335</v>
      </c>
      <c r="R180" s="26" t="s">
        <v>13</v>
      </c>
      <c r="S180" s="6" t="s">
        <v>499</v>
      </c>
      <c r="T180" s="44" t="s">
        <v>502</v>
      </c>
      <c r="U180" s="62">
        <v>119.94049999999999</v>
      </c>
      <c r="V180" s="62">
        <v>120.05999999999999</v>
      </c>
      <c r="W180" s="62">
        <v>119.82099999999998</v>
      </c>
      <c r="X180" s="26">
        <v>1254.6281827805767</v>
      </c>
      <c r="Y180" s="26" t="s">
        <v>389</v>
      </c>
      <c r="Z180" s="26">
        <f t="shared" si="74"/>
        <v>951.99734711757912</v>
      </c>
      <c r="AA180" s="26">
        <f t="shared" si="74"/>
        <v>1716.4651055861179</v>
      </c>
      <c r="AB180" s="25" t="s">
        <v>508</v>
      </c>
      <c r="AC180" s="77" t="s">
        <v>400</v>
      </c>
      <c r="AD180" s="26">
        <v>951.99734711757912</v>
      </c>
      <c r="AE180" s="26">
        <v>1716.4651055861179</v>
      </c>
      <c r="AF180" s="88" t="s">
        <v>506</v>
      </c>
      <c r="AG180" s="25" t="s">
        <v>13</v>
      </c>
      <c r="AH180" s="6" t="s">
        <v>63</v>
      </c>
      <c r="AI180" s="44" t="s">
        <v>216</v>
      </c>
      <c r="AJ180" s="62">
        <v>94.046000000000006</v>
      </c>
      <c r="AK180" s="62"/>
      <c r="AL180" s="62"/>
      <c r="AM180" s="26">
        <f t="shared" si="72"/>
        <v>485.29999999999995</v>
      </c>
      <c r="AN180" s="26" t="s">
        <v>389</v>
      </c>
      <c r="AO180" s="66">
        <f t="shared" si="70"/>
        <v>339.70999999999992</v>
      </c>
      <c r="AP180" s="100">
        <f t="shared" si="71"/>
        <v>800.74499999999989</v>
      </c>
      <c r="AQ180" s="29" t="s">
        <v>512</v>
      </c>
      <c r="AR180" s="23" t="s">
        <v>400</v>
      </c>
      <c r="AS180" s="29">
        <f>AVERAGE(459.7,510.9)</f>
        <v>485.29999999999995</v>
      </c>
      <c r="AT180" s="29">
        <v>336.9</v>
      </c>
      <c r="AU180" s="29">
        <v>777.1</v>
      </c>
      <c r="AV180" s="23" t="s">
        <v>236</v>
      </c>
      <c r="AW180" s="29" t="s">
        <v>741</v>
      </c>
      <c r="AX180" s="29" t="s">
        <v>13</v>
      </c>
      <c r="AY180" s="16" t="s">
        <v>842</v>
      </c>
      <c r="AZ180" s="97" t="s">
        <v>13</v>
      </c>
      <c r="BA180" s="97">
        <v>3.062961</v>
      </c>
      <c r="BB180" s="59"/>
      <c r="BC180" s="59"/>
      <c r="BD180" s="29">
        <v>461.33460000000002</v>
      </c>
      <c r="BE180" s="39" t="s">
        <v>239</v>
      </c>
      <c r="BF180" s="29">
        <f t="shared" si="55"/>
        <v>417.5641</v>
      </c>
      <c r="BG180" s="29">
        <f t="shared" si="55"/>
        <v>506.61170000000004</v>
      </c>
      <c r="BH180" s="29" t="s">
        <v>542</v>
      </c>
      <c r="BI180" s="23" t="s">
        <v>419</v>
      </c>
      <c r="BJ180" s="29">
        <v>417.5641</v>
      </c>
      <c r="BK180" s="29">
        <v>506.61170000000004</v>
      </c>
      <c r="BL180" s="29" t="s">
        <v>843</v>
      </c>
      <c r="BM180" s="25" t="s">
        <v>13</v>
      </c>
      <c r="BO180" s="44"/>
      <c r="CA180" s="25" t="s">
        <v>13</v>
      </c>
      <c r="CC180" s="25" t="s">
        <v>13</v>
      </c>
    </row>
    <row r="181" spans="1:81" ht="16.8">
      <c r="A181" s="7" t="s">
        <v>46</v>
      </c>
      <c r="B181" s="25" t="s">
        <v>149</v>
      </c>
      <c r="C181" s="68">
        <f t="shared" si="66"/>
        <v>211.75</v>
      </c>
      <c r="D181" s="76">
        <v>214</v>
      </c>
      <c r="E181" s="76">
        <v>209.5</v>
      </c>
      <c r="F181" s="23">
        <f t="shared" si="56"/>
        <v>1348.6666666666667</v>
      </c>
      <c r="G181" s="23" t="s">
        <v>389</v>
      </c>
      <c r="H181" s="23">
        <f t="shared" si="67"/>
        <v>674.33333333333337</v>
      </c>
      <c r="I181" s="23">
        <f t="shared" si="69"/>
        <v>2697.3333333333335</v>
      </c>
      <c r="J181" s="23" t="s">
        <v>480</v>
      </c>
      <c r="K181" s="23" t="s">
        <v>400</v>
      </c>
      <c r="L181" s="21">
        <v>2023</v>
      </c>
      <c r="M181" s="21">
        <f t="shared" si="73"/>
        <v>1523</v>
      </c>
      <c r="N181" s="21">
        <f t="shared" si="68"/>
        <v>2523</v>
      </c>
      <c r="O181" s="21">
        <v>3000</v>
      </c>
      <c r="P181" s="22">
        <v>2000</v>
      </c>
      <c r="Q181" s="25" t="s">
        <v>335</v>
      </c>
      <c r="R181" s="26" t="s">
        <v>13</v>
      </c>
      <c r="S181" s="6" t="s">
        <v>499</v>
      </c>
      <c r="T181" s="44" t="s">
        <v>502</v>
      </c>
      <c r="U181" s="62">
        <v>119.94049999999999</v>
      </c>
      <c r="V181" s="62">
        <v>120.05999999999999</v>
      </c>
      <c r="W181" s="62">
        <v>119.82099999999998</v>
      </c>
      <c r="X181" s="26">
        <v>1941.7659334459984</v>
      </c>
      <c r="Y181" s="26" t="s">
        <v>389</v>
      </c>
      <c r="Z181" s="26">
        <f t="shared" si="74"/>
        <v>1409.1794052361486</v>
      </c>
      <c r="AA181" s="26">
        <f t="shared" si="74"/>
        <v>2829.4769366811388</v>
      </c>
      <c r="AB181" s="25" t="s">
        <v>508</v>
      </c>
      <c r="AC181" s="77" t="s">
        <v>400</v>
      </c>
      <c r="AD181" s="26">
        <v>1409.1794052361486</v>
      </c>
      <c r="AE181" s="26">
        <v>2829.4769366811388</v>
      </c>
      <c r="AF181" s="88" t="s">
        <v>506</v>
      </c>
      <c r="AG181" s="25" t="s">
        <v>13</v>
      </c>
      <c r="AH181" s="6" t="s">
        <v>63</v>
      </c>
      <c r="AI181" s="44" t="s">
        <v>216</v>
      </c>
      <c r="AJ181" s="62">
        <v>94.033000000000001</v>
      </c>
      <c r="AK181" s="62"/>
      <c r="AL181" s="62"/>
      <c r="AM181" s="26">
        <f t="shared" si="72"/>
        <v>424.9</v>
      </c>
      <c r="AN181" s="26" t="s">
        <v>389</v>
      </c>
      <c r="AO181" s="66">
        <f t="shared" si="70"/>
        <v>297.42999999999995</v>
      </c>
      <c r="AP181" s="100">
        <f t="shared" si="71"/>
        <v>701.08499999999992</v>
      </c>
      <c r="AQ181" s="29" t="s">
        <v>512</v>
      </c>
      <c r="AR181" s="23" t="s">
        <v>400</v>
      </c>
      <c r="AS181" s="29">
        <f>AVERAGE(386,463.8)</f>
        <v>424.9</v>
      </c>
      <c r="AT181" s="29">
        <v>355.3</v>
      </c>
      <c r="AU181" s="29">
        <v>549.79999999999995</v>
      </c>
      <c r="AV181" s="23" t="s">
        <v>236</v>
      </c>
      <c r="AW181" s="29" t="s">
        <v>741</v>
      </c>
      <c r="AX181" s="29" t="s">
        <v>13</v>
      </c>
      <c r="AY181" s="16" t="s">
        <v>842</v>
      </c>
      <c r="AZ181" s="97" t="s">
        <v>13</v>
      </c>
      <c r="BA181" s="97">
        <v>3.066538</v>
      </c>
      <c r="BB181" s="59"/>
      <c r="BC181" s="59"/>
      <c r="BD181" s="29">
        <v>428.04939999999999</v>
      </c>
      <c r="BE181" s="39" t="s">
        <v>239</v>
      </c>
      <c r="BF181" s="29">
        <f t="shared" si="55"/>
        <v>389.38889999999998</v>
      </c>
      <c r="BG181" s="29">
        <f t="shared" si="55"/>
        <v>469.97089999999997</v>
      </c>
      <c r="BH181" s="29" t="s">
        <v>542</v>
      </c>
      <c r="BI181" s="23" t="s">
        <v>419</v>
      </c>
      <c r="BJ181" s="29">
        <v>389.38889999999998</v>
      </c>
      <c r="BK181" s="29">
        <v>469.97089999999997</v>
      </c>
      <c r="BL181" s="29" t="s">
        <v>843</v>
      </c>
      <c r="BM181" s="25" t="s">
        <v>13</v>
      </c>
      <c r="BO181" s="44"/>
      <c r="CA181" s="25" t="s">
        <v>13</v>
      </c>
      <c r="CC181" s="25" t="s">
        <v>13</v>
      </c>
    </row>
    <row r="182" spans="1:81" ht="16.8">
      <c r="A182" s="7" t="s">
        <v>46</v>
      </c>
      <c r="B182" s="25" t="s">
        <v>149</v>
      </c>
      <c r="C182" s="68">
        <f t="shared" si="66"/>
        <v>211.75</v>
      </c>
      <c r="D182" s="76">
        <v>214</v>
      </c>
      <c r="E182" s="76">
        <v>209.5</v>
      </c>
      <c r="F182" s="23">
        <f t="shared" si="56"/>
        <v>1678</v>
      </c>
      <c r="G182" s="23" t="s">
        <v>389</v>
      </c>
      <c r="H182" s="23">
        <f t="shared" si="67"/>
        <v>839</v>
      </c>
      <c r="I182" s="23">
        <f t="shared" si="69"/>
        <v>3356</v>
      </c>
      <c r="J182" s="23" t="s">
        <v>480</v>
      </c>
      <c r="K182" s="23" t="s">
        <v>400</v>
      </c>
      <c r="L182" s="21">
        <v>2517</v>
      </c>
      <c r="M182" s="21">
        <f t="shared" si="73"/>
        <v>2017</v>
      </c>
      <c r="N182" s="21">
        <f t="shared" si="68"/>
        <v>3017</v>
      </c>
      <c r="O182" s="21">
        <v>3000</v>
      </c>
      <c r="P182" s="22">
        <v>2000</v>
      </c>
      <c r="Q182" s="25" t="s">
        <v>335</v>
      </c>
      <c r="R182" s="26" t="s">
        <v>13</v>
      </c>
      <c r="S182" s="6" t="s">
        <v>499</v>
      </c>
      <c r="T182" s="44" t="s">
        <v>502</v>
      </c>
      <c r="U182" s="62">
        <v>119.94049999999999</v>
      </c>
      <c r="V182" s="62">
        <v>120.05999999999999</v>
      </c>
      <c r="W182" s="62">
        <v>119.82099999999998</v>
      </c>
      <c r="X182" s="26">
        <v>2187.0591490210022</v>
      </c>
      <c r="Y182" s="26" t="s">
        <v>389</v>
      </c>
      <c r="Z182" s="26">
        <f t="shared" si="74"/>
        <v>1426.4760280292458</v>
      </c>
      <c r="AA182" s="26">
        <f t="shared" si="74"/>
        <v>3596.3591510384817</v>
      </c>
      <c r="AB182" s="25" t="s">
        <v>508</v>
      </c>
      <c r="AC182" s="77" t="s">
        <v>400</v>
      </c>
      <c r="AD182" s="26">
        <v>1426.4760280292458</v>
      </c>
      <c r="AE182" s="26">
        <v>3596.3591510384817</v>
      </c>
      <c r="AF182" s="88" t="s">
        <v>506</v>
      </c>
      <c r="AG182" s="25" t="s">
        <v>13</v>
      </c>
      <c r="AH182" s="6" t="s">
        <v>63</v>
      </c>
      <c r="AI182" s="44" t="s">
        <v>216</v>
      </c>
      <c r="AJ182" s="62">
        <v>94.012</v>
      </c>
      <c r="AK182" s="62"/>
      <c r="AL182" s="62"/>
      <c r="AM182" s="26">
        <f t="shared" si="72"/>
        <v>465.85</v>
      </c>
      <c r="AN182" s="26" t="s">
        <v>389</v>
      </c>
      <c r="AO182" s="66">
        <f t="shared" si="70"/>
        <v>326.09499999999997</v>
      </c>
      <c r="AP182" s="100">
        <f t="shared" si="71"/>
        <v>768.65250000000003</v>
      </c>
      <c r="AQ182" s="29" t="s">
        <v>512</v>
      </c>
      <c r="AR182" s="23" t="s">
        <v>400</v>
      </c>
      <c r="AS182" s="29">
        <f>AVERAGE(437.2,494.5)</f>
        <v>465.85</v>
      </c>
      <c r="AT182" s="29">
        <v>355.3</v>
      </c>
      <c r="AU182" s="29">
        <v>689.1</v>
      </c>
      <c r="AV182" s="23" t="s">
        <v>236</v>
      </c>
      <c r="AW182" s="29" t="s">
        <v>741</v>
      </c>
      <c r="AX182" s="29" t="s">
        <v>13</v>
      </c>
      <c r="AY182" s="16" t="s">
        <v>842</v>
      </c>
      <c r="AZ182" s="97" t="s">
        <v>13</v>
      </c>
      <c r="BA182" s="97">
        <v>3.091183</v>
      </c>
      <c r="BB182" s="59"/>
      <c r="BC182" s="59"/>
      <c r="BD182" s="29">
        <v>385.88940000000002</v>
      </c>
      <c r="BE182" s="39" t="s">
        <v>239</v>
      </c>
      <c r="BF182" s="29">
        <f t="shared" si="55"/>
        <v>350.7543</v>
      </c>
      <c r="BG182" s="29">
        <f t="shared" si="55"/>
        <v>424.00350000000003</v>
      </c>
      <c r="BH182" s="29" t="s">
        <v>542</v>
      </c>
      <c r="BI182" s="23" t="s">
        <v>419</v>
      </c>
      <c r="BJ182" s="29">
        <v>350.7543</v>
      </c>
      <c r="BK182" s="29">
        <v>424.00350000000003</v>
      </c>
      <c r="BL182" s="29" t="s">
        <v>843</v>
      </c>
      <c r="BM182" s="25" t="s">
        <v>13</v>
      </c>
      <c r="BO182" s="44"/>
      <c r="CA182" s="25" t="s">
        <v>13</v>
      </c>
      <c r="CC182" s="25" t="s">
        <v>13</v>
      </c>
    </row>
    <row r="183" spans="1:81" ht="16.8">
      <c r="A183" s="7" t="s">
        <v>46</v>
      </c>
      <c r="B183" s="25" t="s">
        <v>149</v>
      </c>
      <c r="C183" s="68">
        <f t="shared" si="66"/>
        <v>211.75</v>
      </c>
      <c r="D183" s="76">
        <v>214</v>
      </c>
      <c r="E183" s="76">
        <v>209.5</v>
      </c>
      <c r="F183" s="23">
        <f t="shared" si="56"/>
        <v>1295.3333333333333</v>
      </c>
      <c r="G183" s="23" t="s">
        <v>389</v>
      </c>
      <c r="H183" s="23">
        <f t="shared" si="67"/>
        <v>647.66666666666663</v>
      </c>
      <c r="I183" s="23">
        <f t="shared" si="69"/>
        <v>2590.6666666666665</v>
      </c>
      <c r="J183" s="23" t="s">
        <v>480</v>
      </c>
      <c r="K183" s="23" t="s">
        <v>400</v>
      </c>
      <c r="L183" s="21">
        <v>1943</v>
      </c>
      <c r="M183" s="21">
        <f t="shared" si="73"/>
        <v>1443</v>
      </c>
      <c r="N183" s="21">
        <f t="shared" si="68"/>
        <v>2443</v>
      </c>
      <c r="O183" s="21">
        <v>3000</v>
      </c>
      <c r="P183" s="22">
        <v>2000</v>
      </c>
      <c r="Q183" s="25" t="s">
        <v>335</v>
      </c>
      <c r="R183" s="26" t="s">
        <v>13</v>
      </c>
      <c r="S183" s="6" t="s">
        <v>499</v>
      </c>
      <c r="T183" s="44" t="s">
        <v>502</v>
      </c>
      <c r="U183" s="62">
        <v>119.94049999999999</v>
      </c>
      <c r="V183" s="62">
        <v>120.05999999999999</v>
      </c>
      <c r="W183" s="62">
        <v>119.82099999999998</v>
      </c>
      <c r="X183" s="26">
        <v>1844.5916342572061</v>
      </c>
      <c r="Y183" s="26" t="s">
        <v>389</v>
      </c>
      <c r="Z183" s="26">
        <f t="shared" si="74"/>
        <v>1011.355486189455</v>
      </c>
      <c r="AA183" s="26">
        <f t="shared" si="74"/>
        <v>3440.2067179897695</v>
      </c>
      <c r="AB183" s="25" t="s">
        <v>508</v>
      </c>
      <c r="AC183" s="77" t="s">
        <v>400</v>
      </c>
      <c r="AD183" s="26">
        <v>1011.355486189455</v>
      </c>
      <c r="AE183" s="26">
        <v>3440.2067179897695</v>
      </c>
      <c r="AF183" s="88" t="s">
        <v>506</v>
      </c>
      <c r="AG183" s="25" t="s">
        <v>13</v>
      </c>
      <c r="AH183" s="6" t="s">
        <v>63</v>
      </c>
      <c r="AI183" s="44" t="s">
        <v>216</v>
      </c>
      <c r="AJ183" s="62">
        <v>93.954999999999998</v>
      </c>
      <c r="AK183" s="62"/>
      <c r="AL183" s="62"/>
      <c r="AM183" s="26">
        <f t="shared" si="72"/>
        <v>369.65</v>
      </c>
      <c r="AN183" s="26" t="s">
        <v>389</v>
      </c>
      <c r="AO183" s="66">
        <f t="shared" si="70"/>
        <v>258.755</v>
      </c>
      <c r="AP183" s="100">
        <f t="shared" si="71"/>
        <v>609.9224999999999</v>
      </c>
      <c r="AQ183" s="29" t="s">
        <v>512</v>
      </c>
      <c r="AR183" s="23" t="s">
        <v>400</v>
      </c>
      <c r="AS183" s="29">
        <f>AVERAGE(316.4,422.9)</f>
        <v>369.65</v>
      </c>
      <c r="AT183" s="29">
        <v>316.39999999999998</v>
      </c>
      <c r="AU183" s="29">
        <v>478.2</v>
      </c>
      <c r="AV183" s="23" t="s">
        <v>236</v>
      </c>
      <c r="AW183" s="29" t="s">
        <v>741</v>
      </c>
      <c r="AX183" s="29" t="s">
        <v>13</v>
      </c>
      <c r="AY183" s="16" t="s">
        <v>842</v>
      </c>
      <c r="AZ183" s="97" t="s">
        <v>13</v>
      </c>
      <c r="BA183" s="97">
        <v>3.100177</v>
      </c>
      <c r="BB183" s="59"/>
      <c r="BC183" s="59"/>
      <c r="BD183" s="29">
        <v>372.67080000000004</v>
      </c>
      <c r="BE183" s="39" t="s">
        <v>239</v>
      </c>
      <c r="BF183" s="29">
        <f t="shared" si="55"/>
        <v>338.25069999999999</v>
      </c>
      <c r="BG183" s="29">
        <f t="shared" si="55"/>
        <v>408.13079999999997</v>
      </c>
      <c r="BH183" s="29" t="s">
        <v>542</v>
      </c>
      <c r="BI183" s="23" t="s">
        <v>419</v>
      </c>
      <c r="BJ183" s="29">
        <v>338.25069999999999</v>
      </c>
      <c r="BK183" s="29">
        <v>408.13079999999997</v>
      </c>
      <c r="BL183" s="29" t="s">
        <v>843</v>
      </c>
      <c r="BM183" s="25" t="s">
        <v>13</v>
      </c>
      <c r="BO183" s="44"/>
      <c r="CA183" s="25" t="s">
        <v>13</v>
      </c>
      <c r="CC183" s="25" t="s">
        <v>13</v>
      </c>
    </row>
    <row r="184" spans="1:81" ht="16.8">
      <c r="A184" s="7" t="s">
        <v>46</v>
      </c>
      <c r="B184" s="25" t="s">
        <v>149</v>
      </c>
      <c r="C184" s="68">
        <f t="shared" si="66"/>
        <v>211.75</v>
      </c>
      <c r="D184" s="76">
        <v>214</v>
      </c>
      <c r="E184" s="76">
        <v>209.5</v>
      </c>
      <c r="F184" s="23">
        <f t="shared" si="56"/>
        <v>1516</v>
      </c>
      <c r="G184" s="23" t="s">
        <v>389</v>
      </c>
      <c r="H184" s="23">
        <f t="shared" si="67"/>
        <v>758</v>
      </c>
      <c r="I184" s="23">
        <f t="shared" si="69"/>
        <v>3032</v>
      </c>
      <c r="J184" s="23" t="s">
        <v>480</v>
      </c>
      <c r="K184" s="23" t="s">
        <v>400</v>
      </c>
      <c r="L184" s="21">
        <v>2274</v>
      </c>
      <c r="M184" s="21">
        <f t="shared" si="73"/>
        <v>1774</v>
      </c>
      <c r="N184" s="21">
        <f t="shared" si="68"/>
        <v>2774</v>
      </c>
      <c r="O184" s="21">
        <v>3000</v>
      </c>
      <c r="P184" s="22">
        <v>2000</v>
      </c>
      <c r="Q184" s="25" t="s">
        <v>335</v>
      </c>
      <c r="R184" s="26" t="s">
        <v>13</v>
      </c>
      <c r="S184" s="6" t="s">
        <v>499</v>
      </c>
      <c r="T184" s="44" t="s">
        <v>503</v>
      </c>
      <c r="U184" s="62">
        <v>119.56599999999999</v>
      </c>
      <c r="V184" s="62">
        <v>119.82099999999998</v>
      </c>
      <c r="W184" s="62">
        <v>119.31099999999999</v>
      </c>
      <c r="X184" s="26">
        <v>2058.4433569076568</v>
      </c>
      <c r="Y184" s="26" t="s">
        <v>389</v>
      </c>
      <c r="Z184" s="26">
        <f t="shared" si="74"/>
        <v>1358.0523414864542</v>
      </c>
      <c r="AA184" s="26">
        <f t="shared" si="74"/>
        <v>3326.0760983917658</v>
      </c>
      <c r="AB184" s="25" t="s">
        <v>508</v>
      </c>
      <c r="AC184" s="77" t="s">
        <v>400</v>
      </c>
      <c r="AD184" s="26">
        <v>1358.0523414864542</v>
      </c>
      <c r="AE184" s="26">
        <v>3326.0760983917658</v>
      </c>
      <c r="AF184" s="88" t="s">
        <v>506</v>
      </c>
      <c r="AG184" s="25" t="s">
        <v>13</v>
      </c>
      <c r="AH184" s="6" t="s">
        <v>63</v>
      </c>
      <c r="AI184" s="44" t="s">
        <v>216</v>
      </c>
      <c r="AJ184" s="62">
        <v>93.936000000000007</v>
      </c>
      <c r="AK184" s="62"/>
      <c r="AL184" s="62"/>
      <c r="AM184" s="26">
        <f t="shared" si="72"/>
        <v>431.04999999999995</v>
      </c>
      <c r="AN184" s="26" t="s">
        <v>389</v>
      </c>
      <c r="AO184" s="66">
        <f t="shared" si="70"/>
        <v>301.73499999999996</v>
      </c>
      <c r="AP184" s="100">
        <f t="shared" si="71"/>
        <v>711.23249999999985</v>
      </c>
      <c r="AQ184" s="29" t="s">
        <v>512</v>
      </c>
      <c r="AR184" s="23" t="s">
        <v>400</v>
      </c>
      <c r="AS184" s="29">
        <f>AVERAGE(396.2,465.9)</f>
        <v>431.04999999999995</v>
      </c>
      <c r="AT184" s="29">
        <v>353.2</v>
      </c>
      <c r="AU184" s="29">
        <v>533.4</v>
      </c>
      <c r="AV184" s="23" t="s">
        <v>236</v>
      </c>
      <c r="AW184" s="29" t="s">
        <v>741</v>
      </c>
      <c r="AX184" s="29" t="s">
        <v>13</v>
      </c>
      <c r="AY184" s="16" t="s">
        <v>842</v>
      </c>
      <c r="AZ184" s="97" t="s">
        <v>13</v>
      </c>
      <c r="BA184" s="97">
        <v>3.1142379999999998</v>
      </c>
      <c r="BB184" s="59"/>
      <c r="BC184" s="59"/>
      <c r="BD184" s="29">
        <v>438.97059999999999</v>
      </c>
      <c r="BE184" s="39" t="s">
        <v>239</v>
      </c>
      <c r="BF184" s="29">
        <f t="shared" si="55"/>
        <v>398.5283</v>
      </c>
      <c r="BG184" s="29">
        <f t="shared" si="55"/>
        <v>482.00220000000002</v>
      </c>
      <c r="BH184" s="29" t="s">
        <v>542</v>
      </c>
      <c r="BI184" s="23" t="s">
        <v>419</v>
      </c>
      <c r="BJ184" s="29">
        <v>398.5283</v>
      </c>
      <c r="BK184" s="29">
        <v>482.00220000000002</v>
      </c>
      <c r="BL184" s="29" t="s">
        <v>843</v>
      </c>
      <c r="BM184" s="25" t="s">
        <v>13</v>
      </c>
      <c r="BO184" s="44"/>
      <c r="CA184" s="25" t="s">
        <v>13</v>
      </c>
      <c r="CC184" s="25" t="s">
        <v>13</v>
      </c>
    </row>
    <row r="185" spans="1:81" ht="16.8">
      <c r="A185" s="7" t="s">
        <v>46</v>
      </c>
      <c r="B185" s="25" t="s">
        <v>149</v>
      </c>
      <c r="C185" s="68">
        <f t="shared" si="66"/>
        <v>210.7</v>
      </c>
      <c r="D185" s="76">
        <v>211.9</v>
      </c>
      <c r="E185" s="76">
        <v>209.5</v>
      </c>
      <c r="F185" s="23">
        <f t="shared" si="56"/>
        <v>559.5</v>
      </c>
      <c r="G185" s="23" t="s">
        <v>389</v>
      </c>
      <c r="H185" s="23">
        <f t="shared" si="67"/>
        <v>279.75</v>
      </c>
      <c r="I185" s="23">
        <f t="shared" si="69"/>
        <v>1119</v>
      </c>
      <c r="J185" s="23" t="s">
        <v>480</v>
      </c>
      <c r="K185" s="23" t="s">
        <v>400</v>
      </c>
      <c r="L185" s="21">
        <v>1119</v>
      </c>
      <c r="M185" s="21">
        <f t="shared" si="73"/>
        <v>619</v>
      </c>
      <c r="N185" s="21">
        <f t="shared" si="68"/>
        <v>1619</v>
      </c>
      <c r="O185" s="21">
        <v>4000</v>
      </c>
      <c r="P185" s="22">
        <v>2000</v>
      </c>
      <c r="Q185" s="25" t="s">
        <v>334</v>
      </c>
      <c r="R185" s="26" t="s">
        <v>13</v>
      </c>
      <c r="S185" s="6" t="s">
        <v>499</v>
      </c>
      <c r="T185" s="44" t="s">
        <v>503</v>
      </c>
      <c r="U185" s="62">
        <v>119.56599999999999</v>
      </c>
      <c r="V185" s="62">
        <v>119.82099999999998</v>
      </c>
      <c r="W185" s="62">
        <v>119.31099999999999</v>
      </c>
      <c r="X185" s="26">
        <v>2004.5927013035453</v>
      </c>
      <c r="Y185" s="26" t="s">
        <v>389</v>
      </c>
      <c r="Z185" s="26">
        <f t="shared" si="74"/>
        <v>1380.8044394007613</v>
      </c>
      <c r="AA185" s="26">
        <f t="shared" si="74"/>
        <v>3098.8134706009746</v>
      </c>
      <c r="AB185" s="25" t="s">
        <v>508</v>
      </c>
      <c r="AC185" s="77" t="s">
        <v>400</v>
      </c>
      <c r="AD185" s="26">
        <v>1380.8044394007613</v>
      </c>
      <c r="AE185" s="26">
        <v>3098.8134706009746</v>
      </c>
      <c r="AF185" s="88" t="s">
        <v>506</v>
      </c>
      <c r="AG185" s="25" t="s">
        <v>13</v>
      </c>
      <c r="AH185" s="6" t="s">
        <v>63</v>
      </c>
      <c r="AI185" s="44" t="s">
        <v>216</v>
      </c>
      <c r="AJ185" s="62">
        <v>93.867999999999995</v>
      </c>
      <c r="AK185" s="62"/>
      <c r="AL185" s="62"/>
      <c r="AM185" s="26">
        <f t="shared" si="72"/>
        <v>436.2</v>
      </c>
      <c r="AN185" s="26" t="s">
        <v>389</v>
      </c>
      <c r="AO185" s="66">
        <f t="shared" si="70"/>
        <v>305.33999999999997</v>
      </c>
      <c r="AP185" s="100">
        <f t="shared" si="71"/>
        <v>719.7299999999999</v>
      </c>
      <c r="AQ185" s="29" t="s">
        <v>512</v>
      </c>
      <c r="AR185" s="23" t="s">
        <v>400</v>
      </c>
      <c r="AS185" s="29">
        <f>AVERAGE(402.4,470)</f>
        <v>436.2</v>
      </c>
      <c r="AT185" s="29">
        <v>357.3</v>
      </c>
      <c r="AU185" s="29">
        <v>545.70000000000005</v>
      </c>
      <c r="AV185" s="23" t="s">
        <v>236</v>
      </c>
      <c r="AW185" s="29" t="s">
        <v>741</v>
      </c>
      <c r="AX185" s="29" t="s">
        <v>13</v>
      </c>
      <c r="AY185" s="16" t="s">
        <v>842</v>
      </c>
      <c r="AZ185" s="97" t="s">
        <v>13</v>
      </c>
      <c r="BA185" s="97">
        <v>3.1331549999999999</v>
      </c>
      <c r="BB185" s="59"/>
      <c r="BC185" s="59"/>
      <c r="BD185" s="29">
        <v>391.86689999999999</v>
      </c>
      <c r="BE185" s="39" t="s">
        <v>239</v>
      </c>
      <c r="BF185" s="29">
        <f t="shared" si="55"/>
        <v>355.16980000000001</v>
      </c>
      <c r="BG185" s="29">
        <f t="shared" si="55"/>
        <v>430.93899999999996</v>
      </c>
      <c r="BH185" s="29" t="s">
        <v>542</v>
      </c>
      <c r="BI185" s="23" t="s">
        <v>419</v>
      </c>
      <c r="BJ185" s="29">
        <v>355.16980000000001</v>
      </c>
      <c r="BK185" s="29">
        <v>430.93899999999996</v>
      </c>
      <c r="BL185" s="29" t="s">
        <v>843</v>
      </c>
      <c r="BM185" s="25" t="s">
        <v>13</v>
      </c>
      <c r="BO185" s="44"/>
      <c r="CA185" s="25" t="s">
        <v>13</v>
      </c>
      <c r="CC185" s="25" t="s">
        <v>13</v>
      </c>
    </row>
    <row r="186" spans="1:81" ht="16.8">
      <c r="A186" s="7" t="s">
        <v>46</v>
      </c>
      <c r="B186" s="25" t="s">
        <v>149</v>
      </c>
      <c r="C186" s="68">
        <f t="shared" si="66"/>
        <v>211.75</v>
      </c>
      <c r="D186" s="76">
        <v>214</v>
      </c>
      <c r="E186" s="76">
        <v>209.5</v>
      </c>
      <c r="F186" s="23">
        <f t="shared" si="56"/>
        <v>1367.3333333333333</v>
      </c>
      <c r="G186" s="23" t="s">
        <v>389</v>
      </c>
      <c r="H186" s="23">
        <f t="shared" si="67"/>
        <v>683.66666666666663</v>
      </c>
      <c r="I186" s="23">
        <f t="shared" si="69"/>
        <v>2734.6666666666665</v>
      </c>
      <c r="J186" s="23" t="s">
        <v>480</v>
      </c>
      <c r="K186" s="23" t="s">
        <v>400</v>
      </c>
      <c r="L186" s="21">
        <v>2051</v>
      </c>
      <c r="M186" s="21">
        <f t="shared" si="73"/>
        <v>1551</v>
      </c>
      <c r="N186" s="21">
        <f t="shared" si="68"/>
        <v>2551</v>
      </c>
      <c r="O186" s="21">
        <v>3000</v>
      </c>
      <c r="P186" s="22">
        <v>2000</v>
      </c>
      <c r="Q186" s="25" t="s">
        <v>335</v>
      </c>
      <c r="R186" s="26" t="s">
        <v>13</v>
      </c>
      <c r="S186" s="6" t="s">
        <v>499</v>
      </c>
      <c r="T186" s="44" t="s">
        <v>503</v>
      </c>
      <c r="U186" s="62">
        <v>119.56599999999999</v>
      </c>
      <c r="V186" s="62">
        <v>119.82099999999998</v>
      </c>
      <c r="W186" s="62">
        <v>119.31099999999999</v>
      </c>
      <c r="X186" s="26">
        <v>2005.3460672155347</v>
      </c>
      <c r="Y186" s="26" t="s">
        <v>389</v>
      </c>
      <c r="Z186" s="26">
        <f t="shared" si="74"/>
        <v>1321.2637604579345</v>
      </c>
      <c r="AA186" s="26">
        <f t="shared" si="74"/>
        <v>3230.8227366811334</v>
      </c>
      <c r="AB186" s="25" t="s">
        <v>508</v>
      </c>
      <c r="AC186" s="77" t="s">
        <v>400</v>
      </c>
      <c r="AD186" s="26">
        <v>1321.2637604579345</v>
      </c>
      <c r="AE186" s="26">
        <v>3230.8227366811334</v>
      </c>
      <c r="AF186" s="88" t="s">
        <v>506</v>
      </c>
      <c r="AG186" s="25" t="s">
        <v>13</v>
      </c>
      <c r="AH186" s="6" t="s">
        <v>68</v>
      </c>
      <c r="AI186" s="44" t="s">
        <v>282</v>
      </c>
      <c r="AJ186" s="62">
        <v>50.61</v>
      </c>
      <c r="AK186" s="62">
        <f>AJ186+0.16</f>
        <v>50.769999999999996</v>
      </c>
      <c r="AL186" s="62">
        <f>AJ186-0.16</f>
        <v>50.45</v>
      </c>
      <c r="AM186" s="25">
        <v>600</v>
      </c>
      <c r="AN186" s="26" t="s">
        <v>389</v>
      </c>
      <c r="AO186" s="66">
        <f t="shared" ref="AO186:AP188" si="75">AT186</f>
        <v>600</v>
      </c>
      <c r="AP186" s="100" t="str">
        <f t="shared" si="75"/>
        <v>[unbounded]</v>
      </c>
      <c r="AQ186" s="29" t="s">
        <v>513</v>
      </c>
      <c r="AR186" s="23" t="s">
        <v>400</v>
      </c>
      <c r="AS186" s="23"/>
      <c r="AT186" s="39">
        <v>600</v>
      </c>
      <c r="AU186" s="39" t="s">
        <v>69</v>
      </c>
      <c r="AV186" s="23" t="s">
        <v>236</v>
      </c>
      <c r="AW186" s="23"/>
      <c r="AX186" s="29" t="s">
        <v>13</v>
      </c>
      <c r="AY186" s="16" t="s">
        <v>842</v>
      </c>
      <c r="AZ186" s="97" t="s">
        <v>13</v>
      </c>
      <c r="BA186" s="97">
        <v>3.1431659999999999</v>
      </c>
      <c r="BB186" s="59"/>
      <c r="BC186" s="59"/>
      <c r="BD186" s="29">
        <v>383.96090000000004</v>
      </c>
      <c r="BE186" s="39" t="s">
        <v>239</v>
      </c>
      <c r="BF186" s="29">
        <f t="shared" si="55"/>
        <v>347.9359</v>
      </c>
      <c r="BG186" s="29">
        <f t="shared" si="55"/>
        <v>420.57670000000002</v>
      </c>
      <c r="BH186" s="29" t="s">
        <v>542</v>
      </c>
      <c r="BI186" s="23" t="s">
        <v>419</v>
      </c>
      <c r="BJ186" s="29">
        <v>347.9359</v>
      </c>
      <c r="BK186" s="29">
        <v>420.57670000000002</v>
      </c>
      <c r="BL186" s="29" t="s">
        <v>843</v>
      </c>
      <c r="BM186" s="25" t="s">
        <v>13</v>
      </c>
      <c r="BO186" s="44"/>
      <c r="CA186" s="25" t="s">
        <v>13</v>
      </c>
      <c r="CC186" s="25" t="s">
        <v>13</v>
      </c>
    </row>
    <row r="187" spans="1:81" ht="16.8">
      <c r="A187" s="7" t="s">
        <v>46</v>
      </c>
      <c r="B187" s="25" t="s">
        <v>148</v>
      </c>
      <c r="C187" s="68">
        <f t="shared" si="66"/>
        <v>205.4</v>
      </c>
      <c r="D187" s="76">
        <f t="shared" ref="D187:D209" si="76">209.5</f>
        <v>209.5</v>
      </c>
      <c r="E187" s="76">
        <f t="shared" ref="E187:E209" si="77">201.3</f>
        <v>201.3</v>
      </c>
      <c r="F187" s="23">
        <f t="shared" si="56"/>
        <v>1776.6666666666667</v>
      </c>
      <c r="G187" s="23" t="s">
        <v>389</v>
      </c>
      <c r="H187" s="23">
        <f t="shared" si="67"/>
        <v>888.33333333333337</v>
      </c>
      <c r="I187" s="23">
        <f t="shared" si="69"/>
        <v>3553.3333333333335</v>
      </c>
      <c r="J187" s="23" t="s">
        <v>480</v>
      </c>
      <c r="K187" s="23" t="s">
        <v>400</v>
      </c>
      <c r="L187" s="21">
        <v>2665</v>
      </c>
      <c r="M187" s="21">
        <f t="shared" si="73"/>
        <v>2165</v>
      </c>
      <c r="N187" s="21">
        <f t="shared" si="68"/>
        <v>3165</v>
      </c>
      <c r="O187" s="21">
        <v>3000</v>
      </c>
      <c r="P187" s="22">
        <v>2000</v>
      </c>
      <c r="Q187" s="25" t="s">
        <v>335</v>
      </c>
      <c r="R187" s="26" t="s">
        <v>13</v>
      </c>
      <c r="S187" s="6" t="s">
        <v>499</v>
      </c>
      <c r="T187" s="44" t="s">
        <v>503</v>
      </c>
      <c r="U187" s="62">
        <v>119.56599999999999</v>
      </c>
      <c r="V187" s="62">
        <v>119.82099999999998</v>
      </c>
      <c r="W187" s="62">
        <v>119.31099999999999</v>
      </c>
      <c r="X187" s="26">
        <v>1746.1513852258281</v>
      </c>
      <c r="Y187" s="26" t="s">
        <v>389</v>
      </c>
      <c r="Z187" s="26">
        <f t="shared" si="74"/>
        <v>1233.3717307980889</v>
      </c>
      <c r="AA187" s="26">
        <f t="shared" si="74"/>
        <v>2599.929158852528</v>
      </c>
      <c r="AB187" s="25" t="s">
        <v>508</v>
      </c>
      <c r="AC187" s="77" t="s">
        <v>400</v>
      </c>
      <c r="AD187" s="26">
        <v>1233.3717307980889</v>
      </c>
      <c r="AE187" s="26">
        <v>2599.929158852528</v>
      </c>
      <c r="AF187" s="88" t="s">
        <v>506</v>
      </c>
      <c r="AG187" s="25" t="s">
        <v>13</v>
      </c>
      <c r="AH187" s="6" t="s">
        <v>68</v>
      </c>
      <c r="AI187" s="44" t="s">
        <v>282</v>
      </c>
      <c r="AJ187" s="62">
        <v>50.61</v>
      </c>
      <c r="AK187" s="62">
        <f>AJ187+0.16</f>
        <v>50.769999999999996</v>
      </c>
      <c r="AL187" s="62">
        <f>AJ187-0.16</f>
        <v>50.45</v>
      </c>
      <c r="AM187" s="25">
        <v>600</v>
      </c>
      <c r="AN187" s="26" t="s">
        <v>389</v>
      </c>
      <c r="AO187" s="66">
        <f t="shared" si="75"/>
        <v>600</v>
      </c>
      <c r="AP187" s="100" t="str">
        <f t="shared" si="75"/>
        <v>[unbounded]</v>
      </c>
      <c r="AQ187" s="29" t="s">
        <v>513</v>
      </c>
      <c r="AR187" s="23" t="s">
        <v>400</v>
      </c>
      <c r="AS187" s="23"/>
      <c r="AT187" s="39">
        <v>600</v>
      </c>
      <c r="AU187" s="39" t="s">
        <v>69</v>
      </c>
      <c r="AV187" s="23" t="s">
        <v>236</v>
      </c>
      <c r="AW187" s="23"/>
      <c r="AX187" s="29" t="s">
        <v>13</v>
      </c>
      <c r="AY187" s="16" t="s">
        <v>842</v>
      </c>
      <c r="AZ187" s="97" t="s">
        <v>13</v>
      </c>
      <c r="BA187" s="97">
        <v>3.1518999999999999</v>
      </c>
      <c r="BB187" s="59"/>
      <c r="BC187" s="59"/>
      <c r="BD187" s="29">
        <v>445.84680000000003</v>
      </c>
      <c r="BE187" s="39" t="s">
        <v>239</v>
      </c>
      <c r="BF187" s="29">
        <f t="shared" si="55"/>
        <v>398.19400000000002</v>
      </c>
      <c r="BG187" s="29">
        <f t="shared" si="55"/>
        <v>495.85790000000003</v>
      </c>
      <c r="BH187" s="29" t="s">
        <v>542</v>
      </c>
      <c r="BI187" s="23" t="s">
        <v>419</v>
      </c>
      <c r="BJ187" s="29">
        <v>398.19400000000002</v>
      </c>
      <c r="BK187" s="29">
        <v>495.85790000000003</v>
      </c>
      <c r="BL187" s="29" t="s">
        <v>843</v>
      </c>
      <c r="BM187" s="25" t="s">
        <v>13</v>
      </c>
      <c r="BO187" s="44"/>
      <c r="CA187" s="25" t="s">
        <v>13</v>
      </c>
      <c r="CC187" s="25" t="s">
        <v>13</v>
      </c>
    </row>
    <row r="188" spans="1:81" ht="16.8">
      <c r="A188" s="7" t="s">
        <v>46</v>
      </c>
      <c r="B188" s="25" t="s">
        <v>148</v>
      </c>
      <c r="C188" s="68">
        <f t="shared" si="66"/>
        <v>205.4</v>
      </c>
      <c r="D188" s="76">
        <f t="shared" si="76"/>
        <v>209.5</v>
      </c>
      <c r="E188" s="76">
        <f t="shared" si="77"/>
        <v>201.3</v>
      </c>
      <c r="F188" s="23">
        <f t="shared" si="56"/>
        <v>1702</v>
      </c>
      <c r="G188" s="23" t="s">
        <v>389</v>
      </c>
      <c r="H188" s="23">
        <f t="shared" si="67"/>
        <v>851</v>
      </c>
      <c r="I188" s="23">
        <f t="shared" si="69"/>
        <v>3404</v>
      </c>
      <c r="J188" s="23" t="s">
        <v>480</v>
      </c>
      <c r="K188" s="23" t="s">
        <v>400</v>
      </c>
      <c r="L188" s="21">
        <v>2553</v>
      </c>
      <c r="M188" s="21">
        <f t="shared" si="73"/>
        <v>2053</v>
      </c>
      <c r="N188" s="21">
        <f t="shared" si="68"/>
        <v>3053</v>
      </c>
      <c r="O188" s="21">
        <v>3000</v>
      </c>
      <c r="P188" s="22">
        <v>2000</v>
      </c>
      <c r="Q188" s="25" t="s">
        <v>335</v>
      </c>
      <c r="R188" s="26" t="s">
        <v>13</v>
      </c>
      <c r="S188" s="6" t="s">
        <v>499</v>
      </c>
      <c r="T188" s="44" t="s">
        <v>503</v>
      </c>
      <c r="U188" s="62">
        <v>119.56599999999999</v>
      </c>
      <c r="V188" s="62">
        <v>119.82099999999998</v>
      </c>
      <c r="W188" s="62">
        <v>119.31099999999999</v>
      </c>
      <c r="X188" s="26">
        <v>1634.022913604286</v>
      </c>
      <c r="Y188" s="26" t="s">
        <v>389</v>
      </c>
      <c r="Z188" s="26">
        <f t="shared" si="74"/>
        <v>1008.8256959743842</v>
      </c>
      <c r="AA188" s="26">
        <f t="shared" si="74"/>
        <v>2731.0901337987589</v>
      </c>
      <c r="AB188" s="25" t="s">
        <v>508</v>
      </c>
      <c r="AC188" s="77" t="s">
        <v>400</v>
      </c>
      <c r="AD188" s="26">
        <v>1008.8256959743842</v>
      </c>
      <c r="AE188" s="26">
        <v>2731.0901337987589</v>
      </c>
      <c r="AF188" s="88" t="s">
        <v>506</v>
      </c>
      <c r="AG188" s="25" t="s">
        <v>13</v>
      </c>
      <c r="AH188" s="6" t="s">
        <v>68</v>
      </c>
      <c r="AI188" s="44" t="s">
        <v>282</v>
      </c>
      <c r="AJ188" s="62">
        <v>50.61</v>
      </c>
      <c r="AK188" s="62">
        <f>AJ188+0.16</f>
        <v>50.769999999999996</v>
      </c>
      <c r="AL188" s="62">
        <f>AJ188-0.16</f>
        <v>50.45</v>
      </c>
      <c r="AM188" s="25">
        <v>600</v>
      </c>
      <c r="AN188" s="26" t="s">
        <v>389</v>
      </c>
      <c r="AO188" s="66">
        <f t="shared" si="75"/>
        <v>600</v>
      </c>
      <c r="AP188" s="100" t="str">
        <f t="shared" si="75"/>
        <v>[unbounded]</v>
      </c>
      <c r="AQ188" s="29" t="s">
        <v>513</v>
      </c>
      <c r="AR188" s="23" t="s">
        <v>400</v>
      </c>
      <c r="AS188" s="23"/>
      <c r="AT188" s="39">
        <v>600</v>
      </c>
      <c r="AU188" s="39" t="s">
        <v>69</v>
      </c>
      <c r="AV188" s="23" t="s">
        <v>236</v>
      </c>
      <c r="AW188" s="23"/>
      <c r="AX188" s="29" t="s">
        <v>13</v>
      </c>
      <c r="AY188" s="16" t="s">
        <v>842</v>
      </c>
      <c r="AZ188" s="97" t="s">
        <v>13</v>
      </c>
      <c r="BA188" s="97">
        <v>3.157937</v>
      </c>
      <c r="BB188" s="59"/>
      <c r="BC188" s="59"/>
      <c r="BD188" s="29">
        <v>388.8519</v>
      </c>
      <c r="BE188" s="39" t="s">
        <v>239</v>
      </c>
      <c r="BF188" s="29">
        <f t="shared" si="55"/>
        <v>353.96170000000001</v>
      </c>
      <c r="BG188" s="29">
        <f t="shared" si="55"/>
        <v>426.65649999999999</v>
      </c>
      <c r="BH188" s="29" t="s">
        <v>542</v>
      </c>
      <c r="BI188" s="23" t="s">
        <v>419</v>
      </c>
      <c r="BJ188" s="29">
        <v>353.96170000000001</v>
      </c>
      <c r="BK188" s="29">
        <v>426.65649999999999</v>
      </c>
      <c r="BL188" s="29" t="s">
        <v>843</v>
      </c>
      <c r="BM188" s="25" t="s">
        <v>13</v>
      </c>
      <c r="BO188" s="44"/>
      <c r="CA188" s="25" t="s">
        <v>13</v>
      </c>
      <c r="CC188" s="25" t="s">
        <v>13</v>
      </c>
    </row>
    <row r="189" spans="1:81" ht="16.8">
      <c r="A189" s="7" t="s">
        <v>46</v>
      </c>
      <c r="B189" s="25" t="s">
        <v>148</v>
      </c>
      <c r="C189" s="68">
        <f t="shared" si="66"/>
        <v>205.4</v>
      </c>
      <c r="D189" s="76">
        <f t="shared" si="76"/>
        <v>209.5</v>
      </c>
      <c r="E189" s="76">
        <f t="shared" si="77"/>
        <v>201.3</v>
      </c>
      <c r="F189" s="23">
        <f t="shared" si="56"/>
        <v>1084.6666666666667</v>
      </c>
      <c r="G189" s="23" t="s">
        <v>389</v>
      </c>
      <c r="H189" s="23">
        <f t="shared" si="67"/>
        <v>542.33333333333337</v>
      </c>
      <c r="I189" s="23">
        <f t="shared" si="69"/>
        <v>2169.3333333333335</v>
      </c>
      <c r="J189" s="23" t="s">
        <v>480</v>
      </c>
      <c r="K189" s="23" t="s">
        <v>400</v>
      </c>
      <c r="L189" s="21">
        <v>1627</v>
      </c>
      <c r="M189" s="21">
        <f t="shared" si="73"/>
        <v>1127</v>
      </c>
      <c r="N189" s="21">
        <f t="shared" si="68"/>
        <v>2127</v>
      </c>
      <c r="O189" s="21">
        <v>3000</v>
      </c>
      <c r="P189" s="22">
        <v>2000</v>
      </c>
      <c r="Q189" s="25" t="s">
        <v>335</v>
      </c>
      <c r="R189" s="26" t="s">
        <v>13</v>
      </c>
      <c r="S189" s="6" t="s">
        <v>499</v>
      </c>
      <c r="T189" s="44" t="s">
        <v>504</v>
      </c>
      <c r="U189" s="62">
        <v>119.13649999999998</v>
      </c>
      <c r="V189" s="62">
        <v>119.31099999999998</v>
      </c>
      <c r="W189" s="62">
        <v>118.96199999999999</v>
      </c>
      <c r="X189" s="26">
        <v>1379.2985057388109</v>
      </c>
      <c r="Y189" s="26" t="s">
        <v>389</v>
      </c>
      <c r="Z189" s="26">
        <f t="shared" si="74"/>
        <v>1041.009696272765</v>
      </c>
      <c r="AA189" s="26">
        <f t="shared" si="74"/>
        <v>1900.2958903374977</v>
      </c>
      <c r="AB189" s="25" t="s">
        <v>508</v>
      </c>
      <c r="AC189" s="77" t="s">
        <v>400</v>
      </c>
      <c r="AD189" s="26">
        <v>1041.009696272765</v>
      </c>
      <c r="AE189" s="26">
        <v>1900.2958903374977</v>
      </c>
      <c r="AF189" s="88" t="s">
        <v>506</v>
      </c>
      <c r="AG189" s="25" t="s">
        <v>13</v>
      </c>
      <c r="AH189" s="6" t="s">
        <v>70</v>
      </c>
      <c r="AI189" s="44" t="s">
        <v>218</v>
      </c>
      <c r="AJ189" s="62">
        <f>AVERAGE(AK189:AL189)</f>
        <v>203.65</v>
      </c>
      <c r="AK189" s="62">
        <v>206</v>
      </c>
      <c r="AL189" s="62">
        <v>201.3</v>
      </c>
      <c r="AM189" s="26">
        <f>AVERAGE(AO189:AP189)</f>
        <v>2473.5</v>
      </c>
      <c r="AN189" s="26" t="s">
        <v>389</v>
      </c>
      <c r="AO189" s="100">
        <f>AT189</f>
        <v>1649</v>
      </c>
      <c r="AP189" s="100">
        <f>AO189*2</f>
        <v>3298</v>
      </c>
      <c r="AQ189" s="29" t="s">
        <v>426</v>
      </c>
      <c r="AR189" s="26" t="s">
        <v>422</v>
      </c>
      <c r="AS189" s="29"/>
      <c r="AT189" s="39">
        <v>1649</v>
      </c>
      <c r="AU189" s="39">
        <v>2749</v>
      </c>
      <c r="AV189" s="39" t="s">
        <v>60</v>
      </c>
      <c r="AW189" s="39" t="s">
        <v>823</v>
      </c>
      <c r="AX189" s="29" t="s">
        <v>13</v>
      </c>
      <c r="AY189" s="16" t="s">
        <v>842</v>
      </c>
      <c r="AZ189" s="97" t="s">
        <v>13</v>
      </c>
      <c r="BA189" s="97">
        <v>3.1715550000000001</v>
      </c>
      <c r="BB189" s="59"/>
      <c r="BC189" s="59"/>
      <c r="BD189" s="29">
        <v>498.65890000000002</v>
      </c>
      <c r="BE189" s="39" t="s">
        <v>239</v>
      </c>
      <c r="BF189" s="29">
        <f t="shared" si="55"/>
        <v>451.51959999999997</v>
      </c>
      <c r="BG189" s="29">
        <f t="shared" si="55"/>
        <v>548.87450000000001</v>
      </c>
      <c r="BH189" s="29" t="s">
        <v>542</v>
      </c>
      <c r="BI189" s="23" t="s">
        <v>419</v>
      </c>
      <c r="BJ189" s="29">
        <v>451.51959999999997</v>
      </c>
      <c r="BK189" s="29">
        <v>548.87450000000001</v>
      </c>
      <c r="BL189" s="29" t="s">
        <v>843</v>
      </c>
      <c r="BM189" s="25" t="s">
        <v>13</v>
      </c>
      <c r="BO189" s="44"/>
      <c r="CA189" s="25" t="s">
        <v>13</v>
      </c>
      <c r="CC189" s="25" t="s">
        <v>13</v>
      </c>
    </row>
    <row r="190" spans="1:81" ht="16.8">
      <c r="A190" s="7" t="s">
        <v>46</v>
      </c>
      <c r="B190" s="25" t="s">
        <v>148</v>
      </c>
      <c r="C190" s="68">
        <f t="shared" si="66"/>
        <v>205.4</v>
      </c>
      <c r="D190" s="76">
        <f t="shared" si="76"/>
        <v>209.5</v>
      </c>
      <c r="E190" s="76">
        <f t="shared" si="77"/>
        <v>201.3</v>
      </c>
      <c r="F190" s="23">
        <f t="shared" si="56"/>
        <v>1191.3333333333333</v>
      </c>
      <c r="G190" s="23" t="s">
        <v>389</v>
      </c>
      <c r="H190" s="23">
        <f t="shared" si="67"/>
        <v>595.66666666666663</v>
      </c>
      <c r="I190" s="23">
        <f t="shared" si="69"/>
        <v>2382.6666666666665</v>
      </c>
      <c r="J190" s="23" t="s">
        <v>480</v>
      </c>
      <c r="K190" s="23" t="s">
        <v>400</v>
      </c>
      <c r="L190" s="21">
        <v>1787</v>
      </c>
      <c r="M190" s="21">
        <f t="shared" si="73"/>
        <v>1287</v>
      </c>
      <c r="N190" s="21">
        <f t="shared" si="68"/>
        <v>2287</v>
      </c>
      <c r="O190" s="21">
        <v>3000</v>
      </c>
      <c r="P190" s="22">
        <v>2000</v>
      </c>
      <c r="Q190" s="25" t="s">
        <v>335</v>
      </c>
      <c r="R190" s="26" t="s">
        <v>13</v>
      </c>
      <c r="S190" s="6" t="s">
        <v>499</v>
      </c>
      <c r="T190" s="44" t="s">
        <v>505</v>
      </c>
      <c r="U190" s="62">
        <v>118.86</v>
      </c>
      <c r="V190" s="62">
        <v>118.96</v>
      </c>
      <c r="W190" s="62">
        <v>118.76</v>
      </c>
      <c r="X190" s="26">
        <v>1903.9926674468957</v>
      </c>
      <c r="Y190" s="26" t="s">
        <v>389</v>
      </c>
      <c r="Z190" s="26">
        <f t="shared" si="74"/>
        <v>1184.0723571128533</v>
      </c>
      <c r="AA190" s="26">
        <f t="shared" si="74"/>
        <v>3210.5831655180987</v>
      </c>
      <c r="AB190" s="25" t="s">
        <v>508</v>
      </c>
      <c r="AC190" s="77" t="s">
        <v>400</v>
      </c>
      <c r="AD190" s="26">
        <v>1184.0723571128533</v>
      </c>
      <c r="AE190" s="26">
        <v>3210.5831655180987</v>
      </c>
      <c r="AF190" s="88" t="s">
        <v>506</v>
      </c>
      <c r="AG190" s="25" t="s">
        <v>13</v>
      </c>
      <c r="AH190" s="6" t="s">
        <v>75</v>
      </c>
      <c r="AI190" s="44" t="s">
        <v>217</v>
      </c>
      <c r="AJ190" s="62">
        <v>38.4</v>
      </c>
      <c r="AK190" s="62">
        <v>40.9</v>
      </c>
      <c r="AL190" s="62">
        <v>35.9</v>
      </c>
      <c r="AM190" s="22">
        <v>634</v>
      </c>
      <c r="AN190" s="22" t="s">
        <v>239</v>
      </c>
      <c r="AO190" s="22">
        <f>AT190</f>
        <v>437</v>
      </c>
      <c r="AP190" s="23" t="str">
        <f>AU190</f>
        <v>[unbounded]</v>
      </c>
      <c r="AQ190" s="23" t="s">
        <v>514</v>
      </c>
      <c r="AR190" s="23" t="s">
        <v>400</v>
      </c>
      <c r="AS190" s="23"/>
      <c r="AT190" s="23">
        <v>437</v>
      </c>
      <c r="AU190" s="23" t="s">
        <v>69</v>
      </c>
      <c r="AV190" s="23" t="s">
        <v>236</v>
      </c>
      <c r="AW190" s="23" t="s">
        <v>742</v>
      </c>
      <c r="AX190" s="29" t="s">
        <v>13</v>
      </c>
      <c r="AY190" s="16" t="s">
        <v>842</v>
      </c>
      <c r="AZ190" s="97" t="s">
        <v>13</v>
      </c>
      <c r="BA190" s="97">
        <v>3.1797870000000001</v>
      </c>
      <c r="BB190" s="59"/>
      <c r="BC190" s="59"/>
      <c r="BD190" s="29">
        <v>431.48999999999995</v>
      </c>
      <c r="BE190" s="39" t="s">
        <v>239</v>
      </c>
      <c r="BF190" s="29">
        <f t="shared" si="55"/>
        <v>391.27330000000001</v>
      </c>
      <c r="BG190" s="29">
        <f t="shared" si="55"/>
        <v>472.34069999999997</v>
      </c>
      <c r="BH190" s="29" t="s">
        <v>542</v>
      </c>
      <c r="BI190" s="23" t="s">
        <v>419</v>
      </c>
      <c r="BJ190" s="29">
        <v>391.27330000000001</v>
      </c>
      <c r="BK190" s="29">
        <v>472.34069999999997</v>
      </c>
      <c r="BL190" s="29" t="s">
        <v>843</v>
      </c>
      <c r="BM190" s="25" t="s">
        <v>13</v>
      </c>
      <c r="BO190" s="44"/>
      <c r="CA190" s="25" t="s">
        <v>13</v>
      </c>
      <c r="CC190" s="25" t="s">
        <v>13</v>
      </c>
    </row>
    <row r="191" spans="1:81" ht="16.8">
      <c r="A191" s="7" t="s">
        <v>46</v>
      </c>
      <c r="B191" s="25" t="s">
        <v>148</v>
      </c>
      <c r="C191" s="68">
        <f t="shared" si="66"/>
        <v>205.4</v>
      </c>
      <c r="D191" s="76">
        <f t="shared" si="76"/>
        <v>209.5</v>
      </c>
      <c r="E191" s="76">
        <f t="shared" si="77"/>
        <v>201.3</v>
      </c>
      <c r="F191" s="23">
        <f t="shared" si="56"/>
        <v>862.66666666666663</v>
      </c>
      <c r="G191" s="23" t="s">
        <v>389</v>
      </c>
      <c r="H191" s="23">
        <f t="shared" si="67"/>
        <v>431.33333333333331</v>
      </c>
      <c r="I191" s="23">
        <f t="shared" si="69"/>
        <v>1725.3333333333333</v>
      </c>
      <c r="J191" s="23" t="s">
        <v>480</v>
      </c>
      <c r="K191" s="23" t="s">
        <v>400</v>
      </c>
      <c r="L191" s="21">
        <v>1294</v>
      </c>
      <c r="M191" s="21">
        <f t="shared" si="73"/>
        <v>794</v>
      </c>
      <c r="N191" s="21">
        <f t="shared" si="68"/>
        <v>1794</v>
      </c>
      <c r="O191" s="21">
        <v>3000</v>
      </c>
      <c r="P191" s="22">
        <v>2000</v>
      </c>
      <c r="Q191" s="25" t="s">
        <v>335</v>
      </c>
      <c r="R191" s="26" t="s">
        <v>13</v>
      </c>
      <c r="S191" s="6" t="s">
        <v>499</v>
      </c>
      <c r="T191" s="44" t="s">
        <v>505</v>
      </c>
      <c r="U191" s="62">
        <v>118.86</v>
      </c>
      <c r="V191" s="62">
        <v>118.96</v>
      </c>
      <c r="W191" s="62">
        <v>118.76</v>
      </c>
      <c r="X191" s="26">
        <v>761.99518374400066</v>
      </c>
      <c r="Y191" s="26" t="s">
        <v>389</v>
      </c>
      <c r="Z191" s="26">
        <f t="shared" si="74"/>
        <v>588.35318221474267</v>
      </c>
      <c r="AA191" s="26">
        <f t="shared" si="74"/>
        <v>1014.183447687354</v>
      </c>
      <c r="AB191" s="25" t="s">
        <v>508</v>
      </c>
      <c r="AC191" s="77" t="s">
        <v>400</v>
      </c>
      <c r="AD191" s="26">
        <v>588.35318221474267</v>
      </c>
      <c r="AE191" s="26">
        <v>1014.183447687354</v>
      </c>
      <c r="AF191" s="88" t="s">
        <v>506</v>
      </c>
      <c r="AG191" s="25" t="s">
        <v>13</v>
      </c>
      <c r="AH191" s="6" t="s">
        <v>77</v>
      </c>
      <c r="AI191" s="44" t="s">
        <v>166</v>
      </c>
      <c r="AJ191" s="62">
        <f>AVERAGE(AK191:AL191)</f>
        <v>201.05</v>
      </c>
      <c r="AK191" s="62">
        <v>201.3</v>
      </c>
      <c r="AL191" s="62">
        <v>200.8</v>
      </c>
      <c r="AM191" s="26">
        <f t="shared" ref="AM191:AM207" si="78">AVERAGE(AO191:AP191)</f>
        <v>1320</v>
      </c>
      <c r="AN191" s="26" t="s">
        <v>389</v>
      </c>
      <c r="AO191" s="66">
        <f>AT191</f>
        <v>880</v>
      </c>
      <c r="AP191" s="100">
        <f>AO191*2</f>
        <v>1760</v>
      </c>
      <c r="AQ191" s="29" t="s">
        <v>426</v>
      </c>
      <c r="AR191" s="26" t="s">
        <v>422</v>
      </c>
      <c r="AS191" s="29"/>
      <c r="AT191" s="23">
        <v>880</v>
      </c>
      <c r="AU191" s="23">
        <v>1354</v>
      </c>
      <c r="AV191" s="39" t="s">
        <v>60</v>
      </c>
      <c r="AW191" s="23" t="s">
        <v>743</v>
      </c>
      <c r="AX191" s="29" t="s">
        <v>13</v>
      </c>
      <c r="AY191" s="16" t="s">
        <v>842</v>
      </c>
      <c r="AZ191" s="97" t="s">
        <v>13</v>
      </c>
      <c r="BA191" s="97">
        <v>3.18919</v>
      </c>
      <c r="BB191" s="59"/>
      <c r="BC191" s="59"/>
      <c r="BD191" s="29">
        <v>339.67619999999999</v>
      </c>
      <c r="BE191" s="39" t="s">
        <v>239</v>
      </c>
      <c r="BF191" s="29">
        <f t="shared" si="55"/>
        <v>307.79579999999999</v>
      </c>
      <c r="BG191" s="29">
        <f t="shared" si="55"/>
        <v>371.90299999999996</v>
      </c>
      <c r="BH191" s="29" t="s">
        <v>542</v>
      </c>
      <c r="BI191" s="23" t="s">
        <v>419</v>
      </c>
      <c r="BJ191" s="29">
        <v>307.79579999999999</v>
      </c>
      <c r="BK191" s="29">
        <v>371.90299999999996</v>
      </c>
      <c r="BL191" s="29" t="s">
        <v>843</v>
      </c>
      <c r="BM191" s="25" t="s">
        <v>13</v>
      </c>
      <c r="BO191" s="44"/>
      <c r="CA191" s="25" t="s">
        <v>13</v>
      </c>
      <c r="CC191" s="25" t="s">
        <v>13</v>
      </c>
    </row>
    <row r="192" spans="1:81" ht="16.8">
      <c r="A192" s="7" t="s">
        <v>46</v>
      </c>
      <c r="B192" s="25" t="s">
        <v>148</v>
      </c>
      <c r="C192" s="68">
        <f t="shared" si="66"/>
        <v>205.4</v>
      </c>
      <c r="D192" s="76">
        <f t="shared" si="76"/>
        <v>209.5</v>
      </c>
      <c r="E192" s="76">
        <f t="shared" si="77"/>
        <v>201.3</v>
      </c>
      <c r="F192" s="23">
        <f t="shared" si="56"/>
        <v>661</v>
      </c>
      <c r="G192" s="23" t="s">
        <v>389</v>
      </c>
      <c r="H192" s="23">
        <f t="shared" si="67"/>
        <v>330.5</v>
      </c>
      <c r="I192" s="23">
        <f t="shared" si="69"/>
        <v>1322</v>
      </c>
      <c r="J192" s="23" t="s">
        <v>480</v>
      </c>
      <c r="K192" s="23" t="s">
        <v>400</v>
      </c>
      <c r="L192" s="21">
        <v>1322</v>
      </c>
      <c r="M192" s="21">
        <f t="shared" si="73"/>
        <v>822</v>
      </c>
      <c r="N192" s="21">
        <f t="shared" si="68"/>
        <v>1822</v>
      </c>
      <c r="O192" s="21">
        <v>4000</v>
      </c>
      <c r="P192" s="22">
        <v>2000</v>
      </c>
      <c r="Q192" s="25" t="s">
        <v>336</v>
      </c>
      <c r="R192" s="26" t="s">
        <v>13</v>
      </c>
      <c r="S192" s="6" t="s">
        <v>499</v>
      </c>
      <c r="T192" s="44" t="s">
        <v>500</v>
      </c>
      <c r="U192" s="62">
        <v>120.13499999999999</v>
      </c>
      <c r="V192" s="62">
        <v>120.21</v>
      </c>
      <c r="W192" s="62">
        <v>120.05999999999999</v>
      </c>
      <c r="X192" s="26">
        <v>1117.4709313680219</v>
      </c>
      <c r="Y192" s="26" t="s">
        <v>389</v>
      </c>
      <c r="Z192" s="26">
        <f t="shared" si="74"/>
        <v>778.66711028793793</v>
      </c>
      <c r="AA192" s="26">
        <f t="shared" si="74"/>
        <v>1593.9021755493814</v>
      </c>
      <c r="AB192" s="25" t="s">
        <v>508</v>
      </c>
      <c r="AC192" s="77" t="s">
        <v>400</v>
      </c>
      <c r="AD192" s="26">
        <v>778.66711028793793</v>
      </c>
      <c r="AE192" s="26">
        <v>1593.9021755493814</v>
      </c>
      <c r="AF192" s="88" t="s">
        <v>507</v>
      </c>
      <c r="AG192" s="25" t="s">
        <v>13</v>
      </c>
      <c r="AH192" s="6" t="s">
        <v>77</v>
      </c>
      <c r="AI192" s="44" t="s">
        <v>166</v>
      </c>
      <c r="AJ192" s="62">
        <f>AVERAGE(AK192:AL192)</f>
        <v>201.05</v>
      </c>
      <c r="AK192" s="62">
        <v>201.3</v>
      </c>
      <c r="AL192" s="62">
        <v>200.8</v>
      </c>
      <c r="AM192" s="26">
        <f t="shared" si="78"/>
        <v>1140</v>
      </c>
      <c r="AN192" s="26" t="s">
        <v>389</v>
      </c>
      <c r="AO192" s="66">
        <f t="shared" ref="AO192:AO207" si="79">AT192</f>
        <v>760</v>
      </c>
      <c r="AP192" s="100">
        <f t="shared" ref="AP192:AP207" si="80">AO192*2</f>
        <v>1520</v>
      </c>
      <c r="AQ192" s="29" t="s">
        <v>426</v>
      </c>
      <c r="AR192" s="26" t="s">
        <v>422</v>
      </c>
      <c r="AS192" s="29"/>
      <c r="AT192" s="23">
        <f>AVERAGE(725,795)</f>
        <v>760</v>
      </c>
      <c r="AU192" s="23">
        <f>AVERAGE(1175,1223)</f>
        <v>1199</v>
      </c>
      <c r="AV192" s="39" t="s">
        <v>60</v>
      </c>
      <c r="AW192" s="23" t="s">
        <v>744</v>
      </c>
      <c r="AX192" s="29" t="s">
        <v>13</v>
      </c>
      <c r="AY192" s="16" t="s">
        <v>842</v>
      </c>
      <c r="AZ192" s="97" t="s">
        <v>13</v>
      </c>
      <c r="BA192" s="97">
        <v>3.1987290000000002</v>
      </c>
      <c r="BB192" s="59"/>
      <c r="BC192" s="59"/>
      <c r="BD192" s="29">
        <v>383.39420000000001</v>
      </c>
      <c r="BE192" s="39" t="s">
        <v>239</v>
      </c>
      <c r="BF192" s="29">
        <f t="shared" ref="BF192:BG199" si="81">BJ192</f>
        <v>348.84030000000001</v>
      </c>
      <c r="BG192" s="29">
        <f t="shared" si="81"/>
        <v>419.27760000000001</v>
      </c>
      <c r="BH192" s="29" t="s">
        <v>542</v>
      </c>
      <c r="BI192" s="23" t="s">
        <v>419</v>
      </c>
      <c r="BJ192" s="29">
        <v>348.84030000000001</v>
      </c>
      <c r="BK192" s="29">
        <v>419.27760000000001</v>
      </c>
      <c r="BL192" s="29" t="s">
        <v>843</v>
      </c>
      <c r="BM192" s="25" t="s">
        <v>13</v>
      </c>
      <c r="BO192" s="44"/>
      <c r="CA192" s="25" t="s">
        <v>13</v>
      </c>
      <c r="CC192" s="25" t="s">
        <v>13</v>
      </c>
    </row>
    <row r="193" spans="1:81" ht="16.8">
      <c r="A193" s="7" t="s">
        <v>46</v>
      </c>
      <c r="B193" s="25" t="s">
        <v>148</v>
      </c>
      <c r="C193" s="68">
        <f t="shared" si="66"/>
        <v>205.4</v>
      </c>
      <c r="D193" s="76">
        <f t="shared" si="76"/>
        <v>209.5</v>
      </c>
      <c r="E193" s="76">
        <f t="shared" si="77"/>
        <v>201.3</v>
      </c>
      <c r="F193" s="23">
        <f t="shared" si="56"/>
        <v>1030</v>
      </c>
      <c r="G193" s="23" t="s">
        <v>389</v>
      </c>
      <c r="H193" s="23">
        <f t="shared" si="67"/>
        <v>515</v>
      </c>
      <c r="I193" s="23">
        <f t="shared" si="69"/>
        <v>2060</v>
      </c>
      <c r="J193" s="23" t="s">
        <v>480</v>
      </c>
      <c r="K193" s="23" t="s">
        <v>400</v>
      </c>
      <c r="L193" s="21">
        <v>1545</v>
      </c>
      <c r="M193" s="21">
        <f t="shared" si="73"/>
        <v>1045</v>
      </c>
      <c r="N193" s="21">
        <f t="shared" si="68"/>
        <v>2045</v>
      </c>
      <c r="O193" s="21">
        <v>3000</v>
      </c>
      <c r="P193" s="22">
        <v>2000</v>
      </c>
      <c r="Q193" s="25" t="s">
        <v>335</v>
      </c>
      <c r="R193" s="26" t="s">
        <v>13</v>
      </c>
      <c r="S193" s="6" t="s">
        <v>499</v>
      </c>
      <c r="T193" s="44" t="s">
        <v>500</v>
      </c>
      <c r="U193" s="62">
        <v>120.13499999999999</v>
      </c>
      <c r="V193" s="62">
        <v>120.21</v>
      </c>
      <c r="W193" s="62">
        <v>120.05999999999999</v>
      </c>
      <c r="X193" s="26">
        <v>1098.8020289739975</v>
      </c>
      <c r="Y193" s="26" t="s">
        <v>389</v>
      </c>
      <c r="Z193" s="26">
        <f t="shared" si="74"/>
        <v>822.13642117494442</v>
      </c>
      <c r="AA193" s="26">
        <f t="shared" si="74"/>
        <v>1519.6028100224746</v>
      </c>
      <c r="AB193" s="25" t="s">
        <v>508</v>
      </c>
      <c r="AC193" s="77" t="s">
        <v>400</v>
      </c>
      <c r="AD193" s="26">
        <v>822.13642117494442</v>
      </c>
      <c r="AE193" s="26">
        <v>1519.6028100224746</v>
      </c>
      <c r="AF193" s="88" t="s">
        <v>507</v>
      </c>
      <c r="AG193" s="25" t="s">
        <v>13</v>
      </c>
      <c r="AH193" s="6" t="s">
        <v>77</v>
      </c>
      <c r="AI193" s="44" t="s">
        <v>166</v>
      </c>
      <c r="AJ193" s="62">
        <f>AVERAGE(AK193:AL193)</f>
        <v>201.05</v>
      </c>
      <c r="AK193" s="62">
        <v>201.3</v>
      </c>
      <c r="AL193" s="62">
        <v>200.8</v>
      </c>
      <c r="AM193" s="26">
        <f t="shared" si="78"/>
        <v>2791.5</v>
      </c>
      <c r="AN193" s="26" t="s">
        <v>389</v>
      </c>
      <c r="AO193" s="66">
        <f t="shared" si="79"/>
        <v>1861</v>
      </c>
      <c r="AP193" s="100">
        <f t="shared" si="80"/>
        <v>3722</v>
      </c>
      <c r="AQ193" s="29" t="s">
        <v>426</v>
      </c>
      <c r="AR193" s="26" t="s">
        <v>422</v>
      </c>
      <c r="AS193" s="29"/>
      <c r="AT193" s="23">
        <f>AVERAGE(1791,1931)</f>
        <v>1861</v>
      </c>
      <c r="AU193" s="23">
        <f>AVERAGE(2905,2971)</f>
        <v>2938</v>
      </c>
      <c r="AV193" s="39" t="s">
        <v>60</v>
      </c>
      <c r="AW193" s="23" t="s">
        <v>745</v>
      </c>
      <c r="AX193" s="29" t="s">
        <v>13</v>
      </c>
      <c r="AY193" s="16" t="s">
        <v>842</v>
      </c>
      <c r="AZ193" s="97" t="s">
        <v>13</v>
      </c>
      <c r="BA193" s="97">
        <v>3.2093750000000001</v>
      </c>
      <c r="BB193" s="59"/>
      <c r="BC193" s="59"/>
      <c r="BD193" s="29">
        <v>380.803</v>
      </c>
      <c r="BE193" s="39" t="s">
        <v>239</v>
      </c>
      <c r="BF193" s="29">
        <f t="shared" si="81"/>
        <v>345.34339999999997</v>
      </c>
      <c r="BG193" s="29">
        <f t="shared" si="81"/>
        <v>418.08909999999997</v>
      </c>
      <c r="BH193" s="29" t="s">
        <v>542</v>
      </c>
      <c r="BI193" s="23" t="s">
        <v>419</v>
      </c>
      <c r="BJ193" s="29">
        <v>345.34339999999997</v>
      </c>
      <c r="BK193" s="29">
        <v>418.08909999999997</v>
      </c>
      <c r="BL193" s="29" t="s">
        <v>843</v>
      </c>
      <c r="BM193" s="25" t="s">
        <v>13</v>
      </c>
      <c r="BO193" s="44"/>
      <c r="CA193" s="25" t="s">
        <v>13</v>
      </c>
      <c r="CC193" s="25" t="s">
        <v>13</v>
      </c>
    </row>
    <row r="194" spans="1:81" ht="16.8">
      <c r="A194" s="7" t="s">
        <v>46</v>
      </c>
      <c r="B194" s="25" t="s">
        <v>148</v>
      </c>
      <c r="C194" s="68">
        <f t="shared" si="66"/>
        <v>205.4</v>
      </c>
      <c r="D194" s="76">
        <f t="shared" si="76"/>
        <v>209.5</v>
      </c>
      <c r="E194" s="76">
        <f t="shared" si="77"/>
        <v>201.3</v>
      </c>
      <c r="F194" s="23">
        <f t="shared" si="56"/>
        <v>513</v>
      </c>
      <c r="G194" s="23" t="s">
        <v>389</v>
      </c>
      <c r="H194" s="23">
        <f t="shared" si="67"/>
        <v>256.5</v>
      </c>
      <c r="I194" s="23">
        <f t="shared" si="69"/>
        <v>1026</v>
      </c>
      <c r="J194" s="23" t="s">
        <v>480</v>
      </c>
      <c r="K194" s="23" t="s">
        <v>400</v>
      </c>
      <c r="L194" s="21">
        <v>1026</v>
      </c>
      <c r="M194" s="21">
        <f t="shared" si="73"/>
        <v>526</v>
      </c>
      <c r="N194" s="21">
        <f t="shared" si="68"/>
        <v>1526</v>
      </c>
      <c r="O194" s="21">
        <v>4000</v>
      </c>
      <c r="P194" s="22">
        <v>2000</v>
      </c>
      <c r="Q194" s="25" t="s">
        <v>272</v>
      </c>
      <c r="R194" s="26" t="s">
        <v>13</v>
      </c>
      <c r="S194" s="6" t="s">
        <v>499</v>
      </c>
      <c r="T194" s="44" t="s">
        <v>502</v>
      </c>
      <c r="U194" s="62">
        <v>119.94049999999999</v>
      </c>
      <c r="V194" s="62">
        <v>120.05999999999999</v>
      </c>
      <c r="W194" s="62">
        <v>119.82099999999998</v>
      </c>
      <c r="X194" s="26">
        <v>1321.9654866558299</v>
      </c>
      <c r="Y194" s="26" t="s">
        <v>389</v>
      </c>
      <c r="Z194" s="26">
        <f t="shared" si="74"/>
        <v>856.43297741522679</v>
      </c>
      <c r="AA194" s="26">
        <f t="shared" si="74"/>
        <v>2104.2955979498997</v>
      </c>
      <c r="AB194" s="25" t="s">
        <v>508</v>
      </c>
      <c r="AC194" s="77" t="s">
        <v>400</v>
      </c>
      <c r="AD194" s="26">
        <v>856.43297741522679</v>
      </c>
      <c r="AE194" s="26">
        <v>2104.2955979498997</v>
      </c>
      <c r="AF194" s="88" t="s">
        <v>507</v>
      </c>
      <c r="AG194" s="25" t="s">
        <v>13</v>
      </c>
      <c r="AH194" s="6" t="s">
        <v>77</v>
      </c>
      <c r="AI194" s="44" t="s">
        <v>167</v>
      </c>
      <c r="AJ194" s="68">
        <v>201.3</v>
      </c>
      <c r="AK194" s="62">
        <f>AJ194+0.5</f>
        <v>201.8</v>
      </c>
      <c r="AL194" s="62">
        <f>AJ194-0.5</f>
        <v>200.8</v>
      </c>
      <c r="AM194" s="26">
        <f t="shared" si="78"/>
        <v>1926.75</v>
      </c>
      <c r="AN194" s="26" t="s">
        <v>389</v>
      </c>
      <c r="AO194" s="66">
        <f t="shared" si="79"/>
        <v>1284.5</v>
      </c>
      <c r="AP194" s="100">
        <f t="shared" si="80"/>
        <v>2569</v>
      </c>
      <c r="AQ194" s="29" t="s">
        <v>426</v>
      </c>
      <c r="AR194" s="26" t="s">
        <v>422</v>
      </c>
      <c r="AS194" s="29"/>
      <c r="AT194" s="23">
        <f>AVERAGE(1149,1420)</f>
        <v>1284.5</v>
      </c>
      <c r="AU194" s="23">
        <f>AVERAGE(2349,2184)</f>
        <v>2266.5</v>
      </c>
      <c r="AV194" s="39" t="s">
        <v>60</v>
      </c>
      <c r="AW194" s="23" t="s">
        <v>746</v>
      </c>
      <c r="AX194" s="29" t="s">
        <v>13</v>
      </c>
      <c r="AY194" s="16" t="s">
        <v>842</v>
      </c>
      <c r="AZ194" s="97" t="s">
        <v>13</v>
      </c>
      <c r="BA194" s="97">
        <v>3.2246039999999998</v>
      </c>
      <c r="BB194" s="59"/>
      <c r="BC194" s="59"/>
      <c r="BD194" s="29">
        <v>426.18259999999998</v>
      </c>
      <c r="BE194" s="39" t="s">
        <v>239</v>
      </c>
      <c r="BF194" s="29">
        <f t="shared" si="81"/>
        <v>385.11969999999997</v>
      </c>
      <c r="BG194" s="29">
        <f t="shared" si="81"/>
        <v>467.7876</v>
      </c>
      <c r="BH194" s="29" t="s">
        <v>542</v>
      </c>
      <c r="BI194" s="23" t="s">
        <v>419</v>
      </c>
      <c r="BJ194" s="29">
        <v>385.11969999999997</v>
      </c>
      <c r="BK194" s="29">
        <v>467.7876</v>
      </c>
      <c r="BL194" s="29" t="s">
        <v>843</v>
      </c>
      <c r="BM194" s="25" t="s">
        <v>13</v>
      </c>
      <c r="BO194" s="44"/>
      <c r="CA194" s="25" t="s">
        <v>13</v>
      </c>
      <c r="CC194" s="25" t="s">
        <v>13</v>
      </c>
    </row>
    <row r="195" spans="1:81" ht="16.8">
      <c r="A195" s="7" t="s">
        <v>46</v>
      </c>
      <c r="B195" s="25" t="s">
        <v>148</v>
      </c>
      <c r="C195" s="68">
        <f t="shared" si="66"/>
        <v>205.4</v>
      </c>
      <c r="D195" s="76">
        <f t="shared" si="76"/>
        <v>209.5</v>
      </c>
      <c r="E195" s="76">
        <f t="shared" si="77"/>
        <v>201.3</v>
      </c>
      <c r="F195" s="23">
        <f t="shared" si="56"/>
        <v>622.5</v>
      </c>
      <c r="G195" s="23" t="s">
        <v>389</v>
      </c>
      <c r="H195" s="23">
        <f t="shared" si="67"/>
        <v>311.25</v>
      </c>
      <c r="I195" s="23">
        <f t="shared" si="69"/>
        <v>1245</v>
      </c>
      <c r="J195" s="23" t="s">
        <v>480</v>
      </c>
      <c r="K195" s="23" t="s">
        <v>400</v>
      </c>
      <c r="L195" s="21">
        <v>1245</v>
      </c>
      <c r="M195" s="21">
        <f t="shared" si="73"/>
        <v>745</v>
      </c>
      <c r="N195" s="21">
        <f t="shared" si="68"/>
        <v>1745</v>
      </c>
      <c r="O195" s="21">
        <v>4000</v>
      </c>
      <c r="P195" s="22">
        <v>2000</v>
      </c>
      <c r="Q195" s="25" t="s">
        <v>336</v>
      </c>
      <c r="R195" s="26" t="s">
        <v>13</v>
      </c>
      <c r="S195" s="6" t="s">
        <v>499</v>
      </c>
      <c r="T195" s="44" t="s">
        <v>502</v>
      </c>
      <c r="U195" s="62">
        <v>119.94049999999999</v>
      </c>
      <c r="V195" s="62">
        <v>120.05999999999999</v>
      </c>
      <c r="W195" s="62">
        <v>119.82099999999998</v>
      </c>
      <c r="X195" s="26">
        <v>1894.4829638609835</v>
      </c>
      <c r="Y195" s="26" t="s">
        <v>389</v>
      </c>
      <c r="Z195" s="26">
        <f t="shared" si="74"/>
        <v>1154.4857606362166</v>
      </c>
      <c r="AA195" s="26">
        <f t="shared" si="74"/>
        <v>3278.296732846291</v>
      </c>
      <c r="AB195" s="25" t="s">
        <v>508</v>
      </c>
      <c r="AC195" s="77" t="s">
        <v>400</v>
      </c>
      <c r="AD195" s="26">
        <v>1154.4857606362166</v>
      </c>
      <c r="AE195" s="26">
        <v>3278.296732846291</v>
      </c>
      <c r="AF195" s="88" t="s">
        <v>507</v>
      </c>
      <c r="AG195" s="25" t="s">
        <v>13</v>
      </c>
      <c r="AH195" s="6" t="s">
        <v>77</v>
      </c>
      <c r="AI195" s="44" t="s">
        <v>168</v>
      </c>
      <c r="AJ195" s="62">
        <f t="shared" ref="AJ195:AJ200" si="82">AVERAGE(AK195:AL195)</f>
        <v>201.55</v>
      </c>
      <c r="AK195" s="62">
        <v>201.8</v>
      </c>
      <c r="AL195" s="62">
        <v>201.3</v>
      </c>
      <c r="AM195" s="26">
        <f t="shared" si="78"/>
        <v>1445.25</v>
      </c>
      <c r="AN195" s="26" t="s">
        <v>389</v>
      </c>
      <c r="AO195" s="66">
        <f t="shared" si="79"/>
        <v>963.5</v>
      </c>
      <c r="AP195" s="100">
        <f t="shared" si="80"/>
        <v>1927</v>
      </c>
      <c r="AQ195" s="29" t="s">
        <v>426</v>
      </c>
      <c r="AR195" s="26" t="s">
        <v>422</v>
      </c>
      <c r="AS195" s="29"/>
      <c r="AT195" s="23">
        <f>AVERAGE(840,1087)</f>
        <v>963.5</v>
      </c>
      <c r="AU195" s="23">
        <f>AVERAGE(1363,1673)</f>
        <v>1518</v>
      </c>
      <c r="AV195" s="39" t="s">
        <v>60</v>
      </c>
      <c r="AW195" s="23" t="s">
        <v>747</v>
      </c>
      <c r="AX195" s="29" t="s">
        <v>13</v>
      </c>
      <c r="AY195" s="16" t="s">
        <v>842</v>
      </c>
      <c r="AZ195" s="97" t="s">
        <v>13</v>
      </c>
      <c r="BA195" s="97">
        <v>3.2398859999999998</v>
      </c>
      <c r="BB195" s="59"/>
      <c r="BC195" s="59"/>
      <c r="BD195" s="29">
        <v>468.58249999999998</v>
      </c>
      <c r="BE195" s="39" t="s">
        <v>239</v>
      </c>
      <c r="BF195" s="29">
        <f t="shared" si="81"/>
        <v>421.01990000000001</v>
      </c>
      <c r="BG195" s="29">
        <f t="shared" si="81"/>
        <v>517.75959999999998</v>
      </c>
      <c r="BH195" s="29" t="s">
        <v>542</v>
      </c>
      <c r="BI195" s="23" t="s">
        <v>419</v>
      </c>
      <c r="BJ195" s="29">
        <v>421.01990000000001</v>
      </c>
      <c r="BK195" s="29">
        <v>517.75959999999998</v>
      </c>
      <c r="BL195" s="29" t="s">
        <v>843</v>
      </c>
      <c r="BM195" s="25" t="s">
        <v>13</v>
      </c>
      <c r="BO195" s="44"/>
      <c r="CA195" s="25" t="s">
        <v>13</v>
      </c>
      <c r="CC195" s="25" t="s">
        <v>13</v>
      </c>
    </row>
    <row r="196" spans="1:81" ht="16.8">
      <c r="A196" s="7" t="s">
        <v>46</v>
      </c>
      <c r="B196" s="25" t="s">
        <v>148</v>
      </c>
      <c r="C196" s="68">
        <f t="shared" si="66"/>
        <v>205.4</v>
      </c>
      <c r="D196" s="76">
        <f t="shared" si="76"/>
        <v>209.5</v>
      </c>
      <c r="E196" s="76">
        <f t="shared" si="77"/>
        <v>201.3</v>
      </c>
      <c r="F196" s="23">
        <f t="shared" si="56"/>
        <v>1556.6666666666667</v>
      </c>
      <c r="G196" s="23" t="s">
        <v>389</v>
      </c>
      <c r="H196" s="23">
        <f t="shared" si="67"/>
        <v>778.33333333333337</v>
      </c>
      <c r="I196" s="23">
        <f t="shared" si="69"/>
        <v>3113.3333333333335</v>
      </c>
      <c r="J196" s="23" t="s">
        <v>480</v>
      </c>
      <c r="K196" s="23" t="s">
        <v>400</v>
      </c>
      <c r="L196" s="21">
        <v>2335</v>
      </c>
      <c r="M196" s="21">
        <f t="shared" si="73"/>
        <v>1835</v>
      </c>
      <c r="N196" s="21">
        <f t="shared" si="68"/>
        <v>2835</v>
      </c>
      <c r="O196" s="21">
        <v>3000</v>
      </c>
      <c r="P196" s="22">
        <v>2000</v>
      </c>
      <c r="Q196" s="25" t="s">
        <v>335</v>
      </c>
      <c r="R196" s="26" t="s">
        <v>13</v>
      </c>
      <c r="S196" s="6" t="s">
        <v>499</v>
      </c>
      <c r="T196" s="44" t="s">
        <v>504</v>
      </c>
      <c r="U196" s="62">
        <v>119.13649999999998</v>
      </c>
      <c r="V196" s="62">
        <v>119.31099999999998</v>
      </c>
      <c r="W196" s="62">
        <v>118.96199999999999</v>
      </c>
      <c r="X196" s="26">
        <v>1226.6232121090216</v>
      </c>
      <c r="Y196" s="26" t="s">
        <v>389</v>
      </c>
      <c r="Z196" s="26">
        <f t="shared" si="74"/>
        <v>899.70780941449607</v>
      </c>
      <c r="AA196" s="26">
        <f t="shared" si="74"/>
        <v>1735.0628002189687</v>
      </c>
      <c r="AB196" s="25" t="s">
        <v>508</v>
      </c>
      <c r="AC196" s="77" t="s">
        <v>400</v>
      </c>
      <c r="AD196" s="26">
        <v>899.70780941449607</v>
      </c>
      <c r="AE196" s="26">
        <v>1735.0628002189687</v>
      </c>
      <c r="AF196" s="88" t="s">
        <v>507</v>
      </c>
      <c r="AG196" s="25" t="s">
        <v>13</v>
      </c>
      <c r="AH196" s="6" t="s">
        <v>77</v>
      </c>
      <c r="AI196" s="44" t="s">
        <v>168</v>
      </c>
      <c r="AJ196" s="62">
        <f t="shared" si="82"/>
        <v>201.55</v>
      </c>
      <c r="AK196" s="62">
        <v>201.8</v>
      </c>
      <c r="AL196" s="62">
        <v>201.3</v>
      </c>
      <c r="AM196" s="26">
        <f t="shared" si="78"/>
        <v>1092</v>
      </c>
      <c r="AN196" s="26" t="s">
        <v>389</v>
      </c>
      <c r="AO196" s="66">
        <f t="shared" si="79"/>
        <v>728</v>
      </c>
      <c r="AP196" s="100">
        <f t="shared" si="80"/>
        <v>1456</v>
      </c>
      <c r="AQ196" s="29" t="s">
        <v>426</v>
      </c>
      <c r="AR196" s="26" t="s">
        <v>422</v>
      </c>
      <c r="AS196" s="29"/>
      <c r="AT196" s="23">
        <f>AVERAGE(850,606)</f>
        <v>728</v>
      </c>
      <c r="AU196" s="23">
        <f>AVERAGE(81378,932)</f>
        <v>41155</v>
      </c>
      <c r="AV196" s="39" t="s">
        <v>60</v>
      </c>
      <c r="AW196" s="23" t="s">
        <v>748</v>
      </c>
      <c r="AX196" s="29" t="s">
        <v>13</v>
      </c>
      <c r="AY196" s="16" t="s">
        <v>842</v>
      </c>
      <c r="AZ196" s="97" t="s">
        <v>13</v>
      </c>
      <c r="BA196" s="97">
        <v>3.2429250000000001</v>
      </c>
      <c r="BB196" s="59"/>
      <c r="BC196" s="59"/>
      <c r="BD196" s="29">
        <v>401.1653</v>
      </c>
      <c r="BE196" s="39" t="s">
        <v>239</v>
      </c>
      <c r="BF196" s="29">
        <f t="shared" si="81"/>
        <v>364.23659999999995</v>
      </c>
      <c r="BG196" s="29">
        <f t="shared" si="81"/>
        <v>440.64229999999998</v>
      </c>
      <c r="BH196" s="29" t="s">
        <v>542</v>
      </c>
      <c r="BI196" s="23" t="s">
        <v>419</v>
      </c>
      <c r="BJ196" s="29">
        <v>364.23659999999995</v>
      </c>
      <c r="BK196" s="29">
        <v>440.64229999999998</v>
      </c>
      <c r="BL196" s="29" t="s">
        <v>843</v>
      </c>
      <c r="BM196" s="25" t="s">
        <v>13</v>
      </c>
      <c r="BO196" s="44"/>
      <c r="CA196" s="25" t="s">
        <v>13</v>
      </c>
      <c r="CC196" s="25" t="s">
        <v>13</v>
      </c>
    </row>
    <row r="197" spans="1:81">
      <c r="A197" s="7" t="s">
        <v>46</v>
      </c>
      <c r="B197" s="25" t="s">
        <v>148</v>
      </c>
      <c r="C197" s="68">
        <f t="shared" si="66"/>
        <v>205.4</v>
      </c>
      <c r="D197" s="76">
        <f t="shared" si="76"/>
        <v>209.5</v>
      </c>
      <c r="E197" s="76">
        <f t="shared" si="77"/>
        <v>201.3</v>
      </c>
      <c r="F197" s="23">
        <f t="shared" si="56"/>
        <v>1202</v>
      </c>
      <c r="G197" s="23" t="s">
        <v>389</v>
      </c>
      <c r="H197" s="23">
        <f t="shared" si="67"/>
        <v>601</v>
      </c>
      <c r="I197" s="23">
        <f t="shared" si="69"/>
        <v>2404</v>
      </c>
      <c r="J197" s="23" t="s">
        <v>480</v>
      </c>
      <c r="K197" s="23" t="s">
        <v>400</v>
      </c>
      <c r="L197" s="21">
        <v>2404</v>
      </c>
      <c r="M197" s="21">
        <f t="shared" si="73"/>
        <v>1904</v>
      </c>
      <c r="N197" s="21">
        <f t="shared" si="68"/>
        <v>2904</v>
      </c>
      <c r="O197" s="21">
        <v>4000</v>
      </c>
      <c r="P197" s="22">
        <v>2000</v>
      </c>
      <c r="Q197" s="25" t="s">
        <v>336</v>
      </c>
      <c r="R197" s="26" t="s">
        <v>13</v>
      </c>
      <c r="S197" s="6" t="s">
        <v>639</v>
      </c>
      <c r="T197" s="44" t="s">
        <v>640</v>
      </c>
      <c r="U197" s="62">
        <v>8.9235830307006836</v>
      </c>
      <c r="X197" s="26">
        <v>302.24810511070444</v>
      </c>
      <c r="Y197" s="26" t="s">
        <v>389</v>
      </c>
      <c r="Z197" s="26">
        <f t="shared" ref="Z197:AA260" si="83">AD197</f>
        <v>263.38409999999999</v>
      </c>
      <c r="AA197" s="26">
        <f t="shared" si="83"/>
        <v>345.22430000000003</v>
      </c>
      <c r="AB197" s="25" t="s">
        <v>542</v>
      </c>
      <c r="AC197" s="77" t="s">
        <v>400</v>
      </c>
      <c r="AD197" s="26">
        <v>263.38409999999999</v>
      </c>
      <c r="AE197" s="26">
        <v>345.22430000000003</v>
      </c>
      <c r="AF197" s="26" t="s">
        <v>641</v>
      </c>
      <c r="AG197" s="25" t="s">
        <v>13</v>
      </c>
      <c r="AH197" s="6" t="s">
        <v>77</v>
      </c>
      <c r="AI197" s="44" t="s">
        <v>168</v>
      </c>
      <c r="AJ197" s="62">
        <f t="shared" si="82"/>
        <v>201.55</v>
      </c>
      <c r="AK197" s="62">
        <v>201.8</v>
      </c>
      <c r="AL197" s="62">
        <v>201.3</v>
      </c>
      <c r="AM197" s="26">
        <f t="shared" si="78"/>
        <v>1194.75</v>
      </c>
      <c r="AN197" s="26" t="s">
        <v>389</v>
      </c>
      <c r="AO197" s="66">
        <f t="shared" si="79"/>
        <v>796.5</v>
      </c>
      <c r="AP197" s="100">
        <f t="shared" si="80"/>
        <v>1593</v>
      </c>
      <c r="AQ197" s="29" t="s">
        <v>426</v>
      </c>
      <c r="AR197" s="26" t="s">
        <v>422</v>
      </c>
      <c r="AS197" s="29"/>
      <c r="AT197" s="23">
        <f>AVERAGE(770,823)</f>
        <v>796.5</v>
      </c>
      <c r="AU197" s="23">
        <f>AVERAGE(1249,1266)</f>
        <v>1257.5</v>
      </c>
      <c r="AV197" s="39" t="s">
        <v>60</v>
      </c>
      <c r="AW197" s="23" t="s">
        <v>749</v>
      </c>
      <c r="AX197" s="29" t="s">
        <v>13</v>
      </c>
      <c r="AY197" s="16" t="s">
        <v>842</v>
      </c>
      <c r="AZ197" s="97" t="s">
        <v>13</v>
      </c>
      <c r="BA197" s="97">
        <v>3.2458119999999999</v>
      </c>
      <c r="BB197" s="59"/>
      <c r="BC197" s="59"/>
      <c r="BD197" s="29">
        <v>369.09070000000003</v>
      </c>
      <c r="BE197" s="39" t="s">
        <v>239</v>
      </c>
      <c r="BF197" s="29">
        <f t="shared" si="81"/>
        <v>333.73510000000005</v>
      </c>
      <c r="BG197" s="29">
        <f t="shared" si="81"/>
        <v>404.2045</v>
      </c>
      <c r="BH197" s="29" t="s">
        <v>542</v>
      </c>
      <c r="BI197" s="23" t="s">
        <v>419</v>
      </c>
      <c r="BJ197" s="29">
        <v>333.73510000000005</v>
      </c>
      <c r="BK197" s="29">
        <v>404.2045</v>
      </c>
      <c r="BL197" s="29" t="s">
        <v>843</v>
      </c>
      <c r="BM197" s="25" t="s">
        <v>13</v>
      </c>
      <c r="BO197" s="44"/>
      <c r="CA197" s="25" t="s">
        <v>13</v>
      </c>
      <c r="CC197" s="25" t="s">
        <v>13</v>
      </c>
    </row>
    <row r="198" spans="1:81">
      <c r="A198" s="7" t="s">
        <v>46</v>
      </c>
      <c r="B198" s="25" t="s">
        <v>148</v>
      </c>
      <c r="C198" s="68">
        <f t="shared" si="66"/>
        <v>205.4</v>
      </c>
      <c r="D198" s="76">
        <f t="shared" si="76"/>
        <v>209.5</v>
      </c>
      <c r="E198" s="76">
        <f t="shared" si="77"/>
        <v>201.3</v>
      </c>
      <c r="F198" s="23">
        <f t="shared" ref="F198:F261" si="84">L198*$P198/$O198</f>
        <v>1966.6666666666667</v>
      </c>
      <c r="G198" s="23" t="s">
        <v>389</v>
      </c>
      <c r="H198" s="23">
        <f t="shared" si="67"/>
        <v>983.33333333333337</v>
      </c>
      <c r="I198" s="23">
        <f t="shared" si="69"/>
        <v>3933.3333333333335</v>
      </c>
      <c r="J198" s="23" t="s">
        <v>480</v>
      </c>
      <c r="K198" s="23" t="s">
        <v>400</v>
      </c>
      <c r="L198" s="21">
        <v>2950</v>
      </c>
      <c r="M198" s="21">
        <f t="shared" si="73"/>
        <v>2450</v>
      </c>
      <c r="N198" s="21">
        <f t="shared" si="68"/>
        <v>3450</v>
      </c>
      <c r="O198" s="21">
        <v>3000</v>
      </c>
      <c r="P198" s="22">
        <v>2000</v>
      </c>
      <c r="Q198" s="25" t="s">
        <v>335</v>
      </c>
      <c r="R198" s="26" t="s">
        <v>13</v>
      </c>
      <c r="S198" s="6" t="s">
        <v>639</v>
      </c>
      <c r="T198" s="44" t="s">
        <v>640</v>
      </c>
      <c r="U198" s="62">
        <v>9.2048559188842773</v>
      </c>
      <c r="X198" s="26">
        <v>277.14978740747017</v>
      </c>
      <c r="Y198" s="26" t="s">
        <v>389</v>
      </c>
      <c r="Z198" s="26">
        <f t="shared" si="83"/>
        <v>241.88419999999999</v>
      </c>
      <c r="AA198" s="26">
        <f t="shared" si="83"/>
        <v>314.41579999999999</v>
      </c>
      <c r="AB198" s="25" t="s">
        <v>542</v>
      </c>
      <c r="AC198" s="77" t="s">
        <v>400</v>
      </c>
      <c r="AD198" s="26">
        <v>241.88419999999999</v>
      </c>
      <c r="AE198" s="26">
        <v>314.41579999999999</v>
      </c>
      <c r="AF198" s="26" t="s">
        <v>641</v>
      </c>
      <c r="AG198" s="25" t="s">
        <v>13</v>
      </c>
      <c r="AH198" s="6" t="s">
        <v>77</v>
      </c>
      <c r="AI198" s="44" t="s">
        <v>168</v>
      </c>
      <c r="AJ198" s="62">
        <f t="shared" si="82"/>
        <v>201.55</v>
      </c>
      <c r="AK198" s="62">
        <v>201.8</v>
      </c>
      <c r="AL198" s="62">
        <v>201.3</v>
      </c>
      <c r="AM198" s="26">
        <f t="shared" si="78"/>
        <v>1236</v>
      </c>
      <c r="AN198" s="26" t="s">
        <v>389</v>
      </c>
      <c r="AO198" s="66">
        <f t="shared" si="79"/>
        <v>824</v>
      </c>
      <c r="AP198" s="100">
        <f t="shared" si="80"/>
        <v>1648</v>
      </c>
      <c r="AQ198" s="29" t="s">
        <v>426</v>
      </c>
      <c r="AR198" s="26" t="s">
        <v>422</v>
      </c>
      <c r="AS198" s="29"/>
      <c r="AT198" s="23">
        <v>824</v>
      </c>
      <c r="AU198" s="23">
        <v>825</v>
      </c>
      <c r="AV198" s="39" t="s">
        <v>60</v>
      </c>
      <c r="AW198" s="23" t="s">
        <v>750</v>
      </c>
      <c r="AX198" s="29" t="s">
        <v>13</v>
      </c>
      <c r="AY198" s="16" t="s">
        <v>842</v>
      </c>
      <c r="AZ198" s="97" t="s">
        <v>13</v>
      </c>
      <c r="BA198" s="97">
        <v>3.2595779999999999</v>
      </c>
      <c r="BB198" s="59"/>
      <c r="BC198" s="59"/>
      <c r="BD198" s="29">
        <v>397.02510000000001</v>
      </c>
      <c r="BE198" s="39" t="s">
        <v>239</v>
      </c>
      <c r="BF198" s="29">
        <f t="shared" si="81"/>
        <v>359.13290000000001</v>
      </c>
      <c r="BG198" s="29">
        <f t="shared" si="81"/>
        <v>435.55130000000003</v>
      </c>
      <c r="BH198" s="29" t="s">
        <v>542</v>
      </c>
      <c r="BI198" s="23" t="s">
        <v>419</v>
      </c>
      <c r="BJ198" s="29">
        <v>359.13290000000001</v>
      </c>
      <c r="BK198" s="29">
        <v>435.55130000000003</v>
      </c>
      <c r="BL198" s="29" t="s">
        <v>843</v>
      </c>
      <c r="BM198" s="25" t="s">
        <v>13</v>
      </c>
      <c r="BO198" s="44"/>
      <c r="CA198" s="25" t="s">
        <v>13</v>
      </c>
      <c r="CC198" s="25" t="s">
        <v>13</v>
      </c>
    </row>
    <row r="199" spans="1:81">
      <c r="A199" s="7" t="s">
        <v>46</v>
      </c>
      <c r="B199" s="25" t="s">
        <v>148</v>
      </c>
      <c r="C199" s="68">
        <f t="shared" si="66"/>
        <v>205.4</v>
      </c>
      <c r="D199" s="76">
        <f t="shared" si="76"/>
        <v>209.5</v>
      </c>
      <c r="E199" s="76">
        <f t="shared" si="77"/>
        <v>201.3</v>
      </c>
      <c r="F199" s="23">
        <f t="shared" si="84"/>
        <v>1782.6666666666667</v>
      </c>
      <c r="G199" s="23" t="s">
        <v>389</v>
      </c>
      <c r="H199" s="23">
        <f t="shared" si="67"/>
        <v>891.33333333333337</v>
      </c>
      <c r="I199" s="23">
        <f t="shared" si="69"/>
        <v>3565.3333333333335</v>
      </c>
      <c r="J199" s="23" t="s">
        <v>480</v>
      </c>
      <c r="K199" s="23" t="s">
        <v>400</v>
      </c>
      <c r="L199" s="21">
        <v>2674</v>
      </c>
      <c r="M199" s="21">
        <f t="shared" si="73"/>
        <v>2174</v>
      </c>
      <c r="N199" s="21">
        <f t="shared" si="68"/>
        <v>3174</v>
      </c>
      <c r="O199" s="21">
        <v>3000</v>
      </c>
      <c r="P199" s="22">
        <v>2000</v>
      </c>
      <c r="Q199" s="25" t="s">
        <v>335</v>
      </c>
      <c r="R199" s="26" t="s">
        <v>13</v>
      </c>
      <c r="S199" s="6" t="s">
        <v>639</v>
      </c>
      <c r="T199" s="44" t="s">
        <v>640</v>
      </c>
      <c r="U199" s="62">
        <v>9.2928905487060547</v>
      </c>
      <c r="X199" s="26">
        <v>269.70171176839494</v>
      </c>
      <c r="Y199" s="26" t="s">
        <v>389</v>
      </c>
      <c r="Z199" s="26">
        <f t="shared" si="83"/>
        <v>233.36439999999999</v>
      </c>
      <c r="AA199" s="26">
        <f t="shared" si="83"/>
        <v>306.42779999999999</v>
      </c>
      <c r="AB199" s="25" t="s">
        <v>542</v>
      </c>
      <c r="AC199" s="77" t="s">
        <v>400</v>
      </c>
      <c r="AD199" s="26">
        <v>233.36439999999999</v>
      </c>
      <c r="AE199" s="26">
        <v>306.42779999999999</v>
      </c>
      <c r="AF199" s="26" t="s">
        <v>641</v>
      </c>
      <c r="AG199" s="25" t="s">
        <v>13</v>
      </c>
      <c r="AH199" s="6" t="s">
        <v>77</v>
      </c>
      <c r="AI199" s="44" t="s">
        <v>168</v>
      </c>
      <c r="AJ199" s="62">
        <f t="shared" si="82"/>
        <v>201.55</v>
      </c>
      <c r="AK199" s="62">
        <v>201.8</v>
      </c>
      <c r="AL199" s="62">
        <v>201.3</v>
      </c>
      <c r="AM199" s="26">
        <f t="shared" si="78"/>
        <v>1113</v>
      </c>
      <c r="AN199" s="26" t="s">
        <v>389</v>
      </c>
      <c r="AO199" s="66">
        <f t="shared" si="79"/>
        <v>742</v>
      </c>
      <c r="AP199" s="100">
        <f t="shared" si="80"/>
        <v>1484</v>
      </c>
      <c r="AQ199" s="29" t="s">
        <v>426</v>
      </c>
      <c r="AR199" s="26" t="s">
        <v>422</v>
      </c>
      <c r="AS199" s="29"/>
      <c r="AT199" s="23">
        <f>AVERAGE(867,617)</f>
        <v>742</v>
      </c>
      <c r="AU199" s="23">
        <f>AVERAGE(1405,949)</f>
        <v>1177</v>
      </c>
      <c r="AV199" s="39" t="s">
        <v>60</v>
      </c>
      <c r="AW199" s="23" t="s">
        <v>751</v>
      </c>
      <c r="AX199" s="29" t="s">
        <v>13</v>
      </c>
      <c r="AY199" s="16" t="s">
        <v>842</v>
      </c>
      <c r="AZ199" s="97" t="s">
        <v>13</v>
      </c>
      <c r="BA199" s="97">
        <v>3.270168</v>
      </c>
      <c r="BB199" s="59"/>
      <c r="BC199" s="59"/>
      <c r="BD199" s="29">
        <v>416.86199999999997</v>
      </c>
      <c r="BE199" s="39" t="s">
        <v>239</v>
      </c>
      <c r="BF199" s="29">
        <f t="shared" si="81"/>
        <v>374.31319999999999</v>
      </c>
      <c r="BG199" s="29">
        <f t="shared" si="81"/>
        <v>460.0204</v>
      </c>
      <c r="BH199" s="29" t="s">
        <v>542</v>
      </c>
      <c r="BI199" s="23" t="s">
        <v>419</v>
      </c>
      <c r="BJ199" s="29">
        <v>374.31319999999999</v>
      </c>
      <c r="BK199" s="29">
        <v>460.0204</v>
      </c>
      <c r="BL199" s="29" t="s">
        <v>843</v>
      </c>
      <c r="BM199" s="25" t="s">
        <v>13</v>
      </c>
      <c r="BO199" s="44"/>
      <c r="CA199" s="25" t="s">
        <v>13</v>
      </c>
      <c r="CC199" s="25" t="s">
        <v>13</v>
      </c>
    </row>
    <row r="200" spans="1:81">
      <c r="A200" s="7" t="s">
        <v>46</v>
      </c>
      <c r="B200" s="25" t="s">
        <v>148</v>
      </c>
      <c r="C200" s="68">
        <f t="shared" si="66"/>
        <v>205.4</v>
      </c>
      <c r="D200" s="76">
        <f t="shared" si="76"/>
        <v>209.5</v>
      </c>
      <c r="E200" s="76">
        <f t="shared" si="77"/>
        <v>201.3</v>
      </c>
      <c r="F200" s="23">
        <f t="shared" si="84"/>
        <v>879.5</v>
      </c>
      <c r="G200" s="23" t="s">
        <v>389</v>
      </c>
      <c r="H200" s="23">
        <f t="shared" si="67"/>
        <v>439.75</v>
      </c>
      <c r="I200" s="23">
        <f t="shared" si="69"/>
        <v>1759</v>
      </c>
      <c r="J200" s="23" t="s">
        <v>480</v>
      </c>
      <c r="K200" s="23" t="s">
        <v>400</v>
      </c>
      <c r="L200" s="21">
        <v>1759</v>
      </c>
      <c r="M200" s="21">
        <f t="shared" si="73"/>
        <v>1259</v>
      </c>
      <c r="N200" s="21">
        <f t="shared" si="68"/>
        <v>2259</v>
      </c>
      <c r="O200" s="21">
        <v>4000</v>
      </c>
      <c r="P200" s="22">
        <v>2000</v>
      </c>
      <c r="Q200" s="25" t="s">
        <v>336</v>
      </c>
      <c r="R200" s="26" t="s">
        <v>13</v>
      </c>
      <c r="S200" s="6" t="s">
        <v>639</v>
      </c>
      <c r="T200" s="44" t="s">
        <v>640</v>
      </c>
      <c r="U200" s="62">
        <v>9.369908332824707</v>
      </c>
      <c r="X200" s="26">
        <v>276.37921631295603</v>
      </c>
      <c r="Y200" s="26" t="s">
        <v>389</v>
      </c>
      <c r="Z200" s="26">
        <f t="shared" si="83"/>
        <v>240.58750000000001</v>
      </c>
      <c r="AA200" s="26">
        <f t="shared" si="83"/>
        <v>313.52429999999998</v>
      </c>
      <c r="AB200" s="25" t="s">
        <v>542</v>
      </c>
      <c r="AC200" s="77" t="s">
        <v>400</v>
      </c>
      <c r="AD200" s="26">
        <v>240.58750000000001</v>
      </c>
      <c r="AE200" s="26">
        <v>313.52429999999998</v>
      </c>
      <c r="AF200" s="26" t="s">
        <v>641</v>
      </c>
      <c r="AG200" s="25" t="s">
        <v>13</v>
      </c>
      <c r="AH200" s="6" t="s">
        <v>77</v>
      </c>
      <c r="AI200" s="44" t="s">
        <v>166</v>
      </c>
      <c r="AJ200" s="62">
        <f t="shared" si="82"/>
        <v>201.05</v>
      </c>
      <c r="AK200" s="62">
        <v>201.3</v>
      </c>
      <c r="AL200" s="62">
        <v>200.8</v>
      </c>
      <c r="AM200" s="26">
        <f t="shared" si="78"/>
        <v>1468.5</v>
      </c>
      <c r="AN200" s="26" t="s">
        <v>389</v>
      </c>
      <c r="AO200" s="66">
        <f t="shared" si="79"/>
        <v>979</v>
      </c>
      <c r="AP200" s="100">
        <f t="shared" si="80"/>
        <v>1958</v>
      </c>
      <c r="AQ200" s="29" t="s">
        <v>426</v>
      </c>
      <c r="AR200" s="26" t="s">
        <v>422</v>
      </c>
      <c r="AS200" s="29"/>
      <c r="AT200" s="23">
        <f>AVERAGE(954,1004)</f>
        <v>979</v>
      </c>
      <c r="AU200" s="23">
        <f>AVERAGE(1468,1628)</f>
        <v>1548</v>
      </c>
      <c r="AV200" s="39" t="s">
        <v>60</v>
      </c>
      <c r="AW200" s="23" t="s">
        <v>752</v>
      </c>
      <c r="AX200" s="29" t="s">
        <v>13</v>
      </c>
      <c r="AY200" s="16" t="s">
        <v>842</v>
      </c>
      <c r="AZ200" s="97" t="s">
        <v>13</v>
      </c>
      <c r="BA200" s="97">
        <v>3.2806009999999999</v>
      </c>
      <c r="BB200" s="59"/>
      <c r="BC200" s="59"/>
      <c r="BD200" s="29">
        <v>365.05220000000003</v>
      </c>
      <c r="BE200" s="39" t="s">
        <v>239</v>
      </c>
      <c r="BF200" s="29">
        <f>BJ200</f>
        <v>329.72649999999999</v>
      </c>
      <c r="BG200" s="29">
        <f>BK200</f>
        <v>400.11090000000002</v>
      </c>
      <c r="BH200" s="29" t="s">
        <v>542</v>
      </c>
      <c r="BI200" s="23" t="s">
        <v>419</v>
      </c>
      <c r="BJ200" s="29">
        <v>329.72649999999999</v>
      </c>
      <c r="BK200" s="29">
        <v>400.11090000000002</v>
      </c>
      <c r="BL200" s="29" t="s">
        <v>843</v>
      </c>
      <c r="BM200" s="25" t="s">
        <v>13</v>
      </c>
      <c r="BO200" s="44"/>
      <c r="CA200" s="25" t="s">
        <v>13</v>
      </c>
      <c r="CC200" s="25" t="s">
        <v>13</v>
      </c>
    </row>
    <row r="201" spans="1:81">
      <c r="A201" s="7" t="s">
        <v>46</v>
      </c>
      <c r="B201" s="25" t="s">
        <v>148</v>
      </c>
      <c r="C201" s="68">
        <f t="shared" si="66"/>
        <v>205.4</v>
      </c>
      <c r="D201" s="76">
        <f t="shared" si="76"/>
        <v>209.5</v>
      </c>
      <c r="E201" s="76">
        <f t="shared" si="77"/>
        <v>201.3</v>
      </c>
      <c r="F201" s="23">
        <f t="shared" si="84"/>
        <v>843</v>
      </c>
      <c r="G201" s="23" t="s">
        <v>389</v>
      </c>
      <c r="H201" s="23">
        <f t="shared" si="67"/>
        <v>421.5</v>
      </c>
      <c r="I201" s="23">
        <f t="shared" si="69"/>
        <v>1686</v>
      </c>
      <c r="J201" s="23" t="s">
        <v>480</v>
      </c>
      <c r="K201" s="23" t="s">
        <v>400</v>
      </c>
      <c r="L201" s="21">
        <v>1686</v>
      </c>
      <c r="M201" s="21">
        <f t="shared" si="73"/>
        <v>1186</v>
      </c>
      <c r="N201" s="21">
        <f t="shared" si="68"/>
        <v>2186</v>
      </c>
      <c r="O201" s="21">
        <v>4000</v>
      </c>
      <c r="P201" s="22">
        <v>2000</v>
      </c>
      <c r="Q201" s="25" t="s">
        <v>336</v>
      </c>
      <c r="R201" s="26" t="s">
        <v>13</v>
      </c>
      <c r="S201" s="6" t="s">
        <v>639</v>
      </c>
      <c r="T201" s="44" t="s">
        <v>640</v>
      </c>
      <c r="U201" s="62">
        <v>9.4211339950561523</v>
      </c>
      <c r="X201" s="26">
        <v>240.01530322748312</v>
      </c>
      <c r="Y201" s="26" t="s">
        <v>389</v>
      </c>
      <c r="Z201" s="26">
        <f t="shared" si="83"/>
        <v>208.11699999999999</v>
      </c>
      <c r="AA201" s="26">
        <f t="shared" si="83"/>
        <v>272.11709999999999</v>
      </c>
      <c r="AB201" s="25" t="s">
        <v>542</v>
      </c>
      <c r="AC201" s="77" t="s">
        <v>400</v>
      </c>
      <c r="AD201" s="26">
        <v>208.11699999999999</v>
      </c>
      <c r="AE201" s="26">
        <v>272.11709999999999</v>
      </c>
      <c r="AF201" s="26" t="s">
        <v>641</v>
      </c>
      <c r="AG201" s="25" t="s">
        <v>13</v>
      </c>
      <c r="AH201" s="6" t="s">
        <v>77</v>
      </c>
      <c r="AI201" s="44" t="s">
        <v>167</v>
      </c>
      <c r="AJ201" s="62">
        <v>201.3</v>
      </c>
      <c r="AK201" s="62">
        <f>AJ201+0.5</f>
        <v>201.8</v>
      </c>
      <c r="AL201" s="62">
        <f>AJ201-0.5</f>
        <v>200.8</v>
      </c>
      <c r="AM201" s="26">
        <f t="shared" si="78"/>
        <v>1661.25</v>
      </c>
      <c r="AN201" s="26" t="s">
        <v>389</v>
      </c>
      <c r="AO201" s="66">
        <f t="shared" si="79"/>
        <v>1107.5</v>
      </c>
      <c r="AP201" s="100">
        <f t="shared" si="80"/>
        <v>2215</v>
      </c>
      <c r="AQ201" s="29" t="s">
        <v>426</v>
      </c>
      <c r="AR201" s="26" t="s">
        <v>422</v>
      </c>
      <c r="AS201" s="29"/>
      <c r="AT201" s="23">
        <f>AVERAGE(1082,1411,892,1045)</f>
        <v>1107.5</v>
      </c>
      <c r="AU201" s="23">
        <f>AVERAGE(1664,2288,1447,1709)</f>
        <v>1777</v>
      </c>
      <c r="AV201" s="39" t="s">
        <v>60</v>
      </c>
      <c r="AW201" s="23" t="s">
        <v>753</v>
      </c>
      <c r="AX201" s="29" t="s">
        <v>13</v>
      </c>
      <c r="AY201" s="6" t="s">
        <v>515</v>
      </c>
      <c r="AZ201" s="97" t="s">
        <v>13</v>
      </c>
      <c r="BA201" s="72">
        <v>0.53869999999999996</v>
      </c>
      <c r="BB201" s="62"/>
      <c r="BC201" s="62"/>
      <c r="BD201" s="26">
        <v>162.2265625</v>
      </c>
      <c r="BE201" s="25" t="s">
        <v>389</v>
      </c>
      <c r="BF201" s="26">
        <f>BD201-SQRT((BD201-BJ201)^2+70^2)</f>
        <v>91.543471981337831</v>
      </c>
      <c r="BG201" s="26">
        <f>BD201+SQRT((BK201-BD201)^2+70^2)</f>
        <v>233.01241633906488</v>
      </c>
      <c r="BH201" s="25" t="s">
        <v>517</v>
      </c>
      <c r="BI201" s="26" t="s">
        <v>430</v>
      </c>
      <c r="BJ201" s="26">
        <v>152.42353820800781</v>
      </c>
      <c r="BK201" s="26">
        <v>172.74497985839844</v>
      </c>
      <c r="BL201" s="26" t="s">
        <v>516</v>
      </c>
      <c r="BM201" s="25" t="s">
        <v>13</v>
      </c>
      <c r="BO201" s="44"/>
      <c r="CA201" s="25" t="s">
        <v>13</v>
      </c>
      <c r="CC201" s="25" t="s">
        <v>13</v>
      </c>
    </row>
    <row r="202" spans="1:81">
      <c r="A202" s="7" t="s">
        <v>46</v>
      </c>
      <c r="B202" s="25" t="s">
        <v>148</v>
      </c>
      <c r="C202" s="68">
        <f t="shared" si="66"/>
        <v>205.4</v>
      </c>
      <c r="D202" s="76">
        <f t="shared" si="76"/>
        <v>209.5</v>
      </c>
      <c r="E202" s="76">
        <f t="shared" si="77"/>
        <v>201.3</v>
      </c>
      <c r="F202" s="23">
        <f t="shared" si="84"/>
        <v>1618.5</v>
      </c>
      <c r="G202" s="23" t="s">
        <v>389</v>
      </c>
      <c r="H202" s="23">
        <f t="shared" si="67"/>
        <v>809.25</v>
      </c>
      <c r="I202" s="23">
        <f t="shared" si="69"/>
        <v>3237</v>
      </c>
      <c r="J202" s="23" t="s">
        <v>480</v>
      </c>
      <c r="K202" s="23" t="s">
        <v>400</v>
      </c>
      <c r="L202" s="21">
        <v>3237</v>
      </c>
      <c r="M202" s="21">
        <f t="shared" si="73"/>
        <v>2737</v>
      </c>
      <c r="N202" s="21">
        <f t="shared" si="68"/>
        <v>3737</v>
      </c>
      <c r="O202" s="21">
        <v>4000</v>
      </c>
      <c r="P202" s="22">
        <v>2000</v>
      </c>
      <c r="Q202" s="25" t="s">
        <v>336</v>
      </c>
      <c r="R202" s="26" t="s">
        <v>13</v>
      </c>
      <c r="S202" s="6" t="s">
        <v>639</v>
      </c>
      <c r="T202" s="44" t="s">
        <v>640</v>
      </c>
      <c r="U202" s="62">
        <v>9.7177515029907227</v>
      </c>
      <c r="X202" s="26">
        <v>353.18580512779454</v>
      </c>
      <c r="Y202" s="26" t="s">
        <v>389</v>
      </c>
      <c r="Z202" s="26">
        <f t="shared" si="83"/>
        <v>310.02480000000003</v>
      </c>
      <c r="AA202" s="26">
        <f t="shared" si="83"/>
        <v>404.84930000000003</v>
      </c>
      <c r="AB202" s="25" t="s">
        <v>542</v>
      </c>
      <c r="AC202" s="77" t="s">
        <v>400</v>
      </c>
      <c r="AD202" s="26">
        <v>310.02480000000003</v>
      </c>
      <c r="AE202" s="26">
        <v>404.84930000000003</v>
      </c>
      <c r="AF202" s="26" t="s">
        <v>641</v>
      </c>
      <c r="AG202" s="25" t="s">
        <v>13</v>
      </c>
      <c r="AH202" s="6" t="s">
        <v>77</v>
      </c>
      <c r="AI202" s="44" t="s">
        <v>168</v>
      </c>
      <c r="AJ202" s="62">
        <f t="shared" ref="AJ202:AJ215" si="85">AVERAGE(AK202:AL202)</f>
        <v>201.55</v>
      </c>
      <c r="AK202" s="62">
        <v>201.8</v>
      </c>
      <c r="AL202" s="62">
        <v>201.3</v>
      </c>
      <c r="AM202" s="26">
        <f t="shared" si="78"/>
        <v>1744.875</v>
      </c>
      <c r="AN202" s="26" t="s">
        <v>389</v>
      </c>
      <c r="AO202" s="66">
        <f t="shared" si="79"/>
        <v>1163.25</v>
      </c>
      <c r="AP202" s="100">
        <f t="shared" si="80"/>
        <v>2326.5</v>
      </c>
      <c r="AQ202" s="29" t="s">
        <v>426</v>
      </c>
      <c r="AR202" s="26" t="s">
        <v>422</v>
      </c>
      <c r="AS202" s="29"/>
      <c r="AT202" s="23">
        <f>AVERAGE(1408,1342,973,930)</f>
        <v>1163.25</v>
      </c>
      <c r="AU202" s="23">
        <f>AVERAGE(2166,2176,1577,1508)</f>
        <v>1856.75</v>
      </c>
      <c r="AV202" s="39" t="s">
        <v>60</v>
      </c>
      <c r="AW202" s="23" t="s">
        <v>754</v>
      </c>
      <c r="AX202" s="29" t="s">
        <v>13</v>
      </c>
      <c r="AY202" s="6" t="s">
        <v>515</v>
      </c>
      <c r="AZ202" s="97" t="s">
        <v>13</v>
      </c>
      <c r="BA202" s="72">
        <v>0.54179999999999995</v>
      </c>
      <c r="BB202" s="62"/>
      <c r="BC202" s="62"/>
      <c r="BD202" s="26">
        <v>281.47760009765625</v>
      </c>
      <c r="BE202" s="25" t="s">
        <v>389</v>
      </c>
      <c r="BF202" s="26">
        <f t="shared" ref="BF202:BF217" si="86">BD202-SQRT((BD202-BJ202)^2+70^2)</f>
        <v>208.98505062987493</v>
      </c>
      <c r="BG202" s="26">
        <f t="shared" ref="BG202:BG217" si="87">BD202+SQRT((BK202-BD202)^2+70^2)</f>
        <v>354.45034748923047</v>
      </c>
      <c r="BH202" s="25" t="s">
        <v>517</v>
      </c>
      <c r="BI202" s="26" t="s">
        <v>430</v>
      </c>
      <c r="BJ202" s="26">
        <v>262.63165283203125</v>
      </c>
      <c r="BK202" s="26">
        <v>302.09365844726563</v>
      </c>
      <c r="BL202" s="26" t="s">
        <v>516</v>
      </c>
      <c r="BM202" s="25" t="s">
        <v>13</v>
      </c>
      <c r="BO202" s="44"/>
      <c r="CA202" s="25" t="s">
        <v>13</v>
      </c>
      <c r="CC202" s="25" t="s">
        <v>13</v>
      </c>
    </row>
    <row r="203" spans="1:81">
      <c r="A203" s="7" t="s">
        <v>46</v>
      </c>
      <c r="B203" s="25" t="s">
        <v>148</v>
      </c>
      <c r="C203" s="68">
        <f t="shared" si="66"/>
        <v>205.4</v>
      </c>
      <c r="D203" s="76">
        <f t="shared" si="76"/>
        <v>209.5</v>
      </c>
      <c r="E203" s="76">
        <f t="shared" si="77"/>
        <v>201.3</v>
      </c>
      <c r="F203" s="23">
        <f t="shared" si="84"/>
        <v>1213.5</v>
      </c>
      <c r="G203" s="23" t="s">
        <v>389</v>
      </c>
      <c r="H203" s="23">
        <f t="shared" si="67"/>
        <v>606.75</v>
      </c>
      <c r="I203" s="23">
        <f t="shared" si="69"/>
        <v>2427</v>
      </c>
      <c r="J203" s="23" t="s">
        <v>480</v>
      </c>
      <c r="K203" s="23" t="s">
        <v>400</v>
      </c>
      <c r="L203" s="21">
        <v>2427</v>
      </c>
      <c r="M203" s="21">
        <f t="shared" si="73"/>
        <v>1927</v>
      </c>
      <c r="N203" s="21">
        <f t="shared" si="68"/>
        <v>2927</v>
      </c>
      <c r="O203" s="21">
        <v>4000</v>
      </c>
      <c r="P203" s="22">
        <v>2000</v>
      </c>
      <c r="Q203" s="25" t="s">
        <v>336</v>
      </c>
      <c r="R203" s="26" t="s">
        <v>13</v>
      </c>
      <c r="S203" s="6" t="s">
        <v>639</v>
      </c>
      <c r="T203" s="44" t="s">
        <v>640</v>
      </c>
      <c r="U203" s="62">
        <v>9.8356647491455078</v>
      </c>
      <c r="X203" s="26">
        <v>294.29787466534407</v>
      </c>
      <c r="Y203" s="26" t="s">
        <v>389</v>
      </c>
      <c r="Z203" s="26">
        <f t="shared" si="83"/>
        <v>258.68650000000002</v>
      </c>
      <c r="AA203" s="26">
        <f t="shared" si="83"/>
        <v>334.93419999999998</v>
      </c>
      <c r="AB203" s="25" t="s">
        <v>542</v>
      </c>
      <c r="AC203" s="77" t="s">
        <v>400</v>
      </c>
      <c r="AD203" s="26">
        <v>258.68650000000002</v>
      </c>
      <c r="AE203" s="26">
        <v>334.93419999999998</v>
      </c>
      <c r="AF203" s="26" t="s">
        <v>641</v>
      </c>
      <c r="AG203" s="25" t="s">
        <v>13</v>
      </c>
      <c r="AH203" s="6" t="s">
        <v>77</v>
      </c>
      <c r="AI203" s="44" t="s">
        <v>168</v>
      </c>
      <c r="AJ203" s="62">
        <f t="shared" si="85"/>
        <v>201.55</v>
      </c>
      <c r="AK203" s="62">
        <v>201.8</v>
      </c>
      <c r="AL203" s="62">
        <v>201.3</v>
      </c>
      <c r="AM203" s="26">
        <f t="shared" si="78"/>
        <v>1556.5</v>
      </c>
      <c r="AN203" s="26" t="s">
        <v>389</v>
      </c>
      <c r="AO203" s="66">
        <f t="shared" si="79"/>
        <v>1037.6666666666667</v>
      </c>
      <c r="AP203" s="100">
        <f t="shared" si="80"/>
        <v>2075.3333333333335</v>
      </c>
      <c r="AQ203" s="29" t="s">
        <v>426</v>
      </c>
      <c r="AR203" s="26" t="s">
        <v>422</v>
      </c>
      <c r="AS203" s="29"/>
      <c r="AT203" s="23">
        <f>AVERAGE(1347,786,980)</f>
        <v>1037.6666666666667</v>
      </c>
      <c r="AU203" s="23">
        <f>AVERAGE(2073,1275,1589)</f>
        <v>1645.6666666666667</v>
      </c>
      <c r="AV203" s="39" t="s">
        <v>60</v>
      </c>
      <c r="AW203" s="23" t="s">
        <v>755</v>
      </c>
      <c r="AX203" s="29" t="s">
        <v>13</v>
      </c>
      <c r="AY203" s="6" t="s">
        <v>515</v>
      </c>
      <c r="AZ203" s="97" t="s">
        <v>13</v>
      </c>
      <c r="BA203" s="72">
        <v>0.59630000000000005</v>
      </c>
      <c r="BB203" s="62"/>
      <c r="BC203" s="62"/>
      <c r="BD203" s="26">
        <v>162.81916809082031</v>
      </c>
      <c r="BE203" s="25" t="s">
        <v>389</v>
      </c>
      <c r="BF203" s="26">
        <f t="shared" si="86"/>
        <v>92.130630295433434</v>
      </c>
      <c r="BG203" s="26">
        <f t="shared" si="87"/>
        <v>233.61144466069783</v>
      </c>
      <c r="BH203" s="25" t="s">
        <v>517</v>
      </c>
      <c r="BI203" s="26" t="s">
        <v>430</v>
      </c>
      <c r="BJ203" s="26">
        <v>152.97694396972656</v>
      </c>
      <c r="BK203" s="26">
        <v>173.38072204589844</v>
      </c>
      <c r="BL203" s="26" t="s">
        <v>516</v>
      </c>
      <c r="BM203" s="25" t="s">
        <v>13</v>
      </c>
      <c r="BO203" s="44"/>
      <c r="CA203" s="25" t="s">
        <v>13</v>
      </c>
      <c r="CC203" s="25" t="s">
        <v>13</v>
      </c>
    </row>
    <row r="204" spans="1:81">
      <c r="A204" s="7" t="s">
        <v>46</v>
      </c>
      <c r="B204" s="25" t="s">
        <v>148</v>
      </c>
      <c r="C204" s="68">
        <f t="shared" si="66"/>
        <v>205.4</v>
      </c>
      <c r="D204" s="76">
        <f t="shared" si="76"/>
        <v>209.5</v>
      </c>
      <c r="E204" s="76">
        <f t="shared" si="77"/>
        <v>201.3</v>
      </c>
      <c r="F204" s="23">
        <f t="shared" si="84"/>
        <v>613.5</v>
      </c>
      <c r="G204" s="23" t="s">
        <v>389</v>
      </c>
      <c r="H204" s="23">
        <f t="shared" si="67"/>
        <v>306.75</v>
      </c>
      <c r="I204" s="23">
        <f t="shared" si="69"/>
        <v>1227</v>
      </c>
      <c r="J204" s="23" t="s">
        <v>480</v>
      </c>
      <c r="K204" s="23" t="s">
        <v>400</v>
      </c>
      <c r="L204" s="21">
        <v>1227</v>
      </c>
      <c r="M204" s="21">
        <f t="shared" si="73"/>
        <v>727</v>
      </c>
      <c r="N204" s="21">
        <f t="shared" si="68"/>
        <v>1727</v>
      </c>
      <c r="O204" s="21">
        <v>4000</v>
      </c>
      <c r="P204" s="22">
        <v>2000</v>
      </c>
      <c r="Q204" s="25" t="s">
        <v>336</v>
      </c>
      <c r="R204" s="26" t="s">
        <v>13</v>
      </c>
      <c r="S204" s="6" t="s">
        <v>639</v>
      </c>
      <c r="T204" s="44" t="s">
        <v>640</v>
      </c>
      <c r="U204" s="62">
        <v>9.8647613525390625</v>
      </c>
      <c r="X204" s="26">
        <v>217.07031121540228</v>
      </c>
      <c r="Y204" s="26" t="s">
        <v>389</v>
      </c>
      <c r="Z204" s="26">
        <f t="shared" si="83"/>
        <v>190.22790000000001</v>
      </c>
      <c r="AA204" s="26">
        <f t="shared" si="83"/>
        <v>244.5463</v>
      </c>
      <c r="AB204" s="25" t="s">
        <v>542</v>
      </c>
      <c r="AC204" s="77" t="s">
        <v>400</v>
      </c>
      <c r="AD204" s="26">
        <v>190.22790000000001</v>
      </c>
      <c r="AE204" s="26">
        <v>244.5463</v>
      </c>
      <c r="AF204" s="26" t="s">
        <v>641</v>
      </c>
      <c r="AG204" s="25" t="s">
        <v>13</v>
      </c>
      <c r="AH204" s="6" t="s">
        <v>77</v>
      </c>
      <c r="AI204" s="44" t="s">
        <v>168</v>
      </c>
      <c r="AJ204" s="62">
        <f t="shared" si="85"/>
        <v>201.55</v>
      </c>
      <c r="AK204" s="62">
        <v>201.8</v>
      </c>
      <c r="AL204" s="62">
        <v>201.3</v>
      </c>
      <c r="AM204" s="26">
        <f t="shared" si="78"/>
        <v>1513.5</v>
      </c>
      <c r="AN204" s="26" t="s">
        <v>389</v>
      </c>
      <c r="AO204" s="66">
        <f t="shared" si="79"/>
        <v>1009</v>
      </c>
      <c r="AP204" s="100">
        <f t="shared" si="80"/>
        <v>2018</v>
      </c>
      <c r="AQ204" s="29" t="s">
        <v>426</v>
      </c>
      <c r="AR204" s="26" t="s">
        <v>422</v>
      </c>
      <c r="AS204" s="29"/>
      <c r="AT204" s="23">
        <f>AVERAGE(1213,950,864)</f>
        <v>1009</v>
      </c>
      <c r="AU204" s="23">
        <f>AVERAGE(1866,1540,1400)</f>
        <v>1602</v>
      </c>
      <c r="AV204" s="39" t="s">
        <v>60</v>
      </c>
      <c r="AW204" s="23" t="s">
        <v>756</v>
      </c>
      <c r="AX204" s="29" t="s">
        <v>13</v>
      </c>
      <c r="AY204" s="6" t="s">
        <v>515</v>
      </c>
      <c r="AZ204" s="97" t="s">
        <v>13</v>
      </c>
      <c r="BA204" s="72">
        <v>0.62039999999999995</v>
      </c>
      <c r="BB204" s="62"/>
      <c r="BC204" s="62"/>
      <c r="BD204" s="26">
        <v>169.24937438964844</v>
      </c>
      <c r="BE204" s="25" t="s">
        <v>389</v>
      </c>
      <c r="BF204" s="26">
        <f t="shared" si="86"/>
        <v>98.498136404542208</v>
      </c>
      <c r="BG204" s="26">
        <f t="shared" si="87"/>
        <v>240.11552426463714</v>
      </c>
      <c r="BH204" s="25" t="s">
        <v>517</v>
      </c>
      <c r="BI204" s="26" t="s">
        <v>430</v>
      </c>
      <c r="BJ204" s="26">
        <v>158.96649169921875</v>
      </c>
      <c r="BK204" s="26">
        <v>180.29524230957031</v>
      </c>
      <c r="BL204" s="26" t="s">
        <v>516</v>
      </c>
      <c r="BM204" s="25" t="s">
        <v>13</v>
      </c>
      <c r="BO204" s="44"/>
      <c r="CA204" s="25" t="s">
        <v>13</v>
      </c>
      <c r="CC204" s="25" t="s">
        <v>13</v>
      </c>
    </row>
    <row r="205" spans="1:81">
      <c r="A205" s="7" t="s">
        <v>46</v>
      </c>
      <c r="B205" s="25" t="s">
        <v>148</v>
      </c>
      <c r="C205" s="68">
        <f t="shared" si="66"/>
        <v>205.4</v>
      </c>
      <c r="D205" s="76">
        <f t="shared" si="76"/>
        <v>209.5</v>
      </c>
      <c r="E205" s="76">
        <f t="shared" si="77"/>
        <v>201.3</v>
      </c>
      <c r="F205" s="23">
        <f t="shared" si="84"/>
        <v>1267</v>
      </c>
      <c r="G205" s="23" t="s">
        <v>389</v>
      </c>
      <c r="H205" s="23">
        <f t="shared" si="67"/>
        <v>633.5</v>
      </c>
      <c r="I205" s="23">
        <f t="shared" si="69"/>
        <v>2534</v>
      </c>
      <c r="J205" s="23" t="s">
        <v>480</v>
      </c>
      <c r="K205" s="23" t="s">
        <v>400</v>
      </c>
      <c r="L205" s="21">
        <v>2534</v>
      </c>
      <c r="M205" s="21">
        <f t="shared" si="73"/>
        <v>2034</v>
      </c>
      <c r="N205" s="21">
        <f t="shared" si="68"/>
        <v>3034</v>
      </c>
      <c r="O205" s="21">
        <v>4000</v>
      </c>
      <c r="P205" s="22">
        <v>2000</v>
      </c>
      <c r="Q205" s="25" t="s">
        <v>336</v>
      </c>
      <c r="R205" s="26" t="s">
        <v>13</v>
      </c>
      <c r="S205" s="6" t="s">
        <v>639</v>
      </c>
      <c r="T205" s="44" t="s">
        <v>640</v>
      </c>
      <c r="U205" s="62">
        <v>9.9410581588745117</v>
      </c>
      <c r="X205" s="26">
        <v>249.77807185913753</v>
      </c>
      <c r="Y205" s="26" t="s">
        <v>389</v>
      </c>
      <c r="Z205" s="26">
        <f t="shared" si="83"/>
        <v>216.41640000000001</v>
      </c>
      <c r="AA205" s="26">
        <f t="shared" si="83"/>
        <v>283.41750000000002</v>
      </c>
      <c r="AB205" s="25" t="s">
        <v>542</v>
      </c>
      <c r="AC205" s="77" t="s">
        <v>400</v>
      </c>
      <c r="AD205" s="26">
        <v>216.41640000000001</v>
      </c>
      <c r="AE205" s="26">
        <v>283.41750000000002</v>
      </c>
      <c r="AF205" s="26" t="s">
        <v>641</v>
      </c>
      <c r="AG205" s="25" t="s">
        <v>13</v>
      </c>
      <c r="AH205" s="6" t="s">
        <v>77</v>
      </c>
      <c r="AI205" s="44" t="s">
        <v>168</v>
      </c>
      <c r="AJ205" s="62">
        <f t="shared" si="85"/>
        <v>201.55</v>
      </c>
      <c r="AK205" s="62">
        <v>201.8</v>
      </c>
      <c r="AL205" s="62">
        <v>201.3</v>
      </c>
      <c r="AM205" s="26">
        <f t="shared" si="78"/>
        <v>880.5</v>
      </c>
      <c r="AN205" s="26" t="s">
        <v>389</v>
      </c>
      <c r="AO205" s="66">
        <f t="shared" si="79"/>
        <v>587</v>
      </c>
      <c r="AP205" s="100">
        <f t="shared" si="80"/>
        <v>1174</v>
      </c>
      <c r="AQ205" s="29" t="s">
        <v>426</v>
      </c>
      <c r="AR205" s="26" t="s">
        <v>422</v>
      </c>
      <c r="AS205" s="29"/>
      <c r="AT205" s="23">
        <f>AVERAGE(587)</f>
        <v>587</v>
      </c>
      <c r="AU205" s="23">
        <f>AVERAGE(952)</f>
        <v>952</v>
      </c>
      <c r="AV205" s="39" t="s">
        <v>60</v>
      </c>
      <c r="AW205" s="23" t="s">
        <v>757</v>
      </c>
      <c r="AX205" s="29" t="s">
        <v>13</v>
      </c>
      <c r="AY205" s="6" t="s">
        <v>515</v>
      </c>
      <c r="AZ205" s="97" t="s">
        <v>13</v>
      </c>
      <c r="BA205" s="72">
        <v>0.75790000000000002</v>
      </c>
      <c r="BB205" s="62"/>
      <c r="BC205" s="62"/>
      <c r="BD205" s="26">
        <v>174.84333801269531</v>
      </c>
      <c r="BE205" s="25" t="s">
        <v>389</v>
      </c>
      <c r="BF205" s="26">
        <f t="shared" si="86"/>
        <v>102.02978030410573</v>
      </c>
      <c r="BG205" s="26">
        <f t="shared" si="87"/>
        <v>248.54889414095402</v>
      </c>
      <c r="BH205" s="25" t="s">
        <v>517</v>
      </c>
      <c r="BI205" s="26" t="s">
        <v>430</v>
      </c>
      <c r="BJ205" s="26">
        <v>154.79803466796875</v>
      </c>
      <c r="BK205" s="26">
        <v>197.91949462890625</v>
      </c>
      <c r="BL205" s="26" t="s">
        <v>516</v>
      </c>
      <c r="BM205" s="25" t="s">
        <v>13</v>
      </c>
      <c r="BO205" s="44"/>
      <c r="CA205" s="25" t="s">
        <v>13</v>
      </c>
      <c r="CC205" s="25" t="s">
        <v>13</v>
      </c>
    </row>
    <row r="206" spans="1:81">
      <c r="A206" s="7" t="s">
        <v>46</v>
      </c>
      <c r="B206" s="25" t="s">
        <v>148</v>
      </c>
      <c r="C206" s="68">
        <f t="shared" si="66"/>
        <v>205.4</v>
      </c>
      <c r="D206" s="76">
        <f t="shared" si="76"/>
        <v>209.5</v>
      </c>
      <c r="E206" s="76">
        <f t="shared" si="77"/>
        <v>201.3</v>
      </c>
      <c r="F206" s="23">
        <f t="shared" si="84"/>
        <v>773</v>
      </c>
      <c r="G206" s="23" t="s">
        <v>389</v>
      </c>
      <c r="H206" s="23">
        <f t="shared" si="67"/>
        <v>386.5</v>
      </c>
      <c r="I206" s="23">
        <f t="shared" si="69"/>
        <v>1546</v>
      </c>
      <c r="J206" s="23" t="s">
        <v>480</v>
      </c>
      <c r="K206" s="23" t="s">
        <v>400</v>
      </c>
      <c r="L206" s="21">
        <v>1546</v>
      </c>
      <c r="M206" s="21">
        <f t="shared" si="73"/>
        <v>1046</v>
      </c>
      <c r="N206" s="21">
        <f t="shared" si="68"/>
        <v>2046</v>
      </c>
      <c r="O206" s="21">
        <v>4000</v>
      </c>
      <c r="P206" s="22">
        <v>2000</v>
      </c>
      <c r="Q206" s="25" t="s">
        <v>336</v>
      </c>
      <c r="R206" s="26" t="s">
        <v>13</v>
      </c>
      <c r="S206" s="6" t="s">
        <v>639</v>
      </c>
      <c r="T206" s="44" t="s">
        <v>640</v>
      </c>
      <c r="U206" s="62">
        <v>10.019927024841309</v>
      </c>
      <c r="X206" s="26">
        <v>255.37600101326206</v>
      </c>
      <c r="Y206" s="26" t="s">
        <v>389</v>
      </c>
      <c r="Z206" s="26">
        <f t="shared" si="83"/>
        <v>223.77160000000001</v>
      </c>
      <c r="AA206" s="26">
        <f t="shared" si="83"/>
        <v>289.39400000000001</v>
      </c>
      <c r="AB206" s="25" t="s">
        <v>542</v>
      </c>
      <c r="AC206" s="77" t="s">
        <v>400</v>
      </c>
      <c r="AD206" s="26">
        <v>223.77160000000001</v>
      </c>
      <c r="AE206" s="26">
        <v>289.39400000000001</v>
      </c>
      <c r="AF206" s="26" t="s">
        <v>641</v>
      </c>
      <c r="AG206" s="25" t="s">
        <v>13</v>
      </c>
      <c r="AH206" s="6" t="s">
        <v>77</v>
      </c>
      <c r="AI206" s="44" t="s">
        <v>168</v>
      </c>
      <c r="AJ206" s="62">
        <f t="shared" si="85"/>
        <v>201.55</v>
      </c>
      <c r="AK206" s="62">
        <v>201.8</v>
      </c>
      <c r="AL206" s="62">
        <v>201.3</v>
      </c>
      <c r="AM206" s="26">
        <f t="shared" si="78"/>
        <v>1105.5</v>
      </c>
      <c r="AN206" s="26" t="s">
        <v>389</v>
      </c>
      <c r="AO206" s="66">
        <f t="shared" si="79"/>
        <v>737</v>
      </c>
      <c r="AP206" s="100">
        <f t="shared" si="80"/>
        <v>1474</v>
      </c>
      <c r="AQ206" s="29" t="s">
        <v>426</v>
      </c>
      <c r="AR206" s="26" t="s">
        <v>422</v>
      </c>
      <c r="AS206" s="29"/>
      <c r="AT206" s="23">
        <f>AVERAGE(932,676,603)</f>
        <v>737</v>
      </c>
      <c r="AU206" s="23">
        <f>AVERAGE(1433,1096,978)</f>
        <v>1169</v>
      </c>
      <c r="AV206" s="39" t="s">
        <v>60</v>
      </c>
      <c r="AW206" s="23" t="s">
        <v>758</v>
      </c>
      <c r="AX206" s="29" t="s">
        <v>13</v>
      </c>
      <c r="AY206" s="6" t="s">
        <v>515</v>
      </c>
      <c r="AZ206" s="97" t="s">
        <v>13</v>
      </c>
      <c r="BA206" s="72">
        <v>0.81940000000000002</v>
      </c>
      <c r="BB206" s="62"/>
      <c r="BC206" s="62"/>
      <c r="BD206" s="26">
        <v>152.20010375976563</v>
      </c>
      <c r="BE206" s="25" t="s">
        <v>389</v>
      </c>
      <c r="BF206" s="26">
        <f t="shared" si="86"/>
        <v>81.60678717112377</v>
      </c>
      <c r="BG206" s="26">
        <f t="shared" si="87"/>
        <v>222.88050292455324</v>
      </c>
      <c r="BH206" s="25" t="s">
        <v>517</v>
      </c>
      <c r="BI206" s="26" t="s">
        <v>430</v>
      </c>
      <c r="BJ206" s="26">
        <v>143.06684875488281</v>
      </c>
      <c r="BK206" s="26">
        <v>161.98370361328125</v>
      </c>
      <c r="BL206" s="26" t="s">
        <v>516</v>
      </c>
      <c r="BM206" s="25" t="s">
        <v>13</v>
      </c>
      <c r="BO206" s="44"/>
      <c r="CA206" s="25" t="s">
        <v>13</v>
      </c>
      <c r="CC206" s="25" t="s">
        <v>13</v>
      </c>
    </row>
    <row r="207" spans="1:81">
      <c r="A207" s="7" t="s">
        <v>46</v>
      </c>
      <c r="B207" s="25" t="s">
        <v>148</v>
      </c>
      <c r="C207" s="68">
        <f t="shared" si="66"/>
        <v>205.4</v>
      </c>
      <c r="D207" s="76">
        <f t="shared" si="76"/>
        <v>209.5</v>
      </c>
      <c r="E207" s="76">
        <f t="shared" si="77"/>
        <v>201.3</v>
      </c>
      <c r="F207" s="23">
        <f t="shared" si="84"/>
        <v>341</v>
      </c>
      <c r="G207" s="23" t="s">
        <v>389</v>
      </c>
      <c r="H207" s="23">
        <f t="shared" si="67"/>
        <v>170.5</v>
      </c>
      <c r="I207" s="23">
        <f t="shared" si="69"/>
        <v>682</v>
      </c>
      <c r="J207" s="23" t="s">
        <v>480</v>
      </c>
      <c r="K207" s="23" t="s">
        <v>400</v>
      </c>
      <c r="L207" s="21">
        <v>682</v>
      </c>
      <c r="M207" s="21">
        <f t="shared" si="73"/>
        <v>182</v>
      </c>
      <c r="N207" s="21">
        <f t="shared" si="68"/>
        <v>1182</v>
      </c>
      <c r="O207" s="21">
        <v>4000</v>
      </c>
      <c r="P207" s="22">
        <v>2000</v>
      </c>
      <c r="Q207" s="25" t="s">
        <v>336</v>
      </c>
      <c r="R207" s="26" t="s">
        <v>13</v>
      </c>
      <c r="S207" s="6" t="s">
        <v>639</v>
      </c>
      <c r="T207" s="44" t="s">
        <v>640</v>
      </c>
      <c r="U207" s="62">
        <v>10.11421012878418</v>
      </c>
      <c r="X207" s="26">
        <v>316.01419683331818</v>
      </c>
      <c r="Y207" s="26" t="s">
        <v>389</v>
      </c>
      <c r="Z207" s="26">
        <f t="shared" si="83"/>
        <v>271.17129999999997</v>
      </c>
      <c r="AA207" s="26">
        <f t="shared" si="83"/>
        <v>362.33580000000001</v>
      </c>
      <c r="AB207" s="25" t="s">
        <v>542</v>
      </c>
      <c r="AC207" s="77" t="s">
        <v>400</v>
      </c>
      <c r="AD207" s="26">
        <v>271.17129999999997</v>
      </c>
      <c r="AE207" s="26">
        <v>362.33580000000001</v>
      </c>
      <c r="AF207" s="26" t="s">
        <v>641</v>
      </c>
      <c r="AG207" s="25" t="s">
        <v>13</v>
      </c>
      <c r="AH207" s="6" t="s">
        <v>77</v>
      </c>
      <c r="AI207" s="44" t="s">
        <v>168</v>
      </c>
      <c r="AJ207" s="62">
        <f t="shared" si="85"/>
        <v>201.55</v>
      </c>
      <c r="AK207" s="62">
        <v>201.8</v>
      </c>
      <c r="AL207" s="62">
        <v>201.3</v>
      </c>
      <c r="AM207" s="26">
        <f t="shared" si="78"/>
        <v>1056.375</v>
      </c>
      <c r="AN207" s="26" t="s">
        <v>389</v>
      </c>
      <c r="AO207" s="66">
        <f t="shared" si="79"/>
        <v>704.25</v>
      </c>
      <c r="AP207" s="100">
        <f t="shared" si="80"/>
        <v>1408.5</v>
      </c>
      <c r="AQ207" s="29" t="s">
        <v>426</v>
      </c>
      <c r="AR207" s="26" t="s">
        <v>422</v>
      </c>
      <c r="AS207" s="29"/>
      <c r="AT207" s="23">
        <f>AVERAGE(869,523,627,798)</f>
        <v>704.25</v>
      </c>
      <c r="AU207" s="23">
        <f>AVERAGE(1337,848,1017,1294)</f>
        <v>1124</v>
      </c>
      <c r="AV207" s="39" t="s">
        <v>60</v>
      </c>
      <c r="AW207" s="23" t="s">
        <v>759</v>
      </c>
      <c r="AX207" s="29" t="s">
        <v>13</v>
      </c>
      <c r="AY207" s="6" t="s">
        <v>515</v>
      </c>
      <c r="AZ207" s="97" t="s">
        <v>13</v>
      </c>
      <c r="BA207" s="72">
        <v>0.85880000000000001</v>
      </c>
      <c r="BB207" s="62"/>
      <c r="BC207" s="62"/>
      <c r="BD207" s="26">
        <v>168.45210266113281</v>
      </c>
      <c r="BE207" s="25" t="s">
        <v>389</v>
      </c>
      <c r="BF207" s="26">
        <f t="shared" si="86"/>
        <v>97.709784625065296</v>
      </c>
      <c r="BG207" s="26">
        <f t="shared" si="87"/>
        <v>239.30765557661522</v>
      </c>
      <c r="BH207" s="25" t="s">
        <v>517</v>
      </c>
      <c r="BI207" s="26" t="s">
        <v>430</v>
      </c>
      <c r="BJ207" s="26">
        <v>158.23077392578125</v>
      </c>
      <c r="BK207" s="26">
        <v>179.42977905273438</v>
      </c>
      <c r="BL207" s="26" t="s">
        <v>516</v>
      </c>
      <c r="BM207" s="25" t="s">
        <v>13</v>
      </c>
      <c r="BO207" s="44"/>
      <c r="CA207" s="25" t="s">
        <v>13</v>
      </c>
      <c r="CC207" s="25" t="s">
        <v>13</v>
      </c>
    </row>
    <row r="208" spans="1:81">
      <c r="A208" s="7" t="s">
        <v>46</v>
      </c>
      <c r="B208" s="25" t="s">
        <v>148</v>
      </c>
      <c r="C208" s="68">
        <f t="shared" si="66"/>
        <v>205.4</v>
      </c>
      <c r="D208" s="76">
        <f t="shared" si="76"/>
        <v>209.5</v>
      </c>
      <c r="E208" s="76">
        <f t="shared" si="77"/>
        <v>201.3</v>
      </c>
      <c r="F208" s="23">
        <f t="shared" si="84"/>
        <v>961</v>
      </c>
      <c r="G208" s="23" t="s">
        <v>389</v>
      </c>
      <c r="H208" s="23">
        <f t="shared" si="67"/>
        <v>480.5</v>
      </c>
      <c r="I208" s="23">
        <f t="shared" si="69"/>
        <v>1922</v>
      </c>
      <c r="J208" s="23" t="s">
        <v>480</v>
      </c>
      <c r="K208" s="23" t="s">
        <v>400</v>
      </c>
      <c r="L208" s="21">
        <v>1922</v>
      </c>
      <c r="M208" s="21">
        <f t="shared" si="73"/>
        <v>1422</v>
      </c>
      <c r="N208" s="21">
        <f t="shared" si="68"/>
        <v>2422</v>
      </c>
      <c r="O208" s="21">
        <v>4000</v>
      </c>
      <c r="P208" s="22">
        <v>2000</v>
      </c>
      <c r="Q208" s="25" t="s">
        <v>336</v>
      </c>
      <c r="R208" s="26" t="s">
        <v>13</v>
      </c>
      <c r="S208" s="6" t="s">
        <v>639</v>
      </c>
      <c r="T208" s="44" t="s">
        <v>640</v>
      </c>
      <c r="U208" s="62">
        <v>10.176926612854004</v>
      </c>
      <c r="X208" s="26">
        <v>282.87405445168292</v>
      </c>
      <c r="Y208" s="26" t="s">
        <v>389</v>
      </c>
      <c r="Z208" s="26">
        <f t="shared" si="83"/>
        <v>250.00899999999999</v>
      </c>
      <c r="AA208" s="26">
        <f t="shared" si="83"/>
        <v>320.63369999999998</v>
      </c>
      <c r="AB208" s="25" t="s">
        <v>542</v>
      </c>
      <c r="AC208" s="77" t="s">
        <v>400</v>
      </c>
      <c r="AD208" s="26">
        <v>250.00899999999999</v>
      </c>
      <c r="AE208" s="26">
        <v>320.63369999999998</v>
      </c>
      <c r="AF208" s="26" t="s">
        <v>641</v>
      </c>
      <c r="AG208" s="25" t="s">
        <v>13</v>
      </c>
      <c r="AH208" s="6" t="s">
        <v>78</v>
      </c>
      <c r="AI208" s="44" t="s">
        <v>91</v>
      </c>
      <c r="AJ208" s="65">
        <f t="shared" si="85"/>
        <v>3.0949999999999998</v>
      </c>
      <c r="AK208" s="62">
        <v>3.6</v>
      </c>
      <c r="AL208" s="62">
        <v>2.59</v>
      </c>
      <c r="AM208" s="25">
        <v>357</v>
      </c>
      <c r="AN208" s="25" t="s">
        <v>239</v>
      </c>
      <c r="AO208" s="22">
        <f>AT208</f>
        <v>315</v>
      </c>
      <c r="AP208" s="23">
        <f>AU208</f>
        <v>405</v>
      </c>
      <c r="AQ208" s="23" t="s">
        <v>420</v>
      </c>
      <c r="AR208" s="23" t="s">
        <v>424</v>
      </c>
      <c r="AS208" s="23">
        <v>351</v>
      </c>
      <c r="AT208" s="39">
        <v>315</v>
      </c>
      <c r="AU208" s="39">
        <v>405</v>
      </c>
      <c r="AV208" s="23" t="s">
        <v>657</v>
      </c>
      <c r="AW208" s="23"/>
      <c r="AX208" s="29" t="s">
        <v>13</v>
      </c>
      <c r="AY208" s="6" t="s">
        <v>515</v>
      </c>
      <c r="AZ208" s="97" t="s">
        <v>13</v>
      </c>
      <c r="BA208" s="72">
        <v>0.94450000000000001</v>
      </c>
      <c r="BB208" s="62"/>
      <c r="BC208" s="62"/>
      <c r="BD208" s="26">
        <v>183.29255676269531</v>
      </c>
      <c r="BE208" s="25" t="s">
        <v>389</v>
      </c>
      <c r="BF208" s="26">
        <f t="shared" si="86"/>
        <v>112.39447409991682</v>
      </c>
      <c r="BG208" s="26">
        <f t="shared" si="87"/>
        <v>254.33220097752417</v>
      </c>
      <c r="BH208" s="25" t="s">
        <v>517</v>
      </c>
      <c r="BI208" s="26" t="s">
        <v>430</v>
      </c>
      <c r="BJ208" s="26">
        <v>172.04364013671875</v>
      </c>
      <c r="BK208" s="26">
        <v>195.40168762207031</v>
      </c>
      <c r="BL208" s="26" t="s">
        <v>516</v>
      </c>
      <c r="BM208" s="25" t="s">
        <v>13</v>
      </c>
      <c r="BO208" s="44"/>
      <c r="CA208" s="25" t="s">
        <v>13</v>
      </c>
      <c r="CC208" s="25" t="s">
        <v>13</v>
      </c>
    </row>
    <row r="209" spans="1:81">
      <c r="A209" s="7" t="s">
        <v>46</v>
      </c>
      <c r="B209" s="25" t="s">
        <v>148</v>
      </c>
      <c r="C209" s="68">
        <f t="shared" si="66"/>
        <v>205.4</v>
      </c>
      <c r="D209" s="76">
        <f t="shared" si="76"/>
        <v>209.5</v>
      </c>
      <c r="E209" s="76">
        <f t="shared" si="77"/>
        <v>201.3</v>
      </c>
      <c r="F209" s="23">
        <f t="shared" si="84"/>
        <v>1171</v>
      </c>
      <c r="G209" s="23" t="s">
        <v>389</v>
      </c>
      <c r="H209" s="23">
        <f t="shared" si="67"/>
        <v>585.5</v>
      </c>
      <c r="I209" s="23">
        <f t="shared" si="69"/>
        <v>2342</v>
      </c>
      <c r="J209" s="23" t="s">
        <v>480</v>
      </c>
      <c r="K209" s="23" t="s">
        <v>400</v>
      </c>
      <c r="L209" s="21">
        <v>2342</v>
      </c>
      <c r="M209" s="21">
        <f t="shared" si="73"/>
        <v>1842</v>
      </c>
      <c r="N209" s="21">
        <f t="shared" si="68"/>
        <v>2842</v>
      </c>
      <c r="O209" s="21">
        <v>4000</v>
      </c>
      <c r="P209" s="22">
        <v>2000</v>
      </c>
      <c r="Q209" s="25" t="s">
        <v>336</v>
      </c>
      <c r="R209" s="26" t="s">
        <v>13</v>
      </c>
      <c r="S209" s="6" t="s">
        <v>639</v>
      </c>
      <c r="T209" s="44" t="s">
        <v>640</v>
      </c>
      <c r="U209" s="62">
        <v>10.240889549255371</v>
      </c>
      <c r="X209" s="26">
        <v>291.4028509967402</v>
      </c>
      <c r="Y209" s="26" t="s">
        <v>389</v>
      </c>
      <c r="Z209" s="26">
        <f t="shared" si="83"/>
        <v>255.7655</v>
      </c>
      <c r="AA209" s="26">
        <f t="shared" si="83"/>
        <v>330.98630000000003</v>
      </c>
      <c r="AB209" s="25" t="s">
        <v>542</v>
      </c>
      <c r="AC209" s="77" t="s">
        <v>400</v>
      </c>
      <c r="AD209" s="26">
        <v>255.7655</v>
      </c>
      <c r="AE209" s="26">
        <v>330.98630000000003</v>
      </c>
      <c r="AF209" s="26" t="s">
        <v>641</v>
      </c>
      <c r="AG209" s="25" t="s">
        <v>13</v>
      </c>
      <c r="AH209" s="6" t="s">
        <v>78</v>
      </c>
      <c r="AI209" s="44" t="s">
        <v>219</v>
      </c>
      <c r="AJ209" s="62">
        <f t="shared" si="85"/>
        <v>8.48</v>
      </c>
      <c r="AK209" s="62">
        <v>11.63</v>
      </c>
      <c r="AL209" s="62">
        <v>5.33</v>
      </c>
      <c r="AM209" s="25">
        <v>360</v>
      </c>
      <c r="AN209" s="26" t="s">
        <v>389</v>
      </c>
      <c r="AO209" s="66">
        <f>AM209*0.7</f>
        <v>251.99999999999997</v>
      </c>
      <c r="AP209" s="100">
        <f>AM209*1.65</f>
        <v>594</v>
      </c>
      <c r="AQ209" s="29" t="s">
        <v>512</v>
      </c>
      <c r="AR209" s="23" t="s">
        <v>424</v>
      </c>
      <c r="AS209" s="23">
        <v>360</v>
      </c>
      <c r="AT209" s="39">
        <v>326</v>
      </c>
      <c r="AU209" s="39">
        <v>406</v>
      </c>
      <c r="AV209" s="23" t="s">
        <v>657</v>
      </c>
      <c r="AW209" s="23"/>
      <c r="AX209" s="29" t="s">
        <v>13</v>
      </c>
      <c r="AY209" s="6" t="s">
        <v>515</v>
      </c>
      <c r="AZ209" s="97" t="s">
        <v>13</v>
      </c>
      <c r="BA209" s="72">
        <v>1.8204</v>
      </c>
      <c r="BB209" s="62"/>
      <c r="BC209" s="62"/>
      <c r="BD209" s="26">
        <v>249.66188049316406</v>
      </c>
      <c r="BE209" s="25" t="s">
        <v>389</v>
      </c>
      <c r="BF209" s="26">
        <f t="shared" si="86"/>
        <v>177.81163898437154</v>
      </c>
      <c r="BG209" s="26">
        <f t="shared" si="87"/>
        <v>321.84604051458996</v>
      </c>
      <c r="BH209" s="25" t="s">
        <v>517</v>
      </c>
      <c r="BI209" s="26" t="s">
        <v>430</v>
      </c>
      <c r="BJ209" s="26">
        <v>233.46134948730469</v>
      </c>
      <c r="BK209" s="26">
        <v>267.28439331054688</v>
      </c>
      <c r="BL209" s="26" t="s">
        <v>516</v>
      </c>
      <c r="BM209" s="25" t="s">
        <v>13</v>
      </c>
      <c r="BO209" s="44"/>
      <c r="CA209" s="25" t="s">
        <v>13</v>
      </c>
      <c r="CC209" s="25" t="s">
        <v>13</v>
      </c>
    </row>
    <row r="210" spans="1:81">
      <c r="A210" s="6" t="s">
        <v>337</v>
      </c>
      <c r="B210" s="26" t="s">
        <v>150</v>
      </c>
      <c r="C210" s="62">
        <v>12.8</v>
      </c>
      <c r="D210" s="62"/>
      <c r="E210" s="62"/>
      <c r="F210" s="23">
        <f t="shared" si="84"/>
        <v>273.335226443929</v>
      </c>
      <c r="G210" s="23" t="s">
        <v>389</v>
      </c>
      <c r="H210" s="23">
        <f>M210*$P210/$O210</f>
        <v>192.53405095934957</v>
      </c>
      <c r="I210" s="23">
        <f t="shared" ref="I210:I218" si="88">N210*$P210/$O210</f>
        <v>354.13640192850858</v>
      </c>
      <c r="J210" s="83" t="s">
        <v>403</v>
      </c>
      <c r="K210" s="23" t="s">
        <v>400</v>
      </c>
      <c r="L210" s="25">
        <v>433</v>
      </c>
      <c r="M210" s="25">
        <v>305</v>
      </c>
      <c r="N210" s="25">
        <v>561</v>
      </c>
      <c r="O210" s="22">
        <v>2967</v>
      </c>
      <c r="P210" s="22">
        <v>1872.9459973652135</v>
      </c>
      <c r="Q210" s="25" t="s">
        <v>390</v>
      </c>
      <c r="R210" s="26" t="s">
        <v>13</v>
      </c>
      <c r="S210" s="6" t="s">
        <v>639</v>
      </c>
      <c r="T210" s="44" t="s">
        <v>640</v>
      </c>
      <c r="U210" s="62">
        <v>10.302360534667969</v>
      </c>
      <c r="X210" s="26">
        <v>288.49071180775468</v>
      </c>
      <c r="Y210" s="26" t="s">
        <v>389</v>
      </c>
      <c r="Z210" s="26">
        <f t="shared" si="83"/>
        <v>252.55690000000001</v>
      </c>
      <c r="AA210" s="26">
        <f t="shared" si="83"/>
        <v>327.22559999999999</v>
      </c>
      <c r="AB210" s="25" t="s">
        <v>542</v>
      </c>
      <c r="AC210" s="77" t="s">
        <v>400</v>
      </c>
      <c r="AD210" s="26">
        <v>252.55690000000001</v>
      </c>
      <c r="AE210" s="26">
        <v>327.22559999999999</v>
      </c>
      <c r="AF210" s="26" t="s">
        <v>641</v>
      </c>
      <c r="AG210" s="25" t="s">
        <v>13</v>
      </c>
      <c r="AH210" s="6" t="s">
        <v>235</v>
      </c>
      <c r="AI210" s="44" t="s">
        <v>283</v>
      </c>
      <c r="AJ210" s="62">
        <f t="shared" si="85"/>
        <v>47.4</v>
      </c>
      <c r="AK210" s="62">
        <v>48</v>
      </c>
      <c r="AL210" s="62">
        <v>46.8</v>
      </c>
      <c r="AM210" s="26">
        <v>1149</v>
      </c>
      <c r="AN210" s="26" t="s">
        <v>389</v>
      </c>
      <c r="AO210" s="22">
        <f>AM210-355</f>
        <v>794</v>
      </c>
      <c r="AP210" s="23">
        <f>AM210+540</f>
        <v>1689</v>
      </c>
      <c r="AQ210" s="39" t="s">
        <v>771</v>
      </c>
      <c r="AR210" s="25" t="s">
        <v>671</v>
      </c>
      <c r="AS210" s="39">
        <f>AVERAGE(AT210:AU210)</f>
        <v>943</v>
      </c>
      <c r="AT210" s="39">
        <v>853</v>
      </c>
      <c r="AU210" s="39">
        <v>1033</v>
      </c>
      <c r="AV210" s="39" t="s">
        <v>652</v>
      </c>
      <c r="AW210" s="39" t="s">
        <v>775</v>
      </c>
      <c r="AX210" s="29" t="s">
        <v>13</v>
      </c>
      <c r="AY210" s="6" t="s">
        <v>515</v>
      </c>
      <c r="AZ210" s="97" t="s">
        <v>13</v>
      </c>
      <c r="BA210" s="72">
        <v>2.7360000000000002</v>
      </c>
      <c r="BB210" s="62"/>
      <c r="BC210" s="62"/>
      <c r="BD210" s="26">
        <v>273.8099365234375</v>
      </c>
      <c r="BE210" s="25" t="s">
        <v>389</v>
      </c>
      <c r="BF210" s="26">
        <f t="shared" si="86"/>
        <v>191.79616078712087</v>
      </c>
      <c r="BG210" s="26">
        <f t="shared" si="87"/>
        <v>361.77931718466834</v>
      </c>
      <c r="BH210" s="25" t="s">
        <v>517</v>
      </c>
      <c r="BI210" s="26" t="s">
        <v>430</v>
      </c>
      <c r="BJ210" s="26">
        <v>231.07518005371094</v>
      </c>
      <c r="BK210" s="26">
        <v>327.08856201171875</v>
      </c>
      <c r="BL210" s="26" t="s">
        <v>516</v>
      </c>
      <c r="BM210" s="25" t="s">
        <v>13</v>
      </c>
      <c r="BO210" s="44"/>
      <c r="CA210" s="25" t="s">
        <v>13</v>
      </c>
      <c r="CC210" s="25" t="s">
        <v>13</v>
      </c>
    </row>
    <row r="211" spans="1:81">
      <c r="A211" s="6" t="s">
        <v>337</v>
      </c>
      <c r="B211" s="26" t="s">
        <v>150</v>
      </c>
      <c r="C211" s="62">
        <v>13.14</v>
      </c>
      <c r="D211" s="62"/>
      <c r="E211" s="62"/>
      <c r="F211" s="23">
        <f t="shared" si="84"/>
        <v>369.90090588449556</v>
      </c>
      <c r="G211" s="23" t="s">
        <v>389</v>
      </c>
      <c r="H211" s="23">
        <f t="shared" ref="H211:H218" si="89">M211*$P211/$O211</f>
        <v>186.73224921336771</v>
      </c>
      <c r="I211" s="23">
        <f t="shared" si="88"/>
        <v>553.06956255562341</v>
      </c>
      <c r="J211" s="83" t="s">
        <v>403</v>
      </c>
      <c r="K211" s="23" t="s">
        <v>400</v>
      </c>
      <c r="L211" s="25">
        <v>519</v>
      </c>
      <c r="M211" s="25">
        <v>262</v>
      </c>
      <c r="N211" s="25">
        <v>776</v>
      </c>
      <c r="O211" s="25">
        <v>1728</v>
      </c>
      <c r="P211" s="22">
        <v>1231.5775825980893</v>
      </c>
      <c r="Q211" s="25" t="s">
        <v>390</v>
      </c>
      <c r="R211" s="26" t="s">
        <v>13</v>
      </c>
      <c r="S211" s="6" t="s">
        <v>639</v>
      </c>
      <c r="T211" s="44" t="s">
        <v>640</v>
      </c>
      <c r="U211" s="62">
        <v>10.363831520080566</v>
      </c>
      <c r="X211" s="26">
        <v>240.44929845595851</v>
      </c>
      <c r="Y211" s="26" t="s">
        <v>389</v>
      </c>
      <c r="Z211" s="26">
        <f t="shared" si="83"/>
        <v>210.2663</v>
      </c>
      <c r="AA211" s="26">
        <f t="shared" si="83"/>
        <v>271.78930000000003</v>
      </c>
      <c r="AB211" s="25" t="s">
        <v>542</v>
      </c>
      <c r="AC211" s="77" t="s">
        <v>400</v>
      </c>
      <c r="AD211" s="26">
        <v>210.2663</v>
      </c>
      <c r="AE211" s="26">
        <v>271.78930000000003</v>
      </c>
      <c r="AF211" s="26" t="s">
        <v>641</v>
      </c>
      <c r="AG211" s="25" t="s">
        <v>13</v>
      </c>
      <c r="AH211" s="6" t="s">
        <v>79</v>
      </c>
      <c r="AI211" s="44" t="s">
        <v>221</v>
      </c>
      <c r="AJ211" s="62">
        <f t="shared" si="85"/>
        <v>84.949999999999989</v>
      </c>
      <c r="AK211" s="62">
        <v>86.3</v>
      </c>
      <c r="AL211" s="62">
        <v>83.6</v>
      </c>
      <c r="AM211" s="26">
        <f>AS211</f>
        <v>660.17231404312577</v>
      </c>
      <c r="AN211" s="26" t="s">
        <v>389</v>
      </c>
      <c r="AO211" s="66">
        <f>AM211*0.7</f>
        <v>462.12061983018799</v>
      </c>
      <c r="AP211" s="100">
        <f>AM211*1.65</f>
        <v>1089.2843181711576</v>
      </c>
      <c r="AQ211" s="29" t="s">
        <v>824</v>
      </c>
      <c r="AR211" s="26" t="s">
        <v>422</v>
      </c>
      <c r="AS211" s="29">
        <f>(415*6.76-1961)*2000/(3337*6.76-20000)</f>
        <v>660.17231404312577</v>
      </c>
      <c r="AT211" s="29"/>
      <c r="AU211" s="29"/>
      <c r="AV211" s="39" t="s">
        <v>236</v>
      </c>
      <c r="AW211" s="39" t="s">
        <v>825</v>
      </c>
      <c r="AX211" s="29" t="s">
        <v>13</v>
      </c>
      <c r="AY211" s="6" t="s">
        <v>515</v>
      </c>
      <c r="AZ211" s="97" t="s">
        <v>13</v>
      </c>
      <c r="BA211" s="72">
        <v>2.8872</v>
      </c>
      <c r="BB211" s="62"/>
      <c r="BC211" s="62"/>
      <c r="BD211" s="26">
        <v>481.25650024414063</v>
      </c>
      <c r="BE211" s="25" t="s">
        <v>389</v>
      </c>
      <c r="BF211" s="26">
        <f t="shared" si="86"/>
        <v>399.7173390871942</v>
      </c>
      <c r="BG211" s="26">
        <f t="shared" si="87"/>
        <v>566.00697221240932</v>
      </c>
      <c r="BH211" s="25" t="s">
        <v>517</v>
      </c>
      <c r="BI211" s="26" t="s">
        <v>430</v>
      </c>
      <c r="BJ211" s="26">
        <v>439.4398193359375</v>
      </c>
      <c r="BK211" s="26">
        <v>529.03350830078125</v>
      </c>
      <c r="BL211" s="26" t="s">
        <v>516</v>
      </c>
      <c r="BM211" s="25" t="s">
        <v>13</v>
      </c>
      <c r="BO211" s="44"/>
      <c r="CA211" s="25" t="s">
        <v>13</v>
      </c>
      <c r="CC211" s="25" t="s">
        <v>13</v>
      </c>
    </row>
    <row r="212" spans="1:81">
      <c r="A212" s="6" t="s">
        <v>337</v>
      </c>
      <c r="B212" s="26" t="s">
        <v>150</v>
      </c>
      <c r="C212" s="62">
        <v>13.76</v>
      </c>
      <c r="D212" s="62"/>
      <c r="E212" s="62"/>
      <c r="F212" s="23">
        <f t="shared" si="84"/>
        <v>189.80030985598745</v>
      </c>
      <c r="G212" s="23" t="s">
        <v>389</v>
      </c>
      <c r="H212" s="23">
        <f t="shared" si="89"/>
        <v>142.65636192401638</v>
      </c>
      <c r="I212" s="23">
        <f t="shared" si="88"/>
        <v>236.94425778795855</v>
      </c>
      <c r="J212" s="83" t="s">
        <v>403</v>
      </c>
      <c r="K212" s="23" t="s">
        <v>400</v>
      </c>
      <c r="L212" s="25">
        <v>310</v>
      </c>
      <c r="M212" s="25">
        <v>233</v>
      </c>
      <c r="N212" s="25">
        <v>387</v>
      </c>
      <c r="O212" s="25">
        <v>3564</v>
      </c>
      <c r="P212" s="22">
        <v>2182.0913042798043</v>
      </c>
      <c r="Q212" s="25" t="s">
        <v>390</v>
      </c>
      <c r="R212" s="26" t="s">
        <v>13</v>
      </c>
      <c r="S212" s="6" t="s">
        <v>639</v>
      </c>
      <c r="T212" s="44" t="s">
        <v>640</v>
      </c>
      <c r="U212" s="62">
        <v>10.426133155822754</v>
      </c>
      <c r="X212" s="26">
        <v>221.41497885294163</v>
      </c>
      <c r="Y212" s="26" t="s">
        <v>389</v>
      </c>
      <c r="Z212" s="26">
        <f t="shared" si="83"/>
        <v>193.2741</v>
      </c>
      <c r="AA212" s="26">
        <f t="shared" si="83"/>
        <v>249.6456</v>
      </c>
      <c r="AB212" s="25" t="s">
        <v>542</v>
      </c>
      <c r="AC212" s="77" t="s">
        <v>400</v>
      </c>
      <c r="AD212" s="26">
        <v>193.2741</v>
      </c>
      <c r="AE212" s="26">
        <v>249.6456</v>
      </c>
      <c r="AF212" s="26" t="s">
        <v>641</v>
      </c>
      <c r="AG212" s="25" t="s">
        <v>13</v>
      </c>
      <c r="AH212" s="6" t="s">
        <v>79</v>
      </c>
      <c r="AI212" s="44" t="s">
        <v>221</v>
      </c>
      <c r="AJ212" s="62">
        <f t="shared" si="85"/>
        <v>84.949999999999989</v>
      </c>
      <c r="AK212" s="62">
        <v>86.3</v>
      </c>
      <c r="AL212" s="62">
        <v>83.6</v>
      </c>
      <c r="AM212" s="26">
        <f>AS212</f>
        <v>531.20311749376697</v>
      </c>
      <c r="AN212" s="26" t="s">
        <v>389</v>
      </c>
      <c r="AO212" s="66">
        <f>AM212*0.7</f>
        <v>371.84218224563688</v>
      </c>
      <c r="AP212" s="100">
        <f>AM212*1.65</f>
        <v>876.4851438647155</v>
      </c>
      <c r="AQ212" s="29" t="s">
        <v>824</v>
      </c>
      <c r="AR212" s="26" t="s">
        <v>422</v>
      </c>
      <c r="AS212" s="29">
        <f>(415*7.11-1961)*2000/(3337*7.11-20000)</f>
        <v>531.20311749376697</v>
      </c>
      <c r="AT212" s="29"/>
      <c r="AU212" s="29"/>
      <c r="AV212" s="39" t="s">
        <v>236</v>
      </c>
      <c r="AW212" s="39" t="s">
        <v>825</v>
      </c>
      <c r="AX212" s="29" t="s">
        <v>13</v>
      </c>
      <c r="AY212" s="6" t="s">
        <v>515</v>
      </c>
      <c r="AZ212" s="97" t="s">
        <v>13</v>
      </c>
      <c r="BA212" s="72">
        <v>3.2145000000000001</v>
      </c>
      <c r="BB212" s="62"/>
      <c r="BC212" s="62"/>
      <c r="BD212" s="26">
        <v>423.47793579101563</v>
      </c>
      <c r="BE212" s="25" t="s">
        <v>389</v>
      </c>
      <c r="BF212" s="26">
        <f t="shared" si="86"/>
        <v>346.49512658947958</v>
      </c>
      <c r="BG212" s="26">
        <f t="shared" si="87"/>
        <v>502.11141328275221</v>
      </c>
      <c r="BH212" s="25" t="s">
        <v>517</v>
      </c>
      <c r="BI212" s="26" t="s">
        <v>430</v>
      </c>
      <c r="BJ212" s="26">
        <v>391.44119262695313</v>
      </c>
      <c r="BK212" s="26">
        <v>459.300048828125</v>
      </c>
      <c r="BL212" s="26" t="s">
        <v>516</v>
      </c>
      <c r="BM212" s="25" t="s">
        <v>13</v>
      </c>
      <c r="BO212" s="44"/>
      <c r="CA212" s="25" t="s">
        <v>13</v>
      </c>
      <c r="CC212" s="25" t="s">
        <v>13</v>
      </c>
    </row>
    <row r="213" spans="1:81">
      <c r="A213" s="6" t="s">
        <v>337</v>
      </c>
      <c r="B213" s="26" t="s">
        <v>150</v>
      </c>
      <c r="C213" s="62">
        <v>14.4</v>
      </c>
      <c r="D213" s="62"/>
      <c r="E213" s="62"/>
      <c r="F213" s="23">
        <f t="shared" si="84"/>
        <v>132.0204190489147</v>
      </c>
      <c r="G213" s="23" t="s">
        <v>389</v>
      </c>
      <c r="H213" s="23">
        <f t="shared" si="89"/>
        <v>86.496136618254468</v>
      </c>
      <c r="I213" s="23">
        <f t="shared" si="88"/>
        <v>177.54470147957497</v>
      </c>
      <c r="J213" s="83" t="s">
        <v>403</v>
      </c>
      <c r="K213" s="23" t="s">
        <v>400</v>
      </c>
      <c r="L213" s="25">
        <v>203</v>
      </c>
      <c r="M213" s="25">
        <v>133</v>
      </c>
      <c r="N213" s="25">
        <v>273</v>
      </c>
      <c r="O213" s="25">
        <v>2541</v>
      </c>
      <c r="P213" s="22">
        <v>1652.531452232967</v>
      </c>
      <c r="Q213" s="25" t="s">
        <v>390</v>
      </c>
      <c r="R213" s="26" t="s">
        <v>13</v>
      </c>
      <c r="S213" s="6" t="s">
        <v>639</v>
      </c>
      <c r="T213" s="44" t="s">
        <v>640</v>
      </c>
      <c r="U213" s="62">
        <v>10.478050231933594</v>
      </c>
      <c r="X213" s="26">
        <v>344.59605532339026</v>
      </c>
      <c r="Y213" s="26" t="s">
        <v>389</v>
      </c>
      <c r="Z213" s="26">
        <f t="shared" si="83"/>
        <v>299.55169999999998</v>
      </c>
      <c r="AA213" s="26">
        <f t="shared" si="83"/>
        <v>394.1207</v>
      </c>
      <c r="AB213" s="25" t="s">
        <v>542</v>
      </c>
      <c r="AC213" s="77" t="s">
        <v>400</v>
      </c>
      <c r="AD213" s="26">
        <v>299.55169999999998</v>
      </c>
      <c r="AE213" s="26">
        <v>394.1207</v>
      </c>
      <c r="AF213" s="26" t="s">
        <v>641</v>
      </c>
      <c r="AG213" s="25" t="s">
        <v>13</v>
      </c>
      <c r="AH213" s="6" t="s">
        <v>79</v>
      </c>
      <c r="AI213" s="44" t="s">
        <v>221</v>
      </c>
      <c r="AJ213" s="62">
        <f t="shared" si="85"/>
        <v>84.949999999999989</v>
      </c>
      <c r="AK213" s="62">
        <v>86.3</v>
      </c>
      <c r="AL213" s="62">
        <v>83.6</v>
      </c>
      <c r="AM213" s="26">
        <f>AS213</f>
        <v>565.21621467210696</v>
      </c>
      <c r="AN213" s="26" t="s">
        <v>389</v>
      </c>
      <c r="AO213" s="66">
        <f>AM213*0.7</f>
        <v>395.65135027047484</v>
      </c>
      <c r="AP213" s="100">
        <f>AM213*1.65</f>
        <v>932.60675420897644</v>
      </c>
      <c r="AQ213" s="29" t="s">
        <v>824</v>
      </c>
      <c r="AR213" s="26" t="s">
        <v>422</v>
      </c>
      <c r="AS213" s="29">
        <f>(415*6.99-1961)*2000/(3337*6.99-20000)</f>
        <v>565.21621467210696</v>
      </c>
      <c r="AT213" s="29"/>
      <c r="AU213" s="29"/>
      <c r="AV213" s="39" t="s">
        <v>236</v>
      </c>
      <c r="AW213" s="39" t="s">
        <v>825</v>
      </c>
      <c r="AX213" s="29" t="s">
        <v>13</v>
      </c>
      <c r="AY213" s="6" t="s">
        <v>515</v>
      </c>
      <c r="AZ213" s="97" t="s">
        <v>13</v>
      </c>
      <c r="BA213" s="72">
        <v>3.6594000000000002</v>
      </c>
      <c r="BB213" s="62"/>
      <c r="BC213" s="62"/>
      <c r="BD213" s="26">
        <v>356.76373291015625</v>
      </c>
      <c r="BE213" s="25" t="s">
        <v>389</v>
      </c>
      <c r="BF213" s="26">
        <f t="shared" si="86"/>
        <v>281.23377036976075</v>
      </c>
      <c r="BG213" s="26">
        <f t="shared" si="87"/>
        <v>433.63404732062605</v>
      </c>
      <c r="BH213" s="25" t="s">
        <v>517</v>
      </c>
      <c r="BI213" s="26" t="s">
        <v>430</v>
      </c>
      <c r="BJ213" s="26">
        <v>328.39517211914063</v>
      </c>
      <c r="BK213" s="26">
        <v>388.52920532226563</v>
      </c>
      <c r="BL213" s="26" t="s">
        <v>516</v>
      </c>
      <c r="BM213" s="25" t="s">
        <v>13</v>
      </c>
      <c r="BO213" s="44"/>
      <c r="CA213" s="25" t="s">
        <v>13</v>
      </c>
      <c r="CC213" s="25" t="s">
        <v>13</v>
      </c>
    </row>
    <row r="214" spans="1:81">
      <c r="A214" s="6" t="s">
        <v>337</v>
      </c>
      <c r="B214" s="26" t="s">
        <v>150</v>
      </c>
      <c r="C214" s="62">
        <v>14.66</v>
      </c>
      <c r="D214" s="62"/>
      <c r="E214" s="62"/>
      <c r="F214" s="23">
        <f t="shared" si="84"/>
        <v>73.829300203520262</v>
      </c>
      <c r="G214" s="23" t="s">
        <v>389</v>
      </c>
      <c r="H214" s="23">
        <f t="shared" si="89"/>
        <v>50.280299276535359</v>
      </c>
      <c r="I214" s="23">
        <f t="shared" si="88"/>
        <v>97.378301130505179</v>
      </c>
      <c r="J214" s="83" t="s">
        <v>403</v>
      </c>
      <c r="K214" s="23" t="s">
        <v>400</v>
      </c>
      <c r="L214" s="25">
        <v>116</v>
      </c>
      <c r="M214" s="25">
        <v>79</v>
      </c>
      <c r="N214" s="25">
        <v>153</v>
      </c>
      <c r="O214" s="25">
        <v>2837</v>
      </c>
      <c r="P214" s="22">
        <v>1805.635557563681</v>
      </c>
      <c r="Q214" s="25" t="s">
        <v>390</v>
      </c>
      <c r="R214" s="26" t="s">
        <v>13</v>
      </c>
      <c r="S214" s="6" t="s">
        <v>639</v>
      </c>
      <c r="T214" s="44" t="s">
        <v>640</v>
      </c>
      <c r="U214" s="62">
        <v>10.522907257080078</v>
      </c>
      <c r="X214" s="26">
        <v>247.18466685290392</v>
      </c>
      <c r="Y214" s="26" t="s">
        <v>389</v>
      </c>
      <c r="Z214" s="26">
        <f t="shared" si="83"/>
        <v>218.4684</v>
      </c>
      <c r="AA214" s="26">
        <f t="shared" si="83"/>
        <v>279.22800000000001</v>
      </c>
      <c r="AB214" s="25" t="s">
        <v>542</v>
      </c>
      <c r="AC214" s="77" t="s">
        <v>400</v>
      </c>
      <c r="AD214" s="26">
        <v>218.4684</v>
      </c>
      <c r="AE214" s="26">
        <v>279.22800000000001</v>
      </c>
      <c r="AF214" s="26" t="s">
        <v>641</v>
      </c>
      <c r="AG214" s="25" t="s">
        <v>13</v>
      </c>
      <c r="AH214" s="6" t="s">
        <v>1080</v>
      </c>
      <c r="AI214" s="44" t="s">
        <v>1081</v>
      </c>
      <c r="AJ214" s="62">
        <f t="shared" si="85"/>
        <v>200.3</v>
      </c>
      <c r="AK214" s="62">
        <v>201.3</v>
      </c>
      <c r="AL214" s="62">
        <v>199.3</v>
      </c>
      <c r="AM214" s="26">
        <f>AVERAGE(AO214:AP214)</f>
        <v>1098</v>
      </c>
      <c r="AN214" s="26" t="s">
        <v>389</v>
      </c>
      <c r="AO214" s="66">
        <f>2.44*300*1</f>
        <v>732</v>
      </c>
      <c r="AP214" s="100">
        <f>2.44*300*2</f>
        <v>1464</v>
      </c>
      <c r="AQ214" s="29" t="s">
        <v>1082</v>
      </c>
      <c r="AR214" s="26" t="s">
        <v>422</v>
      </c>
      <c r="AS214" s="29">
        <v>1100</v>
      </c>
      <c r="AT214" s="29">
        <v>966</v>
      </c>
      <c r="AU214" s="29">
        <v>1464</v>
      </c>
      <c r="AV214" s="39" t="s">
        <v>60</v>
      </c>
      <c r="AW214" s="39" t="s">
        <v>1083</v>
      </c>
      <c r="AX214" s="29" t="s">
        <v>13</v>
      </c>
      <c r="AY214" s="6" t="s">
        <v>515</v>
      </c>
      <c r="AZ214" s="97" t="s">
        <v>13</v>
      </c>
      <c r="BA214" s="72">
        <v>3.887</v>
      </c>
      <c r="BB214" s="62"/>
      <c r="BC214" s="62"/>
      <c r="BD214" s="26">
        <v>506.94332885742188</v>
      </c>
      <c r="BE214" s="25" t="s">
        <v>389</v>
      </c>
      <c r="BF214" s="26">
        <f t="shared" si="86"/>
        <v>425.799522131853</v>
      </c>
      <c r="BG214" s="26">
        <f t="shared" si="87"/>
        <v>590.97547437903904</v>
      </c>
      <c r="BH214" s="25" t="s">
        <v>517</v>
      </c>
      <c r="BI214" s="26" t="s">
        <v>430</v>
      </c>
      <c r="BJ214" s="26">
        <v>465.90289306640625</v>
      </c>
      <c r="BK214" s="26">
        <v>553.4342041015625</v>
      </c>
      <c r="BL214" s="26" t="s">
        <v>516</v>
      </c>
      <c r="BM214" s="25" t="s">
        <v>13</v>
      </c>
      <c r="BO214" s="44"/>
      <c r="CA214" s="25" t="s">
        <v>13</v>
      </c>
      <c r="CC214" s="25" t="s">
        <v>13</v>
      </c>
    </row>
    <row r="215" spans="1:81">
      <c r="A215" s="6" t="s">
        <v>337</v>
      </c>
      <c r="B215" s="26" t="s">
        <v>150</v>
      </c>
      <c r="C215" s="62">
        <v>15.11</v>
      </c>
      <c r="D215" s="62"/>
      <c r="E215" s="62"/>
      <c r="F215" s="23">
        <f t="shared" si="84"/>
        <v>181.87948340414997</v>
      </c>
      <c r="G215" s="23" t="s">
        <v>389</v>
      </c>
      <c r="H215" s="23">
        <f t="shared" si="89"/>
        <v>130.62822003940667</v>
      </c>
      <c r="I215" s="23">
        <f t="shared" si="88"/>
        <v>233.13074676889323</v>
      </c>
      <c r="J215" s="83" t="s">
        <v>403</v>
      </c>
      <c r="K215" s="23" t="s">
        <v>400</v>
      </c>
      <c r="L215" s="25">
        <v>291</v>
      </c>
      <c r="M215" s="25">
        <v>209</v>
      </c>
      <c r="N215" s="25">
        <v>373</v>
      </c>
      <c r="O215" s="25">
        <v>3138</v>
      </c>
      <c r="P215" s="22">
        <v>1961.2983468117613</v>
      </c>
      <c r="Q215" s="25" t="s">
        <v>390</v>
      </c>
      <c r="R215" s="26" t="s">
        <v>13</v>
      </c>
      <c r="S215" s="6" t="s">
        <v>639</v>
      </c>
      <c r="T215" s="44" t="s">
        <v>640</v>
      </c>
      <c r="U215" s="62">
        <v>10.706073760986328</v>
      </c>
      <c r="X215" s="26">
        <v>295.06229002865058</v>
      </c>
      <c r="Y215" s="26" t="s">
        <v>389</v>
      </c>
      <c r="Z215" s="26">
        <f t="shared" si="83"/>
        <v>260.84710000000001</v>
      </c>
      <c r="AA215" s="26">
        <f t="shared" si="83"/>
        <v>335.22730000000001</v>
      </c>
      <c r="AB215" s="25" t="s">
        <v>542</v>
      </c>
      <c r="AC215" s="77" t="s">
        <v>400</v>
      </c>
      <c r="AD215" s="26">
        <v>260.84710000000001</v>
      </c>
      <c r="AE215" s="26">
        <v>335.22730000000001</v>
      </c>
      <c r="AF215" s="26" t="s">
        <v>641</v>
      </c>
      <c r="AG215" s="25" t="s">
        <v>13</v>
      </c>
      <c r="AH215" s="6" t="s">
        <v>251</v>
      </c>
      <c r="AI215" s="44" t="s">
        <v>254</v>
      </c>
      <c r="AJ215" s="62">
        <f t="shared" si="85"/>
        <v>35.849999999999994</v>
      </c>
      <c r="AK215" s="62">
        <v>37.799999999999997</v>
      </c>
      <c r="AL215" s="62">
        <v>33.9</v>
      </c>
      <c r="AM215" s="26">
        <f>AS215</f>
        <v>449.5</v>
      </c>
      <c r="AN215" s="26" t="s">
        <v>389</v>
      </c>
      <c r="AO215" s="66">
        <f>AT215</f>
        <v>259</v>
      </c>
      <c r="AP215" s="100">
        <f>AU215</f>
        <v>640</v>
      </c>
      <c r="AQ215" s="39" t="s">
        <v>438</v>
      </c>
      <c r="AR215" s="25" t="s">
        <v>437</v>
      </c>
      <c r="AS215" s="29">
        <f>AVERAGE(AT215:AU215)</f>
        <v>449.5</v>
      </c>
      <c r="AT215" s="29">
        <v>259</v>
      </c>
      <c r="AU215" s="29">
        <v>640</v>
      </c>
      <c r="AV215" s="39" t="s">
        <v>652</v>
      </c>
      <c r="AW215" s="39"/>
      <c r="AX215" s="29" t="s">
        <v>13</v>
      </c>
      <c r="AY215" s="6" t="s">
        <v>515</v>
      </c>
      <c r="AZ215" s="97" t="s">
        <v>13</v>
      </c>
      <c r="BA215" s="72">
        <v>4.0994999999999999</v>
      </c>
      <c r="BB215" s="62"/>
      <c r="BC215" s="62"/>
      <c r="BD215" s="26">
        <v>379.76510620117188</v>
      </c>
      <c r="BE215" s="25" t="s">
        <v>389</v>
      </c>
      <c r="BF215" s="26">
        <f t="shared" si="86"/>
        <v>304.52306666053073</v>
      </c>
      <c r="BG215" s="26">
        <f t="shared" si="87"/>
        <v>456.17067046877366</v>
      </c>
      <c r="BH215" s="25" t="s">
        <v>517</v>
      </c>
      <c r="BI215" s="26" t="s">
        <v>430</v>
      </c>
      <c r="BJ215" s="26">
        <v>352.17227172851563</v>
      </c>
      <c r="BK215" s="26">
        <v>410.3887939453125</v>
      </c>
      <c r="BL215" s="26" t="s">
        <v>516</v>
      </c>
      <c r="BM215" s="25" t="s">
        <v>13</v>
      </c>
      <c r="BO215" s="44"/>
      <c r="CA215" s="25" t="s">
        <v>13</v>
      </c>
      <c r="CC215" s="25" t="s">
        <v>13</v>
      </c>
    </row>
    <row r="216" spans="1:81">
      <c r="A216" s="6" t="s">
        <v>337</v>
      </c>
      <c r="B216" s="26" t="s">
        <v>150</v>
      </c>
      <c r="C216" s="62">
        <v>15.61</v>
      </c>
      <c r="D216" s="62"/>
      <c r="E216" s="62"/>
      <c r="F216" s="23">
        <f t="shared" si="84"/>
        <v>472.99865423075255</v>
      </c>
      <c r="G216" s="23" t="s">
        <v>389</v>
      </c>
      <c r="H216" s="23">
        <f t="shared" si="89"/>
        <v>425.25465861591135</v>
      </c>
      <c r="I216" s="23">
        <f t="shared" si="88"/>
        <v>520.74264984559375</v>
      </c>
      <c r="J216" s="83" t="s">
        <v>403</v>
      </c>
      <c r="K216" s="23" t="s">
        <v>400</v>
      </c>
      <c r="L216" s="25">
        <v>852</v>
      </c>
      <c r="M216" s="25">
        <v>766</v>
      </c>
      <c r="N216" s="25">
        <v>938</v>
      </c>
      <c r="O216" s="25">
        <v>8981</v>
      </c>
      <c r="P216" s="22">
        <v>4985.9165653126629</v>
      </c>
      <c r="Q216" s="25" t="s">
        <v>390</v>
      </c>
      <c r="R216" s="26" t="s">
        <v>13</v>
      </c>
      <c r="S216" s="6" t="s">
        <v>639</v>
      </c>
      <c r="T216" s="44" t="s">
        <v>640</v>
      </c>
      <c r="U216" s="62">
        <v>10.834830284118652</v>
      </c>
      <c r="X216" s="26">
        <v>236.4230265906269</v>
      </c>
      <c r="Y216" s="26" t="s">
        <v>389</v>
      </c>
      <c r="Z216" s="26">
        <f t="shared" si="83"/>
        <v>207.5676</v>
      </c>
      <c r="AA216" s="26">
        <f t="shared" si="83"/>
        <v>267.71210000000002</v>
      </c>
      <c r="AB216" s="25" t="s">
        <v>542</v>
      </c>
      <c r="AC216" s="77" t="s">
        <v>400</v>
      </c>
      <c r="AD216" s="26">
        <v>207.5676</v>
      </c>
      <c r="AE216" s="26">
        <v>267.71210000000002</v>
      </c>
      <c r="AF216" s="26" t="s">
        <v>641</v>
      </c>
      <c r="AG216" s="25" t="s">
        <v>13</v>
      </c>
      <c r="AH216" s="6" t="s">
        <v>234</v>
      </c>
      <c r="AI216" s="44" t="s">
        <v>220</v>
      </c>
      <c r="AJ216" s="62">
        <f>AVERAGE(AK216:AL216)</f>
        <v>30.75</v>
      </c>
      <c r="AK216" s="62">
        <v>32</v>
      </c>
      <c r="AL216" s="62">
        <v>29.5</v>
      </c>
      <c r="AM216" s="26">
        <f>AS216</f>
        <v>671</v>
      </c>
      <c r="AN216" s="26" t="s">
        <v>389</v>
      </c>
      <c r="AO216" s="66">
        <f>AT216</f>
        <v>503</v>
      </c>
      <c r="AP216" s="100">
        <f>AU216</f>
        <v>839</v>
      </c>
      <c r="AQ216" s="39" t="s">
        <v>436</v>
      </c>
      <c r="AR216" s="25" t="s">
        <v>437</v>
      </c>
      <c r="AS216" s="29">
        <f t="shared" ref="AS216:AS221" si="90">AVERAGE(AT216:AU216)</f>
        <v>671</v>
      </c>
      <c r="AT216" s="39">
        <v>503</v>
      </c>
      <c r="AU216" s="39">
        <v>839</v>
      </c>
      <c r="AV216" s="39" t="s">
        <v>652</v>
      </c>
      <c r="AW216" s="39"/>
      <c r="AX216" s="29" t="s">
        <v>13</v>
      </c>
      <c r="AY216" s="6" t="s">
        <v>515</v>
      </c>
      <c r="AZ216" s="97" t="s">
        <v>13</v>
      </c>
      <c r="BA216" s="72">
        <v>5.1849999999999996</v>
      </c>
      <c r="BB216" s="62"/>
      <c r="BC216" s="62"/>
      <c r="BD216" s="26">
        <v>432.59115600585938</v>
      </c>
      <c r="BE216" s="25" t="s">
        <v>389</v>
      </c>
      <c r="BF216" s="26">
        <f t="shared" si="86"/>
        <v>347.47232202156806</v>
      </c>
      <c r="BG216" s="26">
        <f t="shared" si="87"/>
        <v>523.12847081394489</v>
      </c>
      <c r="BH216" s="25" t="s">
        <v>517</v>
      </c>
      <c r="BI216" s="26" t="s">
        <v>430</v>
      </c>
      <c r="BJ216" s="26">
        <v>384.16372680664063</v>
      </c>
      <c r="BK216" s="26">
        <v>490.01071166992188</v>
      </c>
      <c r="BL216" s="26" t="s">
        <v>516</v>
      </c>
      <c r="BM216" s="25" t="s">
        <v>13</v>
      </c>
      <c r="BO216" s="44"/>
      <c r="CA216" s="25" t="s">
        <v>13</v>
      </c>
      <c r="CC216" s="25" t="s">
        <v>13</v>
      </c>
    </row>
    <row r="217" spans="1:81">
      <c r="A217" s="6" t="s">
        <v>337</v>
      </c>
      <c r="B217" s="26" t="s">
        <v>150</v>
      </c>
      <c r="C217" s="62">
        <v>15.98</v>
      </c>
      <c r="D217" s="62"/>
      <c r="E217" s="62"/>
      <c r="F217" s="23">
        <f t="shared" si="84"/>
        <v>333.28072768294089</v>
      </c>
      <c r="G217" s="23" t="s">
        <v>389</v>
      </c>
      <c r="H217" s="23">
        <f t="shared" si="89"/>
        <v>281.47543322445273</v>
      </c>
      <c r="I217" s="23">
        <f t="shared" si="88"/>
        <v>385.08602214142911</v>
      </c>
      <c r="J217" s="83" t="s">
        <v>403</v>
      </c>
      <c r="K217" s="23" t="s">
        <v>400</v>
      </c>
      <c r="L217" s="25">
        <v>579</v>
      </c>
      <c r="M217" s="25">
        <v>489</v>
      </c>
      <c r="N217" s="25">
        <v>669</v>
      </c>
      <c r="O217" s="25">
        <v>5813</v>
      </c>
      <c r="P217" s="22">
        <v>3346.0464076354674</v>
      </c>
      <c r="Q217" s="25" t="s">
        <v>390</v>
      </c>
      <c r="R217" s="26" t="s">
        <v>13</v>
      </c>
      <c r="S217" s="6" t="s">
        <v>639</v>
      </c>
      <c r="T217" s="44" t="s">
        <v>640</v>
      </c>
      <c r="U217" s="62">
        <v>11.188812255859375</v>
      </c>
      <c r="X217" s="26">
        <v>232.65626216259162</v>
      </c>
      <c r="Y217" s="26" t="s">
        <v>389</v>
      </c>
      <c r="Z217" s="26">
        <f t="shared" si="83"/>
        <v>199.73519999999999</v>
      </c>
      <c r="AA217" s="26">
        <f t="shared" si="83"/>
        <v>265.3956</v>
      </c>
      <c r="AB217" s="25" t="s">
        <v>542</v>
      </c>
      <c r="AC217" s="77" t="s">
        <v>400</v>
      </c>
      <c r="AD217" s="26">
        <v>199.73519999999999</v>
      </c>
      <c r="AE217" s="26">
        <v>265.3956</v>
      </c>
      <c r="AF217" s="26" t="s">
        <v>641</v>
      </c>
      <c r="AG217" s="25" t="s">
        <v>13</v>
      </c>
      <c r="AH217" s="6" t="s">
        <v>252</v>
      </c>
      <c r="AI217" s="45" t="s">
        <v>250</v>
      </c>
      <c r="AJ217" s="62">
        <v>27</v>
      </c>
      <c r="AK217" s="25">
        <v>27.1</v>
      </c>
      <c r="AL217" s="25">
        <v>26.3</v>
      </c>
      <c r="AM217" s="26">
        <v>371</v>
      </c>
      <c r="AN217" s="26" t="s">
        <v>389</v>
      </c>
      <c r="AO217" s="66">
        <f>AM217-251/2</f>
        <v>245.5</v>
      </c>
      <c r="AP217" s="100">
        <f>AM217+557/2</f>
        <v>649.5</v>
      </c>
      <c r="AQ217" s="39" t="s">
        <v>771</v>
      </c>
      <c r="AR217" s="25" t="s">
        <v>437</v>
      </c>
      <c r="AS217" s="29">
        <f t="shared" si="90"/>
        <v>394.5</v>
      </c>
      <c r="AT217" s="39">
        <v>273</v>
      </c>
      <c r="AU217" s="39">
        <v>516</v>
      </c>
      <c r="AV217" s="39" t="s">
        <v>652</v>
      </c>
      <c r="AW217" s="39"/>
      <c r="AX217" s="29" t="s">
        <v>13</v>
      </c>
      <c r="AY217" s="6" t="s">
        <v>515</v>
      </c>
      <c r="AZ217" s="97" t="s">
        <v>13</v>
      </c>
      <c r="BA217" s="72">
        <v>6.35</v>
      </c>
      <c r="BB217" s="62"/>
      <c r="BC217" s="62"/>
      <c r="BD217" s="26">
        <v>331.83544921875</v>
      </c>
      <c r="BE217" s="25" t="s">
        <v>389</v>
      </c>
      <c r="BF217" s="26">
        <f t="shared" si="86"/>
        <v>257.16113013854772</v>
      </c>
      <c r="BG217" s="26">
        <f t="shared" si="87"/>
        <v>407.6131552148716</v>
      </c>
      <c r="BH217" s="25" t="s">
        <v>517</v>
      </c>
      <c r="BI217" s="26" t="s">
        <v>430</v>
      </c>
      <c r="BJ217" s="26">
        <v>305.83056640625</v>
      </c>
      <c r="BK217" s="26">
        <v>360.857177734375</v>
      </c>
      <c r="BL217" s="26" t="s">
        <v>516</v>
      </c>
      <c r="BM217" s="25" t="s">
        <v>13</v>
      </c>
      <c r="BO217" s="44"/>
      <c r="CA217" s="25" t="s">
        <v>13</v>
      </c>
      <c r="CC217" s="25" t="s">
        <v>13</v>
      </c>
    </row>
    <row r="218" spans="1:81">
      <c r="A218" s="6" t="s">
        <v>337</v>
      </c>
      <c r="B218" s="26" t="s">
        <v>150</v>
      </c>
      <c r="C218" s="62">
        <v>16.13</v>
      </c>
      <c r="D218" s="62"/>
      <c r="E218" s="62"/>
      <c r="F218" s="23">
        <f t="shared" si="84"/>
        <v>288.69964915844139</v>
      </c>
      <c r="G218" s="23" t="s">
        <v>389</v>
      </c>
      <c r="H218" s="23">
        <f t="shared" si="89"/>
        <v>231.19684429526106</v>
      </c>
      <c r="I218" s="23">
        <f t="shared" si="88"/>
        <v>346.20245402162169</v>
      </c>
      <c r="J218" s="83" t="s">
        <v>403</v>
      </c>
      <c r="K218" s="23" t="s">
        <v>400</v>
      </c>
      <c r="L218" s="25">
        <v>487</v>
      </c>
      <c r="M218" s="25">
        <v>390</v>
      </c>
      <c r="N218" s="25">
        <v>584</v>
      </c>
      <c r="O218" s="25">
        <v>4487</v>
      </c>
      <c r="P218" s="22">
        <v>2659.949334238042</v>
      </c>
      <c r="Q218" s="25" t="s">
        <v>390</v>
      </c>
      <c r="R218" s="26" t="s">
        <v>13</v>
      </c>
      <c r="S218" s="6" t="s">
        <v>639</v>
      </c>
      <c r="T218" s="44" t="s">
        <v>640</v>
      </c>
      <c r="U218" s="62">
        <v>11.518028259277344</v>
      </c>
      <c r="X218" s="26">
        <v>286.79184815072938</v>
      </c>
      <c r="Y218" s="26" t="s">
        <v>389</v>
      </c>
      <c r="Z218" s="26">
        <f t="shared" si="83"/>
        <v>252.2595</v>
      </c>
      <c r="AA218" s="26">
        <f t="shared" si="83"/>
        <v>325.78089999999997</v>
      </c>
      <c r="AB218" s="25" t="s">
        <v>542</v>
      </c>
      <c r="AC218" s="77" t="s">
        <v>400</v>
      </c>
      <c r="AD218" s="26">
        <v>252.2595</v>
      </c>
      <c r="AE218" s="26">
        <v>325.78089999999997</v>
      </c>
      <c r="AF218" s="26" t="s">
        <v>641</v>
      </c>
      <c r="AG218" s="25" t="s">
        <v>13</v>
      </c>
      <c r="AH218" s="6" t="s">
        <v>253</v>
      </c>
      <c r="AI218" s="45" t="s">
        <v>250</v>
      </c>
      <c r="AJ218" s="62">
        <v>25</v>
      </c>
      <c r="AK218" s="25">
        <v>25.25</v>
      </c>
      <c r="AL218" s="25">
        <v>23</v>
      </c>
      <c r="AM218" s="26">
        <v>291</v>
      </c>
      <c r="AN218" s="26" t="s">
        <v>389</v>
      </c>
      <c r="AO218" s="66">
        <f>AM218-192/2</f>
        <v>195</v>
      </c>
      <c r="AP218" s="100">
        <f>AM218+326/2</f>
        <v>454</v>
      </c>
      <c r="AQ218" s="39" t="s">
        <v>771</v>
      </c>
      <c r="AR218" s="25" t="s">
        <v>437</v>
      </c>
      <c r="AS218" s="29">
        <f t="shared" si="90"/>
        <v>453</v>
      </c>
      <c r="AT218" s="39">
        <v>287</v>
      </c>
      <c r="AU218" s="39">
        <v>619</v>
      </c>
      <c r="AV218" s="39" t="s">
        <v>652</v>
      </c>
      <c r="AW218" s="39"/>
      <c r="AX218" s="29" t="s">
        <v>13</v>
      </c>
      <c r="AY218" s="6" t="s">
        <v>878</v>
      </c>
      <c r="AZ218" s="97" t="s">
        <v>13</v>
      </c>
      <c r="BA218" s="25">
        <v>36.9</v>
      </c>
      <c r="BB218" s="62">
        <v>37.5</v>
      </c>
      <c r="BC218" s="62">
        <v>36.299999999999997</v>
      </c>
      <c r="BD218" s="26">
        <v>805.11003214300808</v>
      </c>
      <c r="BE218" s="25" t="s">
        <v>239</v>
      </c>
      <c r="BF218" s="26">
        <f>BD218-0.5*(BD218-BJ218)</f>
        <v>712.29552928666749</v>
      </c>
      <c r="BG218" s="26">
        <f>BD218+0.5*(BK218-BD218)</f>
        <v>921.46793872501905</v>
      </c>
      <c r="BH218" s="83" t="s">
        <v>738</v>
      </c>
      <c r="BI218" s="25" t="s">
        <v>430</v>
      </c>
      <c r="BJ218" s="26">
        <v>619.48102643032701</v>
      </c>
      <c r="BK218" s="26">
        <v>1037.82584530703</v>
      </c>
      <c r="BL218" s="22" t="s">
        <v>533</v>
      </c>
      <c r="BM218" s="25" t="s">
        <v>13</v>
      </c>
      <c r="BO218" s="44"/>
      <c r="CA218" s="25" t="s">
        <v>13</v>
      </c>
      <c r="CC218" s="25" t="s">
        <v>13</v>
      </c>
    </row>
    <row r="219" spans="1:81">
      <c r="A219" s="6" t="s">
        <v>71</v>
      </c>
      <c r="B219" s="26" t="s">
        <v>151</v>
      </c>
      <c r="C219" s="68">
        <f>AVERAGE(D219:E219)</f>
        <v>95.25</v>
      </c>
      <c r="D219" s="62">
        <v>100.5</v>
      </c>
      <c r="E219" s="62">
        <v>90</v>
      </c>
      <c r="F219" s="23">
        <f t="shared" si="84"/>
        <v>1307.2</v>
      </c>
      <c r="G219" s="23" t="s">
        <v>389</v>
      </c>
      <c r="H219" s="23">
        <f t="shared" ref="H219:H282" si="91">F219*0.5</f>
        <v>653.6</v>
      </c>
      <c r="I219" s="23">
        <f>F219*2</f>
        <v>2614.4</v>
      </c>
      <c r="J219" s="23" t="s">
        <v>480</v>
      </c>
      <c r="K219" s="23" t="s">
        <v>400</v>
      </c>
      <c r="L219" s="25">
        <v>3268</v>
      </c>
      <c r="M219" s="25">
        <f>L219-1380</f>
        <v>1888</v>
      </c>
      <c r="N219" s="25">
        <f>L219+1380</f>
        <v>4648</v>
      </c>
      <c r="O219" s="25">
        <v>5000</v>
      </c>
      <c r="P219" s="22">
        <v>2000</v>
      </c>
      <c r="Q219" s="26"/>
      <c r="R219" s="26" t="s">
        <v>13</v>
      </c>
      <c r="S219" s="6" t="s">
        <v>639</v>
      </c>
      <c r="T219" s="44" t="s">
        <v>640</v>
      </c>
      <c r="U219" s="62">
        <v>11.578588485717773</v>
      </c>
      <c r="X219" s="26">
        <v>268.38867609237064</v>
      </c>
      <c r="Y219" s="26" t="s">
        <v>389</v>
      </c>
      <c r="Z219" s="26">
        <f t="shared" si="83"/>
        <v>235.59880000000001</v>
      </c>
      <c r="AA219" s="26">
        <f t="shared" si="83"/>
        <v>303.89620000000002</v>
      </c>
      <c r="AB219" s="25" t="s">
        <v>542</v>
      </c>
      <c r="AC219" s="77" t="s">
        <v>400</v>
      </c>
      <c r="AD219" s="26">
        <v>235.59880000000001</v>
      </c>
      <c r="AE219" s="26">
        <v>303.89620000000002</v>
      </c>
      <c r="AF219" s="26" t="s">
        <v>641</v>
      </c>
      <c r="AG219" s="25" t="s">
        <v>13</v>
      </c>
      <c r="AH219" s="6" t="s">
        <v>252</v>
      </c>
      <c r="AI219" s="45" t="s">
        <v>250</v>
      </c>
      <c r="AJ219" s="62">
        <v>24</v>
      </c>
      <c r="AK219" s="25">
        <v>25.25</v>
      </c>
      <c r="AL219" s="25">
        <v>23</v>
      </c>
      <c r="AM219" s="26">
        <v>546</v>
      </c>
      <c r="AN219" s="26" t="s">
        <v>389</v>
      </c>
      <c r="AO219" s="66">
        <f>AM219-346/2</f>
        <v>373</v>
      </c>
      <c r="AP219" s="100">
        <f>AM219+454/2</f>
        <v>773</v>
      </c>
      <c r="AQ219" s="39" t="s">
        <v>771</v>
      </c>
      <c r="AR219" s="25" t="s">
        <v>437</v>
      </c>
      <c r="AS219" s="29">
        <f t="shared" si="90"/>
        <v>434</v>
      </c>
      <c r="AT219" s="39">
        <v>257</v>
      </c>
      <c r="AU219" s="39">
        <v>611</v>
      </c>
      <c r="AV219" s="39" t="s">
        <v>652</v>
      </c>
      <c r="AW219" s="39"/>
      <c r="AX219" s="29" t="s">
        <v>13</v>
      </c>
      <c r="AY219" s="6" t="s">
        <v>878</v>
      </c>
      <c r="AZ219" s="97" t="s">
        <v>13</v>
      </c>
      <c r="BA219" s="25">
        <v>40.299999999999997</v>
      </c>
      <c r="BB219" s="62">
        <v>40.6</v>
      </c>
      <c r="BC219" s="62">
        <v>40</v>
      </c>
      <c r="BD219" s="26">
        <v>681.22779745217304</v>
      </c>
      <c r="BE219" s="25" t="s">
        <v>239</v>
      </c>
      <c r="BF219" s="26">
        <f>BD219-0.5*(BD219-BJ219)</f>
        <v>620.30447133314055</v>
      </c>
      <c r="BG219" s="26">
        <f>BD219+0.5*(BK219-BD219)</f>
        <v>755.58169981660251</v>
      </c>
      <c r="BH219" s="83" t="s">
        <v>738</v>
      </c>
      <c r="BI219" s="25" t="s">
        <v>430</v>
      </c>
      <c r="BJ219" s="26">
        <v>559.38114521410796</v>
      </c>
      <c r="BK219" s="26">
        <v>829.93560218103198</v>
      </c>
      <c r="BL219" s="22" t="s">
        <v>533</v>
      </c>
      <c r="BM219" s="25" t="s">
        <v>13</v>
      </c>
      <c r="BO219" s="44"/>
      <c r="CA219" s="25" t="s">
        <v>13</v>
      </c>
      <c r="CC219" s="25" t="s">
        <v>13</v>
      </c>
    </row>
    <row r="220" spans="1:81">
      <c r="A220" s="6" t="s">
        <v>71</v>
      </c>
      <c r="B220" s="26" t="s">
        <v>152</v>
      </c>
      <c r="C220" s="68">
        <f>AVERAGE(D220:E220)</f>
        <v>113.4</v>
      </c>
      <c r="D220" s="68">
        <v>126.3</v>
      </c>
      <c r="E220" s="68">
        <v>100.5</v>
      </c>
      <c r="F220" s="23">
        <f t="shared" si="84"/>
        <v>591.20000000000005</v>
      </c>
      <c r="G220" s="23" t="s">
        <v>389</v>
      </c>
      <c r="H220" s="23">
        <f t="shared" si="91"/>
        <v>295.60000000000002</v>
      </c>
      <c r="I220" s="23">
        <f>F220*2</f>
        <v>1182.4000000000001</v>
      </c>
      <c r="J220" s="23" t="s">
        <v>480</v>
      </c>
      <c r="K220" s="23" t="s">
        <v>400</v>
      </c>
      <c r="L220" s="25">
        <v>1478</v>
      </c>
      <c r="M220" s="25">
        <f>L220-1060</f>
        <v>418</v>
      </c>
      <c r="N220" s="25">
        <f>L220+1060</f>
        <v>2538</v>
      </c>
      <c r="O220" s="26">
        <v>5000</v>
      </c>
      <c r="P220" s="22">
        <v>2000</v>
      </c>
      <c r="Q220" s="26"/>
      <c r="R220" s="26" t="s">
        <v>13</v>
      </c>
      <c r="S220" s="6" t="s">
        <v>639</v>
      </c>
      <c r="T220" s="44" t="s">
        <v>640</v>
      </c>
      <c r="U220" s="62">
        <v>11.733025550842285</v>
      </c>
      <c r="X220" s="26">
        <v>280.40070825218839</v>
      </c>
      <c r="Y220" s="26" t="s">
        <v>389</v>
      </c>
      <c r="Z220" s="26">
        <f t="shared" si="83"/>
        <v>244.22659999999999</v>
      </c>
      <c r="AA220" s="26">
        <f t="shared" si="83"/>
        <v>318.83530000000002</v>
      </c>
      <c r="AB220" s="25" t="s">
        <v>542</v>
      </c>
      <c r="AC220" s="77" t="s">
        <v>400</v>
      </c>
      <c r="AD220" s="26">
        <v>244.22659999999999</v>
      </c>
      <c r="AE220" s="26">
        <v>318.83530000000002</v>
      </c>
      <c r="AF220" s="26" t="s">
        <v>641</v>
      </c>
      <c r="AG220" s="25" t="s">
        <v>13</v>
      </c>
      <c r="AH220" s="6" t="s">
        <v>253</v>
      </c>
      <c r="AI220" s="45" t="s">
        <v>250</v>
      </c>
      <c r="AJ220" s="25">
        <v>17.399999999999999</v>
      </c>
      <c r="AK220" s="25">
        <v>17.600000000000001</v>
      </c>
      <c r="AL220" s="25">
        <v>17.2</v>
      </c>
      <c r="AM220" s="26">
        <v>436</v>
      </c>
      <c r="AN220" s="26" t="s">
        <v>389</v>
      </c>
      <c r="AO220" s="66">
        <f>AM220-281/2</f>
        <v>295.5</v>
      </c>
      <c r="AP220" s="100">
        <f>AM220+415/2</f>
        <v>643.5</v>
      </c>
      <c r="AQ220" s="39" t="s">
        <v>771</v>
      </c>
      <c r="AR220" s="25" t="s">
        <v>437</v>
      </c>
      <c r="AS220" s="29">
        <f t="shared" si="90"/>
        <v>402</v>
      </c>
      <c r="AT220" s="39">
        <v>238</v>
      </c>
      <c r="AU220" s="39">
        <v>566</v>
      </c>
      <c r="AV220" s="39" t="s">
        <v>652</v>
      </c>
      <c r="AW220" s="39"/>
      <c r="AX220" s="29" t="s">
        <v>13</v>
      </c>
      <c r="AY220" s="6" t="s">
        <v>878</v>
      </c>
      <c r="AZ220" s="97" t="s">
        <v>13</v>
      </c>
      <c r="BA220" s="25">
        <v>44.4</v>
      </c>
      <c r="BB220" s="62">
        <v>44.5</v>
      </c>
      <c r="BC220" s="62">
        <v>44</v>
      </c>
      <c r="BD220" s="26">
        <v>966.51843113118593</v>
      </c>
      <c r="BE220" s="25" t="s">
        <v>239</v>
      </c>
      <c r="BF220" s="26">
        <f>BD220-0.5*(BD220-BJ220)</f>
        <v>878.34086983993302</v>
      </c>
      <c r="BG220" s="26">
        <f>BD220+0.5*(BK220-BD220)</f>
        <v>1064.7013243820429</v>
      </c>
      <c r="BH220" s="83" t="s">
        <v>738</v>
      </c>
      <c r="BI220" s="25" t="s">
        <v>430</v>
      </c>
      <c r="BJ220" s="26">
        <v>790.16330854867999</v>
      </c>
      <c r="BK220" s="26">
        <v>1162.8842176329001</v>
      </c>
      <c r="BL220" s="22" t="s">
        <v>533</v>
      </c>
      <c r="BM220" s="25" t="s">
        <v>13</v>
      </c>
      <c r="BO220" s="44"/>
      <c r="CA220" s="25" t="s">
        <v>13</v>
      </c>
      <c r="CC220" s="25" t="s">
        <v>13</v>
      </c>
    </row>
    <row r="221" spans="1:81">
      <c r="A221" s="6" t="s">
        <v>76</v>
      </c>
      <c r="B221" s="26" t="s">
        <v>153</v>
      </c>
      <c r="C221" s="68">
        <v>200.36259167635265</v>
      </c>
      <c r="D221" s="68"/>
      <c r="E221" s="68"/>
      <c r="F221" s="23">
        <f t="shared" si="84"/>
        <v>1664</v>
      </c>
      <c r="G221" s="23" t="s">
        <v>389</v>
      </c>
      <c r="H221" s="23">
        <f t="shared" si="91"/>
        <v>832</v>
      </c>
      <c r="I221" s="23">
        <f>F221*2</f>
        <v>3328</v>
      </c>
      <c r="J221" s="23" t="s">
        <v>480</v>
      </c>
      <c r="K221" s="23" t="s">
        <v>400</v>
      </c>
      <c r="L221" s="28">
        <v>2496</v>
      </c>
      <c r="M221" s="28">
        <v>1664.0832</v>
      </c>
      <c r="N221" s="26">
        <v>3327.9168</v>
      </c>
      <c r="O221" s="26">
        <v>3000</v>
      </c>
      <c r="P221" s="22">
        <v>2000</v>
      </c>
      <c r="Q221" s="26" t="s">
        <v>345</v>
      </c>
      <c r="R221" s="26" t="s">
        <v>13</v>
      </c>
      <c r="S221" s="6" t="s">
        <v>639</v>
      </c>
      <c r="T221" s="44" t="s">
        <v>640</v>
      </c>
      <c r="U221" s="62">
        <v>11.964973449707031</v>
      </c>
      <c r="X221" s="26">
        <v>275.27467262786865</v>
      </c>
      <c r="Y221" s="26" t="s">
        <v>389</v>
      </c>
      <c r="Z221" s="26">
        <f t="shared" si="83"/>
        <v>241.2097</v>
      </c>
      <c r="AA221" s="26">
        <f t="shared" si="83"/>
        <v>311.82190000000003</v>
      </c>
      <c r="AB221" s="25" t="s">
        <v>542</v>
      </c>
      <c r="AC221" s="77" t="s">
        <v>400</v>
      </c>
      <c r="AD221" s="26">
        <v>241.2097</v>
      </c>
      <c r="AE221" s="26">
        <v>311.82190000000003</v>
      </c>
      <c r="AF221" s="26" t="s">
        <v>641</v>
      </c>
      <c r="AG221" s="25" t="s">
        <v>13</v>
      </c>
      <c r="AH221" s="6" t="s">
        <v>291</v>
      </c>
      <c r="AI221" s="45" t="s">
        <v>292</v>
      </c>
      <c r="AJ221" s="62">
        <v>33</v>
      </c>
      <c r="AK221" s="25">
        <v>33.9</v>
      </c>
      <c r="AL221" s="25">
        <v>32</v>
      </c>
      <c r="AM221" s="26">
        <v>333</v>
      </c>
      <c r="AN221" s="26" t="s">
        <v>389</v>
      </c>
      <c r="AO221" s="66">
        <f>AM221-220/2</f>
        <v>223</v>
      </c>
      <c r="AP221" s="100">
        <f>AM221+361/2</f>
        <v>513.5</v>
      </c>
      <c r="AQ221" s="39" t="s">
        <v>771</v>
      </c>
      <c r="AR221" s="25" t="s">
        <v>437</v>
      </c>
      <c r="AS221" s="29">
        <f t="shared" si="90"/>
        <v>383.5</v>
      </c>
      <c r="AT221" s="39">
        <v>240</v>
      </c>
      <c r="AU221" s="39">
        <v>527</v>
      </c>
      <c r="AV221" s="39" t="s">
        <v>652</v>
      </c>
      <c r="AW221" s="39"/>
      <c r="AX221" s="29" t="s">
        <v>13</v>
      </c>
      <c r="AY221" s="6" t="s">
        <v>878</v>
      </c>
      <c r="AZ221" s="97" t="s">
        <v>13</v>
      </c>
      <c r="BA221" s="25">
        <v>45.6</v>
      </c>
      <c r="BB221" s="62">
        <v>45.9</v>
      </c>
      <c r="BC221" s="62">
        <v>45.5</v>
      </c>
      <c r="BD221" s="26">
        <v>1117.06817577472</v>
      </c>
      <c r="BE221" s="25" t="s">
        <v>239</v>
      </c>
      <c r="BF221" s="26">
        <f>BD221-0.5*(BD221-BJ221)</f>
        <v>1008.288229556947</v>
      </c>
      <c r="BG221" s="26">
        <f>BD221+0.5*(BK221-BD221)</f>
        <v>1235.1254549904349</v>
      </c>
      <c r="BH221" s="83" t="s">
        <v>738</v>
      </c>
      <c r="BI221" s="25" t="s">
        <v>430</v>
      </c>
      <c r="BJ221" s="26">
        <v>899.508283339174</v>
      </c>
      <c r="BK221" s="26">
        <v>1353.1827342061499</v>
      </c>
      <c r="BL221" s="22" t="s">
        <v>533</v>
      </c>
      <c r="BM221" s="25" t="s">
        <v>13</v>
      </c>
      <c r="BO221" s="44"/>
      <c r="CA221" s="25" t="s">
        <v>13</v>
      </c>
      <c r="CC221" s="25" t="s">
        <v>13</v>
      </c>
    </row>
    <row r="222" spans="1:81">
      <c r="A222" s="6" t="s">
        <v>76</v>
      </c>
      <c r="B222" s="26" t="s">
        <v>153</v>
      </c>
      <c r="C222" s="68">
        <v>200.47782643891074</v>
      </c>
      <c r="D222" s="68"/>
      <c r="E222" s="68"/>
      <c r="F222" s="23">
        <f t="shared" si="84"/>
        <v>2087.3333333333335</v>
      </c>
      <c r="G222" s="23" t="s">
        <v>389</v>
      </c>
      <c r="H222" s="23">
        <f t="shared" si="91"/>
        <v>1043.6666666666667</v>
      </c>
      <c r="I222" s="23">
        <f>F222*2</f>
        <v>4174.666666666667</v>
      </c>
      <c r="J222" s="23" t="s">
        <v>480</v>
      </c>
      <c r="K222" s="23" t="s">
        <v>400</v>
      </c>
      <c r="L222" s="28">
        <v>3131</v>
      </c>
      <c r="M222" s="28">
        <v>2087.4376999999999</v>
      </c>
      <c r="N222" s="26">
        <v>4174.5622999999996</v>
      </c>
      <c r="O222" s="26">
        <v>3000</v>
      </c>
      <c r="P222" s="22">
        <v>2000</v>
      </c>
      <c r="Q222" s="26" t="s">
        <v>345</v>
      </c>
      <c r="R222" s="26" t="s">
        <v>13</v>
      </c>
      <c r="S222" s="6" t="s">
        <v>639</v>
      </c>
      <c r="T222" s="44" t="s">
        <v>640</v>
      </c>
      <c r="U222" s="62">
        <v>12.037405967712402</v>
      </c>
      <c r="X222" s="26">
        <v>314.19612053106312</v>
      </c>
      <c r="Y222" s="26" t="s">
        <v>389</v>
      </c>
      <c r="Z222" s="26">
        <f t="shared" si="83"/>
        <v>275.4391</v>
      </c>
      <c r="AA222" s="26">
        <f t="shared" si="83"/>
        <v>358.34519999999998</v>
      </c>
      <c r="AB222" s="25" t="s">
        <v>542</v>
      </c>
      <c r="AC222" s="77" t="s">
        <v>400</v>
      </c>
      <c r="AD222" s="26">
        <v>275.4391</v>
      </c>
      <c r="AE222" s="26">
        <v>358.34519999999998</v>
      </c>
      <c r="AF222" s="26" t="s">
        <v>641</v>
      </c>
      <c r="AG222" s="25" t="s">
        <v>13</v>
      </c>
      <c r="AH222" s="6" t="s">
        <v>298</v>
      </c>
      <c r="AI222" s="45" t="s">
        <v>302</v>
      </c>
      <c r="AJ222" s="62">
        <f>AVERAGE(AK222:AL222)</f>
        <v>409.20000000000005</v>
      </c>
      <c r="AK222" s="62">
        <v>410.8</v>
      </c>
      <c r="AL222" s="62">
        <v>407.6</v>
      </c>
      <c r="AM222" s="26">
        <f>AS222</f>
        <v>1548</v>
      </c>
      <c r="AN222" s="26" t="s">
        <v>239</v>
      </c>
      <c r="AO222" s="26">
        <v>1091.6308053739579</v>
      </c>
      <c r="AP222" s="29">
        <v>2540.3291862761334</v>
      </c>
      <c r="AQ222" s="29" t="s">
        <v>425</v>
      </c>
      <c r="AR222" s="23" t="s">
        <v>400</v>
      </c>
      <c r="AS222" s="29">
        <v>1548</v>
      </c>
      <c r="AT222" s="29">
        <v>800</v>
      </c>
      <c r="AU222" s="29">
        <v>5644</v>
      </c>
      <c r="AV222" s="39" t="s">
        <v>651</v>
      </c>
      <c r="AW222" s="39"/>
      <c r="AX222" s="29" t="s">
        <v>13</v>
      </c>
      <c r="AY222" s="6" t="s">
        <v>878</v>
      </c>
      <c r="AZ222" s="97" t="s">
        <v>13</v>
      </c>
      <c r="BA222" s="25">
        <v>53.2</v>
      </c>
      <c r="BB222" s="62">
        <v>53.6</v>
      </c>
      <c r="BC222" s="62">
        <v>52.8</v>
      </c>
      <c r="BD222" s="26">
        <v>1431.07473536104</v>
      </c>
      <c r="BE222" s="25" t="s">
        <v>239</v>
      </c>
      <c r="BF222" s="26">
        <f>BD222-0.5*(BD222-BJ222)</f>
        <v>1297.07766718945</v>
      </c>
      <c r="BG222" s="26">
        <f>BD222+0.5*(BK222-BD222)</f>
        <v>1598.52940269128</v>
      </c>
      <c r="BH222" s="83" t="s">
        <v>738</v>
      </c>
      <c r="BI222" s="25" t="s">
        <v>430</v>
      </c>
      <c r="BJ222" s="26">
        <v>1163.0805990178601</v>
      </c>
      <c r="BK222" s="26">
        <v>1765.98407002152</v>
      </c>
      <c r="BL222" s="22" t="s">
        <v>533</v>
      </c>
      <c r="BM222" s="25" t="s">
        <v>13</v>
      </c>
      <c r="BO222" s="44"/>
      <c r="CA222" s="25" t="s">
        <v>13</v>
      </c>
      <c r="CC222" s="25" t="s">
        <v>13</v>
      </c>
    </row>
    <row r="223" spans="1:81">
      <c r="A223" s="6" t="s">
        <v>76</v>
      </c>
      <c r="B223" s="26" t="s">
        <v>153</v>
      </c>
      <c r="C223" s="68">
        <v>200.90624395464732</v>
      </c>
      <c r="D223" s="68"/>
      <c r="E223" s="68"/>
      <c r="F223" s="23">
        <f t="shared" si="84"/>
        <v>3515.3333333333335</v>
      </c>
      <c r="G223" s="23" t="s">
        <v>389</v>
      </c>
      <c r="H223" s="23">
        <f t="shared" si="91"/>
        <v>1757.6666666666667</v>
      </c>
      <c r="I223" s="23">
        <f t="shared" ref="I223:I252" si="92">F223*2</f>
        <v>7030.666666666667</v>
      </c>
      <c r="J223" s="23" t="s">
        <v>480</v>
      </c>
      <c r="K223" s="23" t="s">
        <v>400</v>
      </c>
      <c r="L223" s="28">
        <v>5273</v>
      </c>
      <c r="M223" s="28">
        <v>3515.5091000000002</v>
      </c>
      <c r="N223" s="26">
        <v>7030.4908999999998</v>
      </c>
      <c r="O223" s="26">
        <v>3000</v>
      </c>
      <c r="P223" s="22">
        <v>2000</v>
      </c>
      <c r="Q223" s="26" t="s">
        <v>345</v>
      </c>
      <c r="R223" s="26" t="s">
        <v>13</v>
      </c>
      <c r="S223" s="6" t="s">
        <v>639</v>
      </c>
      <c r="T223" s="44" t="s">
        <v>640</v>
      </c>
      <c r="U223" s="62">
        <v>12.107739448547363</v>
      </c>
      <c r="X223" s="26">
        <v>266.27727170929961</v>
      </c>
      <c r="Y223" s="26" t="s">
        <v>389</v>
      </c>
      <c r="Z223" s="26">
        <f t="shared" si="83"/>
        <v>235.0985</v>
      </c>
      <c r="AA223" s="26">
        <f t="shared" si="83"/>
        <v>300.5652</v>
      </c>
      <c r="AB223" s="25" t="s">
        <v>542</v>
      </c>
      <c r="AC223" s="77" t="s">
        <v>400</v>
      </c>
      <c r="AD223" s="26">
        <v>235.0985</v>
      </c>
      <c r="AE223" s="26">
        <v>300.5652</v>
      </c>
      <c r="AF223" s="26" t="s">
        <v>641</v>
      </c>
      <c r="AG223" s="25" t="s">
        <v>13</v>
      </c>
      <c r="AH223" s="6" t="s">
        <v>298</v>
      </c>
      <c r="AI223" s="45" t="s">
        <v>303</v>
      </c>
      <c r="AJ223" s="62">
        <f t="shared" ref="AJ223:AJ243" si="93">AVERAGE(AK223:AL223)</f>
        <v>317.5</v>
      </c>
      <c r="AK223" s="62">
        <v>318</v>
      </c>
      <c r="AL223" s="62">
        <v>317</v>
      </c>
      <c r="AM223" s="26">
        <f t="shared" ref="AM223:AM236" si="94">AS223</f>
        <v>332</v>
      </c>
      <c r="AN223" s="26" t="s">
        <v>239</v>
      </c>
      <c r="AO223" s="26">
        <v>239.30517259120361</v>
      </c>
      <c r="AP223" s="29">
        <v>470.54028988804419</v>
      </c>
      <c r="AQ223" s="29" t="s">
        <v>425</v>
      </c>
      <c r="AR223" s="23" t="s">
        <v>400</v>
      </c>
      <c r="AS223" s="29">
        <v>332</v>
      </c>
      <c r="AT223" s="29">
        <v>163</v>
      </c>
      <c r="AU223" s="29">
        <v>678</v>
      </c>
      <c r="AV223" s="39" t="s">
        <v>651</v>
      </c>
      <c r="AW223" s="39"/>
      <c r="AX223" s="29" t="s">
        <v>13</v>
      </c>
      <c r="AY223" s="6" t="s">
        <v>844</v>
      </c>
      <c r="AZ223" s="97" t="s">
        <v>13</v>
      </c>
      <c r="BA223" s="72">
        <v>1.7000000000000001E-2</v>
      </c>
      <c r="BB223" s="62"/>
      <c r="BC223" s="62"/>
      <c r="BD223" s="26">
        <v>244.29319999999998</v>
      </c>
      <c r="BE223" s="25" t="s">
        <v>239</v>
      </c>
      <c r="BF223" s="29">
        <f>BJ223</f>
        <v>223.13829999999999</v>
      </c>
      <c r="BG223" s="29">
        <f>BK223</f>
        <v>265.91640000000001</v>
      </c>
      <c r="BH223" s="29" t="s">
        <v>542</v>
      </c>
      <c r="BI223" s="23" t="s">
        <v>419</v>
      </c>
      <c r="BJ223" s="26">
        <v>223.13829999999999</v>
      </c>
      <c r="BK223" s="26">
        <v>265.91640000000001</v>
      </c>
      <c r="BL223" s="39" t="s">
        <v>840</v>
      </c>
      <c r="BM223" s="25" t="s">
        <v>13</v>
      </c>
      <c r="CA223" s="25" t="s">
        <v>13</v>
      </c>
      <c r="CC223" s="25" t="s">
        <v>13</v>
      </c>
    </row>
    <row r="224" spans="1:81">
      <c r="A224" s="6" t="s">
        <v>76</v>
      </c>
      <c r="B224" s="26" t="s">
        <v>153</v>
      </c>
      <c r="C224" s="68">
        <v>200.90624395464732</v>
      </c>
      <c r="D224" s="68"/>
      <c r="E224" s="68"/>
      <c r="F224" s="23">
        <f t="shared" si="84"/>
        <v>3294</v>
      </c>
      <c r="G224" s="23" t="s">
        <v>389</v>
      </c>
      <c r="H224" s="23">
        <f t="shared" si="91"/>
        <v>1647</v>
      </c>
      <c r="I224" s="23">
        <f t="shared" si="92"/>
        <v>6588</v>
      </c>
      <c r="J224" s="23" t="s">
        <v>480</v>
      </c>
      <c r="K224" s="23" t="s">
        <v>400</v>
      </c>
      <c r="L224" s="28">
        <v>4941</v>
      </c>
      <c r="M224" s="28">
        <v>3290.1651000000002</v>
      </c>
      <c r="N224" s="26">
        <v>6591.8348999999998</v>
      </c>
      <c r="O224" s="26">
        <v>3000</v>
      </c>
      <c r="P224" s="22">
        <v>2000</v>
      </c>
      <c r="Q224" s="26" t="s">
        <v>345</v>
      </c>
      <c r="R224" s="26" t="s">
        <v>13</v>
      </c>
      <c r="S224" s="6" t="s">
        <v>639</v>
      </c>
      <c r="T224" s="44" t="s">
        <v>640</v>
      </c>
      <c r="U224" s="62">
        <v>12.185091972351074</v>
      </c>
      <c r="X224" s="26">
        <v>285.37727744131718</v>
      </c>
      <c r="Y224" s="26" t="s">
        <v>389</v>
      </c>
      <c r="Z224" s="26">
        <f t="shared" si="83"/>
        <v>250.8253</v>
      </c>
      <c r="AA224" s="26">
        <f t="shared" si="83"/>
        <v>323.17559999999997</v>
      </c>
      <c r="AB224" s="25" t="s">
        <v>542</v>
      </c>
      <c r="AC224" s="77" t="s">
        <v>400</v>
      </c>
      <c r="AD224" s="26">
        <v>250.8253</v>
      </c>
      <c r="AE224" s="26">
        <v>323.17559999999997</v>
      </c>
      <c r="AF224" s="26" t="s">
        <v>641</v>
      </c>
      <c r="AG224" s="25" t="s">
        <v>13</v>
      </c>
      <c r="AH224" s="6" t="s">
        <v>298</v>
      </c>
      <c r="AI224" s="45" t="s">
        <v>304</v>
      </c>
      <c r="AJ224" s="62">
        <f t="shared" si="93"/>
        <v>311.04999999999995</v>
      </c>
      <c r="AK224" s="62">
        <v>323.2</v>
      </c>
      <c r="AL224" s="62">
        <v>298.89999999999998</v>
      </c>
      <c r="AM224" s="26">
        <f t="shared" si="94"/>
        <v>340</v>
      </c>
      <c r="AN224" s="26" t="s">
        <v>239</v>
      </c>
      <c r="AO224" s="26">
        <v>236.81033001855707</v>
      </c>
      <c r="AP224" s="29">
        <v>488.01817109707281</v>
      </c>
      <c r="AQ224" s="29" t="s">
        <v>425</v>
      </c>
      <c r="AR224" s="23" t="s">
        <v>400</v>
      </c>
      <c r="AS224" s="29">
        <v>340</v>
      </c>
      <c r="AT224" s="29">
        <v>155</v>
      </c>
      <c r="AU224" s="29">
        <v>733</v>
      </c>
      <c r="AV224" s="39" t="s">
        <v>651</v>
      </c>
      <c r="AW224" s="39"/>
      <c r="AX224" s="29" t="s">
        <v>13</v>
      </c>
      <c r="AY224" s="6" t="s">
        <v>844</v>
      </c>
      <c r="AZ224" s="97" t="s">
        <v>13</v>
      </c>
      <c r="BA224" s="72">
        <v>0.55609310000000001</v>
      </c>
      <c r="BB224" s="62"/>
      <c r="BC224" s="62"/>
      <c r="BD224" s="26">
        <v>269.3503</v>
      </c>
      <c r="BE224" s="25" t="s">
        <v>239</v>
      </c>
      <c r="BF224" s="29">
        <f t="shared" ref="BF224:BG262" si="95">BJ224</f>
        <v>244.79359999999997</v>
      </c>
      <c r="BG224" s="29">
        <f t="shared" si="95"/>
        <v>295.73320000000001</v>
      </c>
      <c r="BH224" s="29" t="s">
        <v>542</v>
      </c>
      <c r="BI224" s="23" t="s">
        <v>419</v>
      </c>
      <c r="BJ224" s="26">
        <v>244.79359999999997</v>
      </c>
      <c r="BK224" s="26">
        <v>295.73320000000001</v>
      </c>
      <c r="BL224" s="39" t="s">
        <v>840</v>
      </c>
      <c r="BM224" s="25" t="s">
        <v>13</v>
      </c>
      <c r="CA224" s="25" t="s">
        <v>13</v>
      </c>
      <c r="CC224" s="25" t="s">
        <v>13</v>
      </c>
    </row>
    <row r="225" spans="1:81">
      <c r="A225" s="6" t="s">
        <v>76</v>
      </c>
      <c r="B225" s="26" t="s">
        <v>153</v>
      </c>
      <c r="C225" s="68">
        <v>200.91432461716821</v>
      </c>
      <c r="D225" s="68"/>
      <c r="E225" s="68"/>
      <c r="F225" s="23">
        <f t="shared" si="84"/>
        <v>1299.3333333333333</v>
      </c>
      <c r="G225" s="23" t="s">
        <v>389</v>
      </c>
      <c r="H225" s="23">
        <f t="shared" si="91"/>
        <v>649.66666666666663</v>
      </c>
      <c r="I225" s="23">
        <f t="shared" si="92"/>
        <v>2598.6666666666665</v>
      </c>
      <c r="J225" s="23" t="s">
        <v>480</v>
      </c>
      <c r="K225" s="23" t="s">
        <v>400</v>
      </c>
      <c r="L225" s="28">
        <v>1949</v>
      </c>
      <c r="M225" s="28">
        <v>1299.3983000000001</v>
      </c>
      <c r="N225" s="26">
        <v>2598.6017000000002</v>
      </c>
      <c r="O225" s="26">
        <v>3000</v>
      </c>
      <c r="P225" s="22">
        <v>2000</v>
      </c>
      <c r="Q225" s="26" t="s">
        <v>345</v>
      </c>
      <c r="R225" s="26" t="s">
        <v>13</v>
      </c>
      <c r="S225" s="6" t="s">
        <v>639</v>
      </c>
      <c r="T225" s="44" t="s">
        <v>640</v>
      </c>
      <c r="U225" s="62">
        <v>12.238071441650391</v>
      </c>
      <c r="X225" s="26">
        <v>311.34323441903865</v>
      </c>
      <c r="Y225" s="26" t="s">
        <v>389</v>
      </c>
      <c r="Z225" s="26">
        <f t="shared" si="83"/>
        <v>273.33010000000002</v>
      </c>
      <c r="AA225" s="26">
        <f t="shared" si="83"/>
        <v>354.54070000000002</v>
      </c>
      <c r="AB225" s="25" t="s">
        <v>542</v>
      </c>
      <c r="AC225" s="77" t="s">
        <v>400</v>
      </c>
      <c r="AD225" s="26">
        <v>273.33010000000002</v>
      </c>
      <c r="AE225" s="26">
        <v>354.54070000000002</v>
      </c>
      <c r="AF225" s="26" t="s">
        <v>641</v>
      </c>
      <c r="AG225" s="25" t="s">
        <v>13</v>
      </c>
      <c r="AH225" s="6" t="s">
        <v>298</v>
      </c>
      <c r="AI225" s="45" t="s">
        <v>305</v>
      </c>
      <c r="AJ225" s="62">
        <f t="shared" si="93"/>
        <v>316.5</v>
      </c>
      <c r="AK225" s="62">
        <v>318</v>
      </c>
      <c r="AL225" s="62">
        <v>315</v>
      </c>
      <c r="AM225" s="26">
        <f t="shared" si="94"/>
        <v>388</v>
      </c>
      <c r="AN225" s="26" t="s">
        <v>239</v>
      </c>
      <c r="AO225" s="26">
        <v>272.12632623033522</v>
      </c>
      <c r="AP225" s="29">
        <v>566.53549867907134</v>
      </c>
      <c r="AQ225" s="29" t="s">
        <v>425</v>
      </c>
      <c r="AR225" s="23" t="s">
        <v>400</v>
      </c>
      <c r="AS225" s="29">
        <v>388</v>
      </c>
      <c r="AT225" s="29">
        <v>188</v>
      </c>
      <c r="AU225" s="29">
        <v>890</v>
      </c>
      <c r="AV225" s="39" t="s">
        <v>651</v>
      </c>
      <c r="AW225" s="39"/>
      <c r="AX225" s="29" t="s">
        <v>13</v>
      </c>
      <c r="AY225" s="6" t="s">
        <v>844</v>
      </c>
      <c r="AZ225" s="97" t="s">
        <v>13</v>
      </c>
      <c r="BA225" s="72">
        <v>1.528149</v>
      </c>
      <c r="BB225" s="62"/>
      <c r="BC225" s="62"/>
      <c r="BD225" s="26">
        <v>269.37530000000004</v>
      </c>
      <c r="BE225" s="25" t="s">
        <v>239</v>
      </c>
      <c r="BF225" s="29">
        <f t="shared" si="95"/>
        <v>244.1748</v>
      </c>
      <c r="BG225" s="29">
        <f t="shared" si="95"/>
        <v>294.96129999999999</v>
      </c>
      <c r="BH225" s="29" t="s">
        <v>542</v>
      </c>
      <c r="BI225" s="23" t="s">
        <v>419</v>
      </c>
      <c r="BJ225" s="26">
        <v>244.1748</v>
      </c>
      <c r="BK225" s="26">
        <v>294.96129999999999</v>
      </c>
      <c r="BL225" s="39" t="s">
        <v>840</v>
      </c>
      <c r="BM225" s="25" t="s">
        <v>13</v>
      </c>
      <c r="BO225" s="25"/>
      <c r="CA225" s="25" t="s">
        <v>13</v>
      </c>
      <c r="CC225" s="25" t="s">
        <v>13</v>
      </c>
    </row>
    <row r="226" spans="1:81">
      <c r="A226" s="6" t="s">
        <v>76</v>
      </c>
      <c r="B226" s="26" t="s">
        <v>153</v>
      </c>
      <c r="C226" s="68">
        <v>201.02466761969171</v>
      </c>
      <c r="D226" s="68"/>
      <c r="E226" s="68"/>
      <c r="F226" s="23">
        <f t="shared" si="84"/>
        <v>1570.6666666666667</v>
      </c>
      <c r="G226" s="23" t="s">
        <v>389</v>
      </c>
      <c r="H226" s="23">
        <f t="shared" si="91"/>
        <v>785.33333333333337</v>
      </c>
      <c r="I226" s="23">
        <f t="shared" si="92"/>
        <v>3141.3333333333335</v>
      </c>
      <c r="J226" s="23" t="s">
        <v>480</v>
      </c>
      <c r="K226" s="23" t="s">
        <v>400</v>
      </c>
      <c r="L226" s="28">
        <v>2356</v>
      </c>
      <c r="M226" s="28">
        <v>1570.7452000000001</v>
      </c>
      <c r="N226" s="26">
        <v>3141.2547999999997</v>
      </c>
      <c r="O226" s="26">
        <v>3000</v>
      </c>
      <c r="P226" s="22">
        <v>2000</v>
      </c>
      <c r="Q226" s="26" t="s">
        <v>345</v>
      </c>
      <c r="R226" s="26" t="s">
        <v>13</v>
      </c>
      <c r="S226" s="6" t="s">
        <v>639</v>
      </c>
      <c r="T226" s="44" t="s">
        <v>640</v>
      </c>
      <c r="U226" s="62">
        <v>12.280227661132813</v>
      </c>
      <c r="X226" s="26">
        <v>307.38582565872679</v>
      </c>
      <c r="Y226" s="26" t="s">
        <v>389</v>
      </c>
      <c r="Z226" s="26">
        <f t="shared" si="83"/>
        <v>271.7482</v>
      </c>
      <c r="AA226" s="26">
        <f t="shared" si="83"/>
        <v>350.40960000000001</v>
      </c>
      <c r="AB226" s="25" t="s">
        <v>542</v>
      </c>
      <c r="AC226" s="77" t="s">
        <v>400</v>
      </c>
      <c r="AD226" s="26">
        <v>271.7482</v>
      </c>
      <c r="AE226" s="26">
        <v>350.40960000000001</v>
      </c>
      <c r="AF226" s="26" t="s">
        <v>641</v>
      </c>
      <c r="AG226" s="25" t="s">
        <v>13</v>
      </c>
      <c r="AH226" s="6" t="s">
        <v>298</v>
      </c>
      <c r="AI226" s="45" t="s">
        <v>306</v>
      </c>
      <c r="AJ226" s="62">
        <f t="shared" si="93"/>
        <v>277.14999999999998</v>
      </c>
      <c r="AK226" s="62">
        <v>282</v>
      </c>
      <c r="AL226" s="62">
        <v>272.3</v>
      </c>
      <c r="AM226" s="26">
        <f t="shared" si="94"/>
        <v>498</v>
      </c>
      <c r="AN226" s="26" t="s">
        <v>239</v>
      </c>
      <c r="AO226" s="26">
        <v>363.51242357722344</v>
      </c>
      <c r="AP226" s="29">
        <v>706.72459053378304</v>
      </c>
      <c r="AQ226" s="29" t="s">
        <v>425</v>
      </c>
      <c r="AR226" s="23" t="s">
        <v>400</v>
      </c>
      <c r="AS226" s="29">
        <v>498</v>
      </c>
      <c r="AT226" s="29">
        <v>265</v>
      </c>
      <c r="AU226" s="29">
        <v>1083</v>
      </c>
      <c r="AV226" s="39" t="s">
        <v>651</v>
      </c>
      <c r="AW226" s="39"/>
      <c r="AX226" s="29" t="s">
        <v>13</v>
      </c>
      <c r="AY226" s="6" t="s">
        <v>844</v>
      </c>
      <c r="AZ226" s="97" t="s">
        <v>13</v>
      </c>
      <c r="BA226" s="72">
        <v>1.8833409999999999</v>
      </c>
      <c r="BB226" s="62"/>
      <c r="BC226" s="62"/>
      <c r="BD226" s="26">
        <v>257.40359999999998</v>
      </c>
      <c r="BE226" s="25" t="s">
        <v>239</v>
      </c>
      <c r="BF226" s="29">
        <f t="shared" si="95"/>
        <v>234.7122</v>
      </c>
      <c r="BG226" s="29">
        <f t="shared" si="95"/>
        <v>281.05540000000002</v>
      </c>
      <c r="BH226" s="29" t="s">
        <v>542</v>
      </c>
      <c r="BI226" s="23" t="s">
        <v>419</v>
      </c>
      <c r="BJ226" s="26">
        <v>234.7122</v>
      </c>
      <c r="BK226" s="26">
        <v>281.05540000000002</v>
      </c>
      <c r="BL226" s="39" t="s">
        <v>840</v>
      </c>
      <c r="BM226" s="25" t="s">
        <v>13</v>
      </c>
      <c r="BO226" s="25"/>
      <c r="CA226" s="25" t="s">
        <v>13</v>
      </c>
      <c r="CC226" s="25" t="s">
        <v>13</v>
      </c>
    </row>
    <row r="227" spans="1:81">
      <c r="A227" s="6" t="s">
        <v>76</v>
      </c>
      <c r="B227" s="26" t="s">
        <v>153</v>
      </c>
      <c r="C227" s="15">
        <v>201.0743337923854</v>
      </c>
      <c r="D227" s="15"/>
      <c r="E227" s="15"/>
      <c r="F227" s="23">
        <f t="shared" si="84"/>
        <v>2472</v>
      </c>
      <c r="G227" s="23" t="s">
        <v>389</v>
      </c>
      <c r="H227" s="23">
        <f t="shared" si="91"/>
        <v>1236</v>
      </c>
      <c r="I227" s="23">
        <f t="shared" si="92"/>
        <v>4944</v>
      </c>
      <c r="J227" s="23" t="s">
        <v>480</v>
      </c>
      <c r="K227" s="23" t="s">
        <v>400</v>
      </c>
      <c r="L227" s="31">
        <v>3708</v>
      </c>
      <c r="M227" s="31">
        <v>2472.1235999999999</v>
      </c>
      <c r="N227" s="31">
        <v>4943.8764000000001</v>
      </c>
      <c r="O227" s="26">
        <v>3000</v>
      </c>
      <c r="P227" s="22">
        <v>2000</v>
      </c>
      <c r="Q227" s="26" t="s">
        <v>345</v>
      </c>
      <c r="R227" s="26" t="s">
        <v>13</v>
      </c>
      <c r="S227" s="6" t="s">
        <v>639</v>
      </c>
      <c r="T227" s="44" t="s">
        <v>640</v>
      </c>
      <c r="U227" s="62">
        <v>12.467827796936035</v>
      </c>
      <c r="X227" s="26">
        <v>329.67803920148907</v>
      </c>
      <c r="Y227" s="26" t="s">
        <v>389</v>
      </c>
      <c r="Z227" s="26">
        <f t="shared" si="83"/>
        <v>288.21969999999999</v>
      </c>
      <c r="AA227" s="26">
        <f t="shared" si="83"/>
        <v>376.28980000000001</v>
      </c>
      <c r="AB227" s="25" t="s">
        <v>542</v>
      </c>
      <c r="AC227" s="77" t="s">
        <v>400</v>
      </c>
      <c r="AD227" s="26">
        <v>288.21969999999999</v>
      </c>
      <c r="AE227" s="26">
        <v>376.28980000000001</v>
      </c>
      <c r="AF227" s="26" t="s">
        <v>641</v>
      </c>
      <c r="AG227" s="25" t="s">
        <v>13</v>
      </c>
      <c r="AH227" s="6" t="s">
        <v>298</v>
      </c>
      <c r="AI227" s="45" t="s">
        <v>308</v>
      </c>
      <c r="AJ227" s="62">
        <f t="shared" si="93"/>
        <v>219.15</v>
      </c>
      <c r="AK227" s="62">
        <v>237</v>
      </c>
      <c r="AL227" s="62">
        <v>201.3</v>
      </c>
      <c r="AM227" s="26">
        <f t="shared" si="94"/>
        <v>889</v>
      </c>
      <c r="AN227" s="26" t="s">
        <v>239</v>
      </c>
      <c r="AO227" s="26">
        <v>685.24874199070939</v>
      </c>
      <c r="AP227" s="29">
        <v>1202.6219173958475</v>
      </c>
      <c r="AQ227" s="29" t="s">
        <v>425</v>
      </c>
      <c r="AR227" s="23" t="s">
        <v>400</v>
      </c>
      <c r="AS227" s="29">
        <v>889</v>
      </c>
      <c r="AT227" s="29">
        <v>537</v>
      </c>
      <c r="AU227" s="29">
        <v>1701</v>
      </c>
      <c r="AV227" s="39" t="s">
        <v>651</v>
      </c>
      <c r="AW227" s="39"/>
      <c r="AX227" s="29" t="s">
        <v>13</v>
      </c>
      <c r="AY227" s="6" t="s">
        <v>844</v>
      </c>
      <c r="AZ227" s="97" t="s">
        <v>13</v>
      </c>
      <c r="BA227" s="72">
        <v>2.2147709999999998</v>
      </c>
      <c r="BB227" s="62"/>
      <c r="BC227" s="62"/>
      <c r="BD227" s="26">
        <v>331.47089999999997</v>
      </c>
      <c r="BE227" s="25" t="s">
        <v>239</v>
      </c>
      <c r="BF227" s="29">
        <f t="shared" si="95"/>
        <v>301.33690000000001</v>
      </c>
      <c r="BG227" s="29">
        <f t="shared" si="95"/>
        <v>363.39600000000002</v>
      </c>
      <c r="BH227" s="29" t="s">
        <v>542</v>
      </c>
      <c r="BI227" s="23" t="s">
        <v>419</v>
      </c>
      <c r="BJ227" s="26">
        <v>301.33690000000001</v>
      </c>
      <c r="BK227" s="26">
        <v>363.39600000000002</v>
      </c>
      <c r="BL227" s="39" t="s">
        <v>840</v>
      </c>
      <c r="BM227" s="25" t="s">
        <v>13</v>
      </c>
      <c r="BO227" s="25"/>
      <c r="CA227" s="25" t="s">
        <v>13</v>
      </c>
      <c r="CC227" s="25" t="s">
        <v>13</v>
      </c>
    </row>
    <row r="228" spans="1:81">
      <c r="A228" s="6" t="s">
        <v>76</v>
      </c>
      <c r="B228" s="26" t="s">
        <v>153</v>
      </c>
      <c r="C228" s="68">
        <v>201.11838032888863</v>
      </c>
      <c r="D228" s="68"/>
      <c r="E228" s="68"/>
      <c r="F228" s="23">
        <f t="shared" si="84"/>
        <v>1761.3333333333333</v>
      </c>
      <c r="G228" s="23" t="s">
        <v>389</v>
      </c>
      <c r="H228" s="23">
        <f t="shared" si="91"/>
        <v>880.66666666666663</v>
      </c>
      <c r="I228" s="23">
        <f t="shared" si="92"/>
        <v>3522.6666666666665</v>
      </c>
      <c r="J228" s="23" t="s">
        <v>480</v>
      </c>
      <c r="K228" s="23" t="s">
        <v>400</v>
      </c>
      <c r="L228" s="28">
        <v>2642</v>
      </c>
      <c r="M228" s="28">
        <v>1761.4214000000002</v>
      </c>
      <c r="N228" s="32">
        <v>3522.5785999999998</v>
      </c>
      <c r="O228" s="26">
        <v>3000</v>
      </c>
      <c r="P228" s="22">
        <v>2000</v>
      </c>
      <c r="Q228" s="26" t="s">
        <v>345</v>
      </c>
      <c r="R228" s="26" t="s">
        <v>13</v>
      </c>
      <c r="S228" s="6" t="s">
        <v>639</v>
      </c>
      <c r="T228" s="44" t="s">
        <v>640</v>
      </c>
      <c r="U228" s="62">
        <v>12.517915725708008</v>
      </c>
      <c r="X228" s="26">
        <v>259.48116192644625</v>
      </c>
      <c r="Y228" s="26" t="s">
        <v>389</v>
      </c>
      <c r="Z228" s="26">
        <f t="shared" si="83"/>
        <v>227.8982</v>
      </c>
      <c r="AA228" s="26">
        <f t="shared" si="83"/>
        <v>294.32159999999999</v>
      </c>
      <c r="AB228" s="25" t="s">
        <v>542</v>
      </c>
      <c r="AC228" s="77" t="s">
        <v>400</v>
      </c>
      <c r="AD228" s="26">
        <v>227.8982</v>
      </c>
      <c r="AE228" s="26">
        <v>294.32159999999999</v>
      </c>
      <c r="AF228" s="26" t="s">
        <v>641</v>
      </c>
      <c r="AG228" s="25" t="s">
        <v>13</v>
      </c>
      <c r="AH228" s="6" t="s">
        <v>298</v>
      </c>
      <c r="AI228" s="45" t="s">
        <v>299</v>
      </c>
      <c r="AJ228" s="62">
        <f t="shared" si="93"/>
        <v>226.5</v>
      </c>
      <c r="AK228" s="62">
        <v>237</v>
      </c>
      <c r="AL228" s="62">
        <v>216</v>
      </c>
      <c r="AM228" s="26">
        <f t="shared" si="94"/>
        <v>615</v>
      </c>
      <c r="AN228" s="26" t="s">
        <v>239</v>
      </c>
      <c r="AO228" s="26">
        <v>441.36567612457844</v>
      </c>
      <c r="AP228" s="29">
        <v>877.38337675100615</v>
      </c>
      <c r="AQ228" s="29" t="s">
        <v>425</v>
      </c>
      <c r="AR228" s="23" t="s">
        <v>400</v>
      </c>
      <c r="AS228" s="29">
        <v>615</v>
      </c>
      <c r="AT228" s="29">
        <v>330</v>
      </c>
      <c r="AU228" s="29">
        <v>1321</v>
      </c>
      <c r="AV228" s="39" t="s">
        <v>651</v>
      </c>
      <c r="AW228" s="39"/>
      <c r="AX228" s="29" t="s">
        <v>13</v>
      </c>
      <c r="AY228" s="6" t="s">
        <v>844</v>
      </c>
      <c r="AZ228" s="97" t="s">
        <v>13</v>
      </c>
      <c r="BA228" s="72">
        <v>2.5486439999999999</v>
      </c>
      <c r="BB228" s="62"/>
      <c r="BC228" s="62"/>
      <c r="BD228" s="26">
        <v>313.89029999999997</v>
      </c>
      <c r="BE228" s="25" t="s">
        <v>239</v>
      </c>
      <c r="BF228" s="29">
        <f t="shared" si="95"/>
        <v>284.86680000000001</v>
      </c>
      <c r="BG228" s="29">
        <f t="shared" si="95"/>
        <v>343.5324</v>
      </c>
      <c r="BH228" s="29" t="s">
        <v>542</v>
      </c>
      <c r="BI228" s="23" t="s">
        <v>419</v>
      </c>
      <c r="BJ228" s="26">
        <v>284.86680000000001</v>
      </c>
      <c r="BK228" s="26">
        <v>343.5324</v>
      </c>
      <c r="BL228" s="39" t="s">
        <v>840</v>
      </c>
      <c r="BM228" s="25" t="s">
        <v>13</v>
      </c>
      <c r="BO228" s="25"/>
      <c r="CA228" s="25" t="s">
        <v>13</v>
      </c>
      <c r="CC228" s="25" t="s">
        <v>13</v>
      </c>
    </row>
    <row r="229" spans="1:81">
      <c r="A229" s="6" t="s">
        <v>76</v>
      </c>
      <c r="B229" s="26" t="s">
        <v>153</v>
      </c>
      <c r="C229" s="62">
        <v>201.1629622549315</v>
      </c>
      <c r="D229" s="62"/>
      <c r="E229" s="62"/>
      <c r="F229" s="23">
        <f t="shared" si="84"/>
        <v>2306.6666666666665</v>
      </c>
      <c r="G229" s="23" t="s">
        <v>389</v>
      </c>
      <c r="H229" s="23">
        <f t="shared" si="91"/>
        <v>1153.3333333333333</v>
      </c>
      <c r="I229" s="23">
        <f t="shared" si="92"/>
        <v>4613.333333333333</v>
      </c>
      <c r="J229" s="23" t="s">
        <v>480</v>
      </c>
      <c r="K229" s="23" t="s">
        <v>400</v>
      </c>
      <c r="L229" s="26">
        <v>3460</v>
      </c>
      <c r="M229" s="26">
        <v>2306.7820000000002</v>
      </c>
      <c r="N229" s="26">
        <v>4613.2179999999998</v>
      </c>
      <c r="O229" s="26">
        <v>3000</v>
      </c>
      <c r="P229" s="22">
        <v>2000</v>
      </c>
      <c r="Q229" s="26" t="s">
        <v>345</v>
      </c>
      <c r="R229" s="26" t="s">
        <v>13</v>
      </c>
      <c r="S229" s="6" t="s">
        <v>639</v>
      </c>
      <c r="T229" s="44" t="s">
        <v>640</v>
      </c>
      <c r="U229" s="62">
        <v>12.588114738464355</v>
      </c>
      <c r="X229" s="26">
        <v>286.49066746934227</v>
      </c>
      <c r="Y229" s="26" t="s">
        <v>389</v>
      </c>
      <c r="Z229" s="26">
        <f t="shared" si="83"/>
        <v>252.4641</v>
      </c>
      <c r="AA229" s="26">
        <f t="shared" si="83"/>
        <v>324.7208</v>
      </c>
      <c r="AB229" s="25" t="s">
        <v>542</v>
      </c>
      <c r="AC229" s="77" t="s">
        <v>400</v>
      </c>
      <c r="AD229" s="26">
        <v>252.4641</v>
      </c>
      <c r="AE229" s="26">
        <v>324.7208</v>
      </c>
      <c r="AF229" s="26" t="s">
        <v>641</v>
      </c>
      <c r="AG229" s="25" t="s">
        <v>13</v>
      </c>
      <c r="AH229" s="6" t="s">
        <v>298</v>
      </c>
      <c r="AI229" s="45" t="s">
        <v>309</v>
      </c>
      <c r="AJ229" s="62">
        <f t="shared" si="93"/>
        <v>131.60000000000002</v>
      </c>
      <c r="AK229" s="62">
        <v>133.9</v>
      </c>
      <c r="AL229" s="62">
        <v>129.30000000000001</v>
      </c>
      <c r="AM229" s="26">
        <f t="shared" si="94"/>
        <v>513</v>
      </c>
      <c r="AN229" s="26" t="s">
        <v>239</v>
      </c>
      <c r="AO229" s="26">
        <v>369.91276634688643</v>
      </c>
      <c r="AP229" s="29">
        <v>736.21451527674458</v>
      </c>
      <c r="AQ229" s="29" t="s">
        <v>425</v>
      </c>
      <c r="AR229" s="23" t="s">
        <v>400</v>
      </c>
      <c r="AS229" s="29">
        <v>513</v>
      </c>
      <c r="AT229" s="29">
        <v>269</v>
      </c>
      <c r="AU229" s="29">
        <v>1165</v>
      </c>
      <c r="AV229" s="39" t="s">
        <v>651</v>
      </c>
      <c r="AW229" s="39"/>
      <c r="AX229" s="29" t="s">
        <v>13</v>
      </c>
      <c r="AY229" s="6" t="s">
        <v>844</v>
      </c>
      <c r="AZ229" s="97" t="s">
        <v>13</v>
      </c>
      <c r="BA229" s="72">
        <v>2.8815059999999999</v>
      </c>
      <c r="BB229" s="62"/>
      <c r="BC229" s="62"/>
      <c r="BD229" s="26">
        <v>269.99020000000002</v>
      </c>
      <c r="BE229" s="25" t="s">
        <v>239</v>
      </c>
      <c r="BF229" s="29">
        <f t="shared" si="95"/>
        <v>245.62479999999999</v>
      </c>
      <c r="BG229" s="29">
        <f t="shared" si="95"/>
        <v>295.53410000000002</v>
      </c>
      <c r="BH229" s="29" t="s">
        <v>542</v>
      </c>
      <c r="BI229" s="23" t="s">
        <v>419</v>
      </c>
      <c r="BJ229" s="26">
        <v>245.62479999999999</v>
      </c>
      <c r="BK229" s="26">
        <v>295.53410000000002</v>
      </c>
      <c r="BL229" s="39" t="s">
        <v>840</v>
      </c>
      <c r="BM229" s="25" t="s">
        <v>13</v>
      </c>
      <c r="BO229" s="25"/>
      <c r="CA229" s="25" t="s">
        <v>13</v>
      </c>
      <c r="CC229" s="25" t="s">
        <v>13</v>
      </c>
    </row>
    <row r="230" spans="1:81">
      <c r="A230" s="6" t="s">
        <v>76</v>
      </c>
      <c r="B230" s="26" t="s">
        <v>153</v>
      </c>
      <c r="C230" s="62">
        <v>201.19990608714139</v>
      </c>
      <c r="D230" s="62"/>
      <c r="E230" s="62"/>
      <c r="F230" s="23">
        <f t="shared" si="84"/>
        <v>2009.3333333333333</v>
      </c>
      <c r="G230" s="23" t="s">
        <v>389</v>
      </c>
      <c r="H230" s="23">
        <f t="shared" si="91"/>
        <v>1004.6666666666666</v>
      </c>
      <c r="I230" s="23">
        <f t="shared" si="92"/>
        <v>4018.6666666666665</v>
      </c>
      <c r="J230" s="23" t="s">
        <v>480</v>
      </c>
      <c r="K230" s="23" t="s">
        <v>400</v>
      </c>
      <c r="L230" s="26">
        <v>3014</v>
      </c>
      <c r="M230" s="26">
        <v>2009.4338</v>
      </c>
      <c r="N230" s="26">
        <v>4018.5662000000002</v>
      </c>
      <c r="O230" s="26">
        <v>3000</v>
      </c>
      <c r="P230" s="22">
        <v>2000</v>
      </c>
      <c r="Q230" s="26" t="s">
        <v>345</v>
      </c>
      <c r="R230" s="26" t="s">
        <v>13</v>
      </c>
      <c r="S230" s="6" t="s">
        <v>639</v>
      </c>
      <c r="T230" s="44" t="s">
        <v>640</v>
      </c>
      <c r="U230" s="62">
        <v>12.639017105102539</v>
      </c>
      <c r="X230" s="26">
        <v>283.76465084070355</v>
      </c>
      <c r="Y230" s="26" t="s">
        <v>389</v>
      </c>
      <c r="Z230" s="26">
        <f t="shared" si="83"/>
        <v>249.26679999999999</v>
      </c>
      <c r="AA230" s="26">
        <f t="shared" si="83"/>
        <v>321.04770000000002</v>
      </c>
      <c r="AB230" s="25" t="s">
        <v>542</v>
      </c>
      <c r="AC230" s="77" t="s">
        <v>400</v>
      </c>
      <c r="AD230" s="26">
        <v>249.26679999999999</v>
      </c>
      <c r="AE230" s="26">
        <v>321.04770000000002</v>
      </c>
      <c r="AF230" s="26" t="s">
        <v>641</v>
      </c>
      <c r="AG230" s="25" t="s">
        <v>13</v>
      </c>
      <c r="AH230" s="6" t="s">
        <v>298</v>
      </c>
      <c r="AI230" s="45" t="s">
        <v>300</v>
      </c>
      <c r="AJ230" s="62">
        <f t="shared" si="93"/>
        <v>106.75</v>
      </c>
      <c r="AK230" s="62">
        <v>113</v>
      </c>
      <c r="AL230" s="62">
        <v>100.5</v>
      </c>
      <c r="AM230" s="26">
        <f t="shared" si="94"/>
        <v>828</v>
      </c>
      <c r="AN230" s="26" t="s">
        <v>239</v>
      </c>
      <c r="AO230" s="26">
        <v>651.01144539601648</v>
      </c>
      <c r="AP230" s="29">
        <v>1070.4189576369258</v>
      </c>
      <c r="AQ230" s="29" t="s">
        <v>425</v>
      </c>
      <c r="AR230" s="23" t="s">
        <v>400</v>
      </c>
      <c r="AS230" s="29">
        <v>828</v>
      </c>
      <c r="AT230" s="29">
        <v>525</v>
      </c>
      <c r="AU230" s="29">
        <v>1427</v>
      </c>
      <c r="AV230" s="39" t="s">
        <v>651</v>
      </c>
      <c r="AW230" s="39"/>
      <c r="AX230" s="29" t="s">
        <v>13</v>
      </c>
      <c r="AY230" s="6" t="s">
        <v>844</v>
      </c>
      <c r="AZ230" s="97" t="s">
        <v>13</v>
      </c>
      <c r="BA230" s="72">
        <v>3.2485179999999998</v>
      </c>
      <c r="BB230" s="62"/>
      <c r="BC230" s="62"/>
      <c r="BD230" s="26">
        <v>396.46069999999997</v>
      </c>
      <c r="BE230" s="25" t="s">
        <v>239</v>
      </c>
      <c r="BF230" s="29">
        <f t="shared" si="95"/>
        <v>359.52699999999999</v>
      </c>
      <c r="BG230" s="29">
        <f t="shared" si="95"/>
        <v>434.59119999999996</v>
      </c>
      <c r="BH230" s="29" t="s">
        <v>542</v>
      </c>
      <c r="BI230" s="23" t="s">
        <v>419</v>
      </c>
      <c r="BJ230" s="26">
        <v>359.52699999999999</v>
      </c>
      <c r="BK230" s="26">
        <v>434.59119999999996</v>
      </c>
      <c r="BL230" s="39" t="s">
        <v>840</v>
      </c>
      <c r="BM230" s="25" t="s">
        <v>13</v>
      </c>
      <c r="BO230" s="25"/>
      <c r="CA230" s="25" t="s">
        <v>13</v>
      </c>
      <c r="CC230" s="25" t="s">
        <v>13</v>
      </c>
    </row>
    <row r="231" spans="1:81">
      <c r="A231" s="6" t="s">
        <v>76</v>
      </c>
      <c r="B231" s="26" t="s">
        <v>153</v>
      </c>
      <c r="C231" s="62">
        <v>201.21159868205044</v>
      </c>
      <c r="D231" s="62"/>
      <c r="E231" s="62"/>
      <c r="F231" s="23">
        <f t="shared" si="84"/>
        <v>2438</v>
      </c>
      <c r="G231" s="23" t="s">
        <v>389</v>
      </c>
      <c r="H231" s="23">
        <f t="shared" si="91"/>
        <v>1219</v>
      </c>
      <c r="I231" s="23">
        <f t="shared" si="92"/>
        <v>4876</v>
      </c>
      <c r="J231" s="23" t="s">
        <v>480</v>
      </c>
      <c r="K231" s="23" t="s">
        <v>400</v>
      </c>
      <c r="L231" s="26">
        <v>3657</v>
      </c>
      <c r="M231" s="26">
        <v>2438.1219000000001</v>
      </c>
      <c r="N231" s="26">
        <v>4875.8780999999999</v>
      </c>
      <c r="O231" s="26">
        <v>3000</v>
      </c>
      <c r="P231" s="22">
        <v>2000</v>
      </c>
      <c r="Q231" s="26" t="s">
        <v>345</v>
      </c>
      <c r="R231" s="26" t="s">
        <v>13</v>
      </c>
      <c r="S231" s="6" t="s">
        <v>639</v>
      </c>
      <c r="T231" s="44" t="s">
        <v>640</v>
      </c>
      <c r="U231" s="62">
        <v>12.690584182739258</v>
      </c>
      <c r="X231" s="26">
        <v>262.49691286785003</v>
      </c>
      <c r="Y231" s="26" t="s">
        <v>389</v>
      </c>
      <c r="Z231" s="26">
        <f t="shared" si="83"/>
        <v>227.64420000000001</v>
      </c>
      <c r="AA231" s="26">
        <f t="shared" si="83"/>
        <v>298.55369999999999</v>
      </c>
      <c r="AB231" s="25" t="s">
        <v>542</v>
      </c>
      <c r="AC231" s="77" t="s">
        <v>400</v>
      </c>
      <c r="AD231" s="26">
        <v>227.64420000000001</v>
      </c>
      <c r="AE231" s="26">
        <v>298.55369999999999</v>
      </c>
      <c r="AF231" s="26" t="s">
        <v>641</v>
      </c>
      <c r="AG231" s="25" t="s">
        <v>13</v>
      </c>
      <c r="AH231" s="6" t="s">
        <v>298</v>
      </c>
      <c r="AI231" s="45" t="s">
        <v>300</v>
      </c>
      <c r="AJ231" s="62">
        <f t="shared" si="93"/>
        <v>106.75</v>
      </c>
      <c r="AK231" s="62">
        <v>113</v>
      </c>
      <c r="AL231" s="62">
        <v>100.5</v>
      </c>
      <c r="AM231" s="26">
        <f t="shared" si="94"/>
        <v>662</v>
      </c>
      <c r="AN231" s="26" t="s">
        <v>239</v>
      </c>
      <c r="AO231" s="26">
        <v>523.40195199765697</v>
      </c>
      <c r="AP231" s="29">
        <v>860.86422063622945</v>
      </c>
      <c r="AQ231" s="29" t="s">
        <v>425</v>
      </c>
      <c r="AR231" s="23" t="s">
        <v>400</v>
      </c>
      <c r="AS231" s="29">
        <v>662</v>
      </c>
      <c r="AT231" s="29">
        <v>423</v>
      </c>
      <c r="AU231" s="29">
        <v>1139</v>
      </c>
      <c r="AV231" s="39" t="s">
        <v>651</v>
      </c>
      <c r="AW231" s="39"/>
      <c r="AX231" s="29" t="s">
        <v>13</v>
      </c>
      <c r="AY231" s="6" t="s">
        <v>844</v>
      </c>
      <c r="AZ231" s="97" t="s">
        <v>13</v>
      </c>
      <c r="BA231" s="72">
        <v>4.4242140000000001</v>
      </c>
      <c r="BB231" s="62"/>
      <c r="BC231" s="62"/>
      <c r="BD231" s="26">
        <v>300.02440000000001</v>
      </c>
      <c r="BE231" s="25" t="s">
        <v>239</v>
      </c>
      <c r="BF231" s="29">
        <f t="shared" si="95"/>
        <v>271.7373</v>
      </c>
      <c r="BG231" s="29">
        <f t="shared" si="95"/>
        <v>330.00580000000002</v>
      </c>
      <c r="BH231" s="29" t="s">
        <v>542</v>
      </c>
      <c r="BI231" s="23" t="s">
        <v>419</v>
      </c>
      <c r="BJ231" s="26">
        <v>271.7373</v>
      </c>
      <c r="BK231" s="26">
        <v>330.00580000000002</v>
      </c>
      <c r="BL231" s="39" t="s">
        <v>840</v>
      </c>
      <c r="BM231" s="25" t="s">
        <v>13</v>
      </c>
      <c r="BO231" s="25"/>
      <c r="CA231" s="25" t="s">
        <v>13</v>
      </c>
      <c r="CC231" s="25" t="s">
        <v>13</v>
      </c>
    </row>
    <row r="232" spans="1:81">
      <c r="A232" s="6" t="s">
        <v>76</v>
      </c>
      <c r="B232" s="26" t="s">
        <v>153</v>
      </c>
      <c r="C232" s="62">
        <v>201.21159868205044</v>
      </c>
      <c r="D232" s="62"/>
      <c r="E232" s="62"/>
      <c r="F232" s="23">
        <f t="shared" si="84"/>
        <v>2676.6666666666665</v>
      </c>
      <c r="G232" s="23" t="s">
        <v>389</v>
      </c>
      <c r="H232" s="23">
        <f t="shared" si="91"/>
        <v>1338.3333333333333</v>
      </c>
      <c r="I232" s="23">
        <f t="shared" si="92"/>
        <v>5353.333333333333</v>
      </c>
      <c r="J232" s="23" t="s">
        <v>480</v>
      </c>
      <c r="K232" s="23" t="s">
        <v>400</v>
      </c>
      <c r="L232" s="26">
        <v>4015</v>
      </c>
      <c r="M232" s="26">
        <v>2676.8005000000003</v>
      </c>
      <c r="N232" s="26">
        <v>5353.1994999999997</v>
      </c>
      <c r="O232" s="26">
        <v>3000</v>
      </c>
      <c r="P232" s="22">
        <v>2000</v>
      </c>
      <c r="Q232" s="26" t="s">
        <v>345</v>
      </c>
      <c r="R232" s="26" t="s">
        <v>13</v>
      </c>
      <c r="S232" s="6" t="s">
        <v>639</v>
      </c>
      <c r="T232" s="44" t="s">
        <v>640</v>
      </c>
      <c r="U232" s="62">
        <v>12.776898384094238</v>
      </c>
      <c r="X232" s="26">
        <v>291.10808443519278</v>
      </c>
      <c r="Y232" s="26" t="s">
        <v>389</v>
      </c>
      <c r="Z232" s="26">
        <f t="shared" si="83"/>
        <v>252.8878</v>
      </c>
      <c r="AA232" s="26">
        <f t="shared" si="83"/>
        <v>331.11189999999999</v>
      </c>
      <c r="AB232" s="25" t="s">
        <v>542</v>
      </c>
      <c r="AC232" s="77" t="s">
        <v>400</v>
      </c>
      <c r="AD232" s="26">
        <v>252.8878</v>
      </c>
      <c r="AE232" s="26">
        <v>331.11189999999999</v>
      </c>
      <c r="AF232" s="26" t="s">
        <v>641</v>
      </c>
      <c r="AG232" s="25" t="s">
        <v>13</v>
      </c>
      <c r="AH232" s="6" t="s">
        <v>298</v>
      </c>
      <c r="AI232" s="45" t="s">
        <v>307</v>
      </c>
      <c r="AJ232" s="62">
        <f t="shared" si="93"/>
        <v>106.75</v>
      </c>
      <c r="AK232" s="62">
        <v>113</v>
      </c>
      <c r="AL232" s="62">
        <v>100.5</v>
      </c>
      <c r="AM232" s="26">
        <f t="shared" si="94"/>
        <v>734</v>
      </c>
      <c r="AN232" s="26" t="s">
        <v>239</v>
      </c>
      <c r="AO232" s="26">
        <v>579.69606349410628</v>
      </c>
      <c r="AP232" s="29">
        <v>948.08292578590135</v>
      </c>
      <c r="AQ232" s="29" t="s">
        <v>425</v>
      </c>
      <c r="AR232" s="23" t="s">
        <v>400</v>
      </c>
      <c r="AS232" s="29">
        <v>734</v>
      </c>
      <c r="AT232" s="29">
        <v>468</v>
      </c>
      <c r="AU232" s="29">
        <v>1258</v>
      </c>
      <c r="AV232" s="39" t="s">
        <v>651</v>
      </c>
      <c r="AW232" s="39"/>
      <c r="AX232" s="29" t="s">
        <v>13</v>
      </c>
      <c r="AY232" s="6" t="s">
        <v>844</v>
      </c>
      <c r="AZ232" s="97" t="s">
        <v>13</v>
      </c>
      <c r="BA232" s="72">
        <v>4.8602119999999998</v>
      </c>
      <c r="BB232" s="62"/>
      <c r="BC232" s="62"/>
      <c r="BD232" s="26">
        <v>429.87029999999999</v>
      </c>
      <c r="BE232" s="25" t="s">
        <v>239</v>
      </c>
      <c r="BF232" s="29">
        <f t="shared" si="95"/>
        <v>380.59190000000001</v>
      </c>
      <c r="BG232" s="29">
        <f t="shared" si="95"/>
        <v>487.01590000000004</v>
      </c>
      <c r="BH232" s="29" t="s">
        <v>542</v>
      </c>
      <c r="BI232" s="23" t="s">
        <v>419</v>
      </c>
      <c r="BJ232" s="26">
        <v>380.59190000000001</v>
      </c>
      <c r="BK232" s="26">
        <v>487.01590000000004</v>
      </c>
      <c r="BL232" s="39" t="s">
        <v>840</v>
      </c>
      <c r="BM232" s="25" t="s">
        <v>13</v>
      </c>
      <c r="BO232" s="25"/>
      <c r="CA232" s="25" t="s">
        <v>13</v>
      </c>
      <c r="CC232" s="25" t="s">
        <v>13</v>
      </c>
    </row>
    <row r="233" spans="1:81">
      <c r="A233" s="6" t="s">
        <v>76</v>
      </c>
      <c r="B233" s="26" t="s">
        <v>153</v>
      </c>
      <c r="C233" s="62">
        <v>201.21565318312571</v>
      </c>
      <c r="D233" s="62"/>
      <c r="E233" s="62"/>
      <c r="F233" s="23">
        <f t="shared" si="84"/>
        <v>2700</v>
      </c>
      <c r="G233" s="23" t="s">
        <v>389</v>
      </c>
      <c r="H233" s="23">
        <f t="shared" si="91"/>
        <v>1350</v>
      </c>
      <c r="I233" s="23">
        <f t="shared" si="92"/>
        <v>5400</v>
      </c>
      <c r="J233" s="23" t="s">
        <v>480</v>
      </c>
      <c r="K233" s="23" t="s">
        <v>400</v>
      </c>
      <c r="L233" s="26">
        <v>4050</v>
      </c>
      <c r="M233" s="26">
        <v>2700.1350000000002</v>
      </c>
      <c r="N233" s="26">
        <v>5399.8649999999998</v>
      </c>
      <c r="O233" s="26">
        <v>3000</v>
      </c>
      <c r="P233" s="22">
        <v>2000</v>
      </c>
      <c r="Q233" s="26" t="s">
        <v>345</v>
      </c>
      <c r="R233" s="26" t="s">
        <v>13</v>
      </c>
      <c r="S233" s="6" t="s">
        <v>639</v>
      </c>
      <c r="T233" s="44" t="s">
        <v>640</v>
      </c>
      <c r="U233" s="62">
        <v>12.850326538085938</v>
      </c>
      <c r="X233" s="26">
        <v>274.68402102315662</v>
      </c>
      <c r="Y233" s="26" t="s">
        <v>389</v>
      </c>
      <c r="Z233" s="26">
        <f t="shared" si="83"/>
        <v>239.5916</v>
      </c>
      <c r="AA233" s="26">
        <f t="shared" si="83"/>
        <v>311.07249999999999</v>
      </c>
      <c r="AB233" s="25" t="s">
        <v>542</v>
      </c>
      <c r="AC233" s="77" t="s">
        <v>400</v>
      </c>
      <c r="AD233" s="26">
        <v>239.5916</v>
      </c>
      <c r="AE233" s="26">
        <v>311.07249999999999</v>
      </c>
      <c r="AF233" s="26" t="s">
        <v>641</v>
      </c>
      <c r="AG233" s="25" t="s">
        <v>13</v>
      </c>
      <c r="AH233" s="6" t="s">
        <v>298</v>
      </c>
      <c r="AI233" s="45" t="s">
        <v>310</v>
      </c>
      <c r="AJ233" s="62">
        <f t="shared" si="93"/>
        <v>48</v>
      </c>
      <c r="AK233" s="62">
        <v>52</v>
      </c>
      <c r="AL233" s="62">
        <v>44</v>
      </c>
      <c r="AM233" s="26">
        <f t="shared" si="94"/>
        <v>636.39600058415931</v>
      </c>
      <c r="AN233" s="26" t="s">
        <v>239</v>
      </c>
      <c r="AO233" s="26">
        <v>575.51573547645432</v>
      </c>
      <c r="AP233" s="29">
        <v>708.42515825010662</v>
      </c>
      <c r="AQ233" s="29" t="s">
        <v>425</v>
      </c>
      <c r="AR233" s="23" t="s">
        <v>400</v>
      </c>
      <c r="AS233" s="29">
        <v>636.39600058415931</v>
      </c>
      <c r="AT233" s="29">
        <v>523.74300975217704</v>
      </c>
      <c r="AU233" s="29">
        <v>789.53672293249122</v>
      </c>
      <c r="AV233" s="39" t="s">
        <v>651</v>
      </c>
      <c r="AW233" s="39"/>
      <c r="AX233" s="29" t="s">
        <v>13</v>
      </c>
      <c r="AY233" s="6" t="s">
        <v>844</v>
      </c>
      <c r="AZ233" s="97" t="s">
        <v>13</v>
      </c>
      <c r="BA233" s="72">
        <v>5.3329310000000003</v>
      </c>
      <c r="BB233" s="62"/>
      <c r="BC233" s="62"/>
      <c r="BD233" s="26">
        <v>449.15629999999999</v>
      </c>
      <c r="BE233" s="25" t="s">
        <v>239</v>
      </c>
      <c r="BF233" s="29">
        <f t="shared" si="95"/>
        <v>404.05129999999997</v>
      </c>
      <c r="BG233" s="29">
        <f t="shared" si="95"/>
        <v>498.38729999999998</v>
      </c>
      <c r="BH233" s="29" t="s">
        <v>542</v>
      </c>
      <c r="BI233" s="23" t="s">
        <v>419</v>
      </c>
      <c r="BJ233" s="26">
        <v>404.05129999999997</v>
      </c>
      <c r="BK233" s="26">
        <v>498.38729999999998</v>
      </c>
      <c r="BL233" s="39" t="s">
        <v>840</v>
      </c>
      <c r="BM233" s="25" t="s">
        <v>13</v>
      </c>
      <c r="BO233" s="25"/>
      <c r="CA233" s="25" t="s">
        <v>13</v>
      </c>
      <c r="CC233" s="25" t="s">
        <v>13</v>
      </c>
    </row>
    <row r="234" spans="1:81">
      <c r="A234" s="6" t="s">
        <v>76</v>
      </c>
      <c r="B234" s="26" t="s">
        <v>153</v>
      </c>
      <c r="C234" s="62">
        <v>201.22628789520002</v>
      </c>
      <c r="D234" s="62"/>
      <c r="E234" s="62"/>
      <c r="F234" s="23">
        <f t="shared" si="84"/>
        <v>2713.3333333333335</v>
      </c>
      <c r="G234" s="23" t="s">
        <v>389</v>
      </c>
      <c r="H234" s="23">
        <f t="shared" si="91"/>
        <v>1356.6666666666667</v>
      </c>
      <c r="I234" s="23">
        <f t="shared" si="92"/>
        <v>5426.666666666667</v>
      </c>
      <c r="J234" s="23" t="s">
        <v>480</v>
      </c>
      <c r="K234" s="23" t="s">
        <v>400</v>
      </c>
      <c r="L234" s="26">
        <v>4070</v>
      </c>
      <c r="M234" s="26">
        <v>2713.4690000000001</v>
      </c>
      <c r="N234" s="26">
        <v>5426.5309999999999</v>
      </c>
      <c r="O234" s="26">
        <v>3000</v>
      </c>
      <c r="P234" s="22">
        <v>2000</v>
      </c>
      <c r="Q234" s="26" t="s">
        <v>345</v>
      </c>
      <c r="R234" s="26" t="s">
        <v>13</v>
      </c>
      <c r="S234" s="6" t="s">
        <v>639</v>
      </c>
      <c r="T234" s="44" t="s">
        <v>640</v>
      </c>
      <c r="U234" s="62">
        <v>12.927389144897461</v>
      </c>
      <c r="X234" s="26">
        <v>264.58859066729269</v>
      </c>
      <c r="Y234" s="26" t="s">
        <v>389</v>
      </c>
      <c r="Z234" s="26">
        <f t="shared" si="83"/>
        <v>229.18950000000001</v>
      </c>
      <c r="AA234" s="26">
        <f t="shared" si="83"/>
        <v>301.05169999999998</v>
      </c>
      <c r="AB234" s="25" t="s">
        <v>542</v>
      </c>
      <c r="AC234" s="77" t="s">
        <v>400</v>
      </c>
      <c r="AD234" s="26">
        <v>229.18950000000001</v>
      </c>
      <c r="AE234" s="26">
        <v>301.05169999999998</v>
      </c>
      <c r="AF234" s="26" t="s">
        <v>641</v>
      </c>
      <c r="AG234" s="25" t="s">
        <v>13</v>
      </c>
      <c r="AH234" s="6" t="s">
        <v>298</v>
      </c>
      <c r="AI234" s="45" t="s">
        <v>311</v>
      </c>
      <c r="AJ234" s="62">
        <f t="shared" si="93"/>
        <v>40.849999999999994</v>
      </c>
      <c r="AK234" s="62">
        <v>47.8</v>
      </c>
      <c r="AL234" s="62">
        <v>33.9</v>
      </c>
      <c r="AM234" s="26">
        <f t="shared" si="94"/>
        <v>356</v>
      </c>
      <c r="AN234" s="26" t="s">
        <v>239</v>
      </c>
      <c r="AO234" s="26">
        <v>260.96624110888064</v>
      </c>
      <c r="AP234" s="29">
        <v>486.35808518682023</v>
      </c>
      <c r="AQ234" s="29" t="s">
        <v>425</v>
      </c>
      <c r="AR234" s="23" t="s">
        <v>400</v>
      </c>
      <c r="AS234" s="29">
        <v>356</v>
      </c>
      <c r="AT234" s="29">
        <v>190</v>
      </c>
      <c r="AU234" s="29">
        <v>677</v>
      </c>
      <c r="AV234" s="39" t="s">
        <v>651</v>
      </c>
      <c r="AW234" s="39"/>
      <c r="AX234" s="29" t="s">
        <v>13</v>
      </c>
      <c r="AY234" s="6" t="s">
        <v>844</v>
      </c>
      <c r="AZ234" s="97" t="s">
        <v>13</v>
      </c>
      <c r="BA234" s="72">
        <v>5.8016069999999997</v>
      </c>
      <c r="BB234" s="62"/>
      <c r="BC234" s="62"/>
      <c r="BD234" s="26">
        <v>430.17759999999998</v>
      </c>
      <c r="BE234" s="25" t="s">
        <v>239</v>
      </c>
      <c r="BF234" s="29">
        <f t="shared" si="95"/>
        <v>385.13659999999999</v>
      </c>
      <c r="BG234" s="29">
        <f t="shared" si="95"/>
        <v>481.20850000000002</v>
      </c>
      <c r="BH234" s="29" t="s">
        <v>542</v>
      </c>
      <c r="BI234" s="23" t="s">
        <v>419</v>
      </c>
      <c r="BJ234" s="26">
        <v>385.13659999999999</v>
      </c>
      <c r="BK234" s="26">
        <v>481.20850000000002</v>
      </c>
      <c r="BL234" s="39" t="s">
        <v>840</v>
      </c>
      <c r="BM234" s="25" t="s">
        <v>13</v>
      </c>
      <c r="BO234" s="25"/>
      <c r="CA234" s="25" t="s">
        <v>13</v>
      </c>
      <c r="CC234" s="25" t="s">
        <v>13</v>
      </c>
    </row>
    <row r="235" spans="1:81">
      <c r="A235" s="6" t="s">
        <v>76</v>
      </c>
      <c r="B235" s="26" t="s">
        <v>153</v>
      </c>
      <c r="C235" s="62">
        <v>201.22628789520002</v>
      </c>
      <c r="D235" s="62"/>
      <c r="E235" s="62"/>
      <c r="F235" s="23">
        <f t="shared" si="84"/>
        <v>2822.6666666666665</v>
      </c>
      <c r="G235" s="23" t="s">
        <v>389</v>
      </c>
      <c r="H235" s="23">
        <f t="shared" si="91"/>
        <v>1411.3333333333333</v>
      </c>
      <c r="I235" s="23">
        <f t="shared" si="92"/>
        <v>5645.333333333333</v>
      </c>
      <c r="J235" s="23" t="s">
        <v>480</v>
      </c>
      <c r="K235" s="23" t="s">
        <v>400</v>
      </c>
      <c r="L235" s="26">
        <v>4234</v>
      </c>
      <c r="M235" s="26">
        <v>2822.8078</v>
      </c>
      <c r="N235" s="26">
        <v>5645.1921999999995</v>
      </c>
      <c r="O235" s="26">
        <v>3000</v>
      </c>
      <c r="P235" s="22">
        <v>2000</v>
      </c>
      <c r="Q235" s="26" t="s">
        <v>345</v>
      </c>
      <c r="R235" s="26" t="s">
        <v>13</v>
      </c>
      <c r="S235" s="6" t="s">
        <v>639</v>
      </c>
      <c r="T235" s="44" t="s">
        <v>640</v>
      </c>
      <c r="U235" s="62">
        <v>12.98289680480957</v>
      </c>
      <c r="X235" s="26">
        <v>237.36081293215182</v>
      </c>
      <c r="Y235" s="26" t="s">
        <v>389</v>
      </c>
      <c r="Z235" s="26">
        <f t="shared" si="83"/>
        <v>203.8758</v>
      </c>
      <c r="AA235" s="26">
        <f t="shared" si="83"/>
        <v>270.72669999999999</v>
      </c>
      <c r="AB235" s="25" t="s">
        <v>542</v>
      </c>
      <c r="AC235" s="77" t="s">
        <v>400</v>
      </c>
      <c r="AD235" s="26">
        <v>203.8758</v>
      </c>
      <c r="AE235" s="26">
        <v>270.72669999999999</v>
      </c>
      <c r="AF235" s="26" t="s">
        <v>641</v>
      </c>
      <c r="AG235" s="25" t="s">
        <v>13</v>
      </c>
      <c r="AH235" s="6" t="s">
        <v>298</v>
      </c>
      <c r="AI235" s="45" t="s">
        <v>312</v>
      </c>
      <c r="AJ235" s="62">
        <f t="shared" si="93"/>
        <v>24.934999999999999</v>
      </c>
      <c r="AK235" s="62">
        <v>33.9</v>
      </c>
      <c r="AL235" s="62">
        <v>15.97</v>
      </c>
      <c r="AM235" s="26">
        <f t="shared" si="94"/>
        <v>389</v>
      </c>
      <c r="AN235" s="26" t="s">
        <v>239</v>
      </c>
      <c r="AO235" s="26">
        <v>282.8225742139133</v>
      </c>
      <c r="AP235" s="29">
        <v>549.12148924032749</v>
      </c>
      <c r="AQ235" s="29" t="s">
        <v>425</v>
      </c>
      <c r="AR235" s="23" t="s">
        <v>400</v>
      </c>
      <c r="AS235" s="29">
        <v>389</v>
      </c>
      <c r="AT235" s="29">
        <v>205</v>
      </c>
      <c r="AU235" s="29">
        <v>784</v>
      </c>
      <c r="AV235" s="39" t="s">
        <v>651</v>
      </c>
      <c r="AW235" s="39"/>
      <c r="AX235" s="29" t="s">
        <v>13</v>
      </c>
      <c r="AY235" s="6" t="s">
        <v>844</v>
      </c>
      <c r="AZ235" s="97" t="s">
        <v>13</v>
      </c>
      <c r="BA235" s="72">
        <v>5.8062969999999998</v>
      </c>
      <c r="BB235" s="62"/>
      <c r="BC235" s="62"/>
      <c r="BD235" s="26">
        <v>312.2629</v>
      </c>
      <c r="BE235" s="25" t="s">
        <v>239</v>
      </c>
      <c r="BF235" s="29">
        <f t="shared" si="95"/>
        <v>280.904</v>
      </c>
      <c r="BG235" s="29">
        <f t="shared" si="95"/>
        <v>344.6234</v>
      </c>
      <c r="BH235" s="29" t="s">
        <v>542</v>
      </c>
      <c r="BI235" s="23" t="s">
        <v>419</v>
      </c>
      <c r="BJ235" s="26">
        <v>280.904</v>
      </c>
      <c r="BK235" s="26">
        <v>344.6234</v>
      </c>
      <c r="BL235" s="39" t="s">
        <v>840</v>
      </c>
      <c r="BM235" s="25" t="s">
        <v>13</v>
      </c>
      <c r="BO235" s="25"/>
      <c r="CA235" s="25" t="s">
        <v>13</v>
      </c>
      <c r="CC235" s="25" t="s">
        <v>13</v>
      </c>
    </row>
    <row r="236" spans="1:81">
      <c r="A236" s="6" t="s">
        <v>76</v>
      </c>
      <c r="B236" s="26" t="s">
        <v>153</v>
      </c>
      <c r="C236" s="62">
        <v>201.25656495750681</v>
      </c>
      <c r="D236" s="62"/>
      <c r="E236" s="62"/>
      <c r="F236" s="23">
        <f t="shared" si="84"/>
        <v>2302</v>
      </c>
      <c r="G236" s="23" t="s">
        <v>389</v>
      </c>
      <c r="H236" s="23">
        <f t="shared" si="91"/>
        <v>1151</v>
      </c>
      <c r="I236" s="23">
        <f t="shared" si="92"/>
        <v>4604</v>
      </c>
      <c r="J236" s="23" t="s">
        <v>480</v>
      </c>
      <c r="K236" s="23" t="s">
        <v>400</v>
      </c>
      <c r="L236" s="26">
        <v>3453</v>
      </c>
      <c r="M236" s="26">
        <v>2302.1151</v>
      </c>
      <c r="N236" s="26">
        <v>4603.8849</v>
      </c>
      <c r="O236" s="26">
        <v>3000</v>
      </c>
      <c r="P236" s="22">
        <v>2000</v>
      </c>
      <c r="Q236" s="26" t="s">
        <v>345</v>
      </c>
      <c r="R236" s="26" t="s">
        <v>13</v>
      </c>
      <c r="S236" s="6" t="s">
        <v>639</v>
      </c>
      <c r="T236" s="44" t="s">
        <v>640</v>
      </c>
      <c r="U236" s="62">
        <v>13.099399566650391</v>
      </c>
      <c r="X236" s="26">
        <v>296.64614728209455</v>
      </c>
      <c r="Y236" s="26" t="s">
        <v>389</v>
      </c>
      <c r="Z236" s="26">
        <f t="shared" si="83"/>
        <v>259.86500000000001</v>
      </c>
      <c r="AA236" s="26">
        <f t="shared" si="83"/>
        <v>338.18599999999998</v>
      </c>
      <c r="AB236" s="25" t="s">
        <v>542</v>
      </c>
      <c r="AC236" s="77" t="s">
        <v>400</v>
      </c>
      <c r="AD236" s="26">
        <v>259.86500000000001</v>
      </c>
      <c r="AE236" s="26">
        <v>338.18599999999998</v>
      </c>
      <c r="AF236" s="26" t="s">
        <v>641</v>
      </c>
      <c r="AG236" s="25" t="s">
        <v>13</v>
      </c>
      <c r="AH236" s="6" t="s">
        <v>298</v>
      </c>
      <c r="AI236" s="45" t="s">
        <v>301</v>
      </c>
      <c r="AJ236" s="62">
        <f t="shared" si="93"/>
        <v>12.795</v>
      </c>
      <c r="AK236" s="62">
        <v>23</v>
      </c>
      <c r="AL236" s="62">
        <v>2.59</v>
      </c>
      <c r="AM236" s="26">
        <f t="shared" si="94"/>
        <v>434</v>
      </c>
      <c r="AN236" s="26" t="s">
        <v>239</v>
      </c>
      <c r="AO236" s="26">
        <v>339.70549900487077</v>
      </c>
      <c r="AP236" s="29">
        <v>560.0714464901755</v>
      </c>
      <c r="AQ236" s="29" t="s">
        <v>425</v>
      </c>
      <c r="AR236" s="23" t="s">
        <v>400</v>
      </c>
      <c r="AS236" s="29">
        <v>434</v>
      </c>
      <c r="AT236" s="29">
        <v>267</v>
      </c>
      <c r="AU236" s="29">
        <v>746</v>
      </c>
      <c r="AV236" s="39" t="s">
        <v>651</v>
      </c>
      <c r="AW236" s="39"/>
      <c r="AX236" s="29" t="s">
        <v>13</v>
      </c>
      <c r="AY236" s="6" t="s">
        <v>844</v>
      </c>
      <c r="AZ236" s="97" t="s">
        <v>13</v>
      </c>
      <c r="BA236" s="72">
        <v>6.5352969999999999</v>
      </c>
      <c r="BB236" s="62"/>
      <c r="BC236" s="62"/>
      <c r="BD236" s="26">
        <v>382.20799999999997</v>
      </c>
      <c r="BE236" s="25" t="s">
        <v>239</v>
      </c>
      <c r="BF236" s="29">
        <f t="shared" si="95"/>
        <v>343.60480000000001</v>
      </c>
      <c r="BG236" s="29">
        <f t="shared" si="95"/>
        <v>423.54969999999997</v>
      </c>
      <c r="BH236" s="29" t="s">
        <v>542</v>
      </c>
      <c r="BI236" s="23" t="s">
        <v>419</v>
      </c>
      <c r="BJ236" s="26">
        <v>343.60480000000001</v>
      </c>
      <c r="BK236" s="26">
        <v>423.54969999999997</v>
      </c>
      <c r="BL236" s="39" t="s">
        <v>840</v>
      </c>
      <c r="BM236" s="25" t="s">
        <v>13</v>
      </c>
      <c r="BO236" s="25"/>
      <c r="CA236" s="25" t="s">
        <v>13</v>
      </c>
      <c r="CC236" s="25" t="s">
        <v>13</v>
      </c>
    </row>
    <row r="237" spans="1:81">
      <c r="A237" s="6" t="s">
        <v>76</v>
      </c>
      <c r="B237" s="26" t="s">
        <v>153</v>
      </c>
      <c r="C237" s="62">
        <v>201.27754855309695</v>
      </c>
      <c r="D237" s="62"/>
      <c r="E237" s="62"/>
      <c r="F237" s="23">
        <f t="shared" si="84"/>
        <v>2384.6666666666665</v>
      </c>
      <c r="G237" s="23" t="s">
        <v>389</v>
      </c>
      <c r="H237" s="23">
        <f t="shared" si="91"/>
        <v>1192.3333333333333</v>
      </c>
      <c r="I237" s="23">
        <f t="shared" si="92"/>
        <v>4769.333333333333</v>
      </c>
      <c r="J237" s="23" t="s">
        <v>480</v>
      </c>
      <c r="K237" s="23" t="s">
        <v>400</v>
      </c>
      <c r="L237" s="26">
        <v>3577</v>
      </c>
      <c r="M237" s="26">
        <v>2384.7858999999999</v>
      </c>
      <c r="N237" s="26">
        <v>4769.2141000000001</v>
      </c>
      <c r="O237" s="26">
        <v>3000</v>
      </c>
      <c r="P237" s="22">
        <v>2000</v>
      </c>
      <c r="Q237" s="26" t="s">
        <v>345</v>
      </c>
      <c r="R237" s="26" t="s">
        <v>13</v>
      </c>
      <c r="S237" s="6" t="s">
        <v>639</v>
      </c>
      <c r="T237" s="44" t="s">
        <v>640</v>
      </c>
      <c r="U237" s="62">
        <v>13.274014472961426</v>
      </c>
      <c r="X237" s="26">
        <v>283.42770656900223</v>
      </c>
      <c r="Y237" s="26" t="s">
        <v>389</v>
      </c>
      <c r="Z237" s="26">
        <f t="shared" si="83"/>
        <v>244.0325</v>
      </c>
      <c r="AA237" s="26">
        <f t="shared" si="83"/>
        <v>324.14359999999999</v>
      </c>
      <c r="AB237" s="25" t="s">
        <v>542</v>
      </c>
      <c r="AC237" s="77" t="s">
        <v>400</v>
      </c>
      <c r="AD237" s="26">
        <v>244.0325</v>
      </c>
      <c r="AE237" s="26">
        <v>324.14359999999999</v>
      </c>
      <c r="AF237" s="26" t="s">
        <v>641</v>
      </c>
      <c r="AG237" s="25" t="s">
        <v>13</v>
      </c>
      <c r="AH237" s="6" t="s">
        <v>313</v>
      </c>
      <c r="AI237" s="45" t="s">
        <v>258</v>
      </c>
      <c r="AJ237" s="62">
        <f t="shared" si="93"/>
        <v>42.849999999999994</v>
      </c>
      <c r="AK237" s="62">
        <v>47.9</v>
      </c>
      <c r="AL237" s="62">
        <v>37.799999999999997</v>
      </c>
      <c r="AM237" s="26">
        <v>424</v>
      </c>
      <c r="AN237" s="26" t="s">
        <v>239</v>
      </c>
      <c r="AO237" s="26">
        <v>385</v>
      </c>
      <c r="AP237" s="29">
        <v>467</v>
      </c>
      <c r="AQ237" s="29" t="s">
        <v>425</v>
      </c>
      <c r="AR237" s="23" t="s">
        <v>400</v>
      </c>
      <c r="AS237" s="23"/>
      <c r="AT237" s="29">
        <v>351</v>
      </c>
      <c r="AU237" s="29">
        <v>523</v>
      </c>
      <c r="AV237" s="39" t="s">
        <v>651</v>
      </c>
      <c r="AW237" s="39"/>
      <c r="AX237" s="29" t="s">
        <v>13</v>
      </c>
      <c r="AY237" s="6" t="s">
        <v>844</v>
      </c>
      <c r="AZ237" s="97" t="s">
        <v>13</v>
      </c>
      <c r="BA237" s="72">
        <v>7.0018570000000002</v>
      </c>
      <c r="BB237" s="62"/>
      <c r="BC237" s="62"/>
      <c r="BD237" s="26">
        <v>420.68209999999999</v>
      </c>
      <c r="BE237" s="25" t="s">
        <v>239</v>
      </c>
      <c r="BF237" s="29">
        <f t="shared" si="95"/>
        <v>378.863</v>
      </c>
      <c r="BG237" s="29">
        <f t="shared" si="95"/>
        <v>465.12639999999999</v>
      </c>
      <c r="BH237" s="29" t="s">
        <v>542</v>
      </c>
      <c r="BI237" s="23" t="s">
        <v>419</v>
      </c>
      <c r="BJ237" s="26">
        <v>378.863</v>
      </c>
      <c r="BK237" s="26">
        <v>465.12639999999999</v>
      </c>
      <c r="BL237" s="39" t="s">
        <v>840</v>
      </c>
      <c r="BM237" s="25" t="s">
        <v>13</v>
      </c>
      <c r="BO237" s="25"/>
      <c r="CA237" s="25" t="s">
        <v>13</v>
      </c>
      <c r="CC237" s="25" t="s">
        <v>13</v>
      </c>
    </row>
    <row r="238" spans="1:81">
      <c r="A238" s="6" t="s">
        <v>76</v>
      </c>
      <c r="B238" s="26" t="s">
        <v>153</v>
      </c>
      <c r="C238" s="62">
        <v>201.38784625390065</v>
      </c>
      <c r="D238" s="62"/>
      <c r="E238" s="62"/>
      <c r="F238" s="23">
        <f t="shared" si="84"/>
        <v>2389.3333333333335</v>
      </c>
      <c r="G238" s="23" t="s">
        <v>389</v>
      </c>
      <c r="H238" s="23">
        <f t="shared" si="91"/>
        <v>1194.6666666666667</v>
      </c>
      <c r="I238" s="23">
        <f t="shared" si="92"/>
        <v>4778.666666666667</v>
      </c>
      <c r="J238" s="23" t="s">
        <v>480</v>
      </c>
      <c r="K238" s="23" t="s">
        <v>400</v>
      </c>
      <c r="L238" s="26">
        <v>3584</v>
      </c>
      <c r="M238" s="26">
        <v>2389.4528</v>
      </c>
      <c r="N238" s="26">
        <v>4778.5472</v>
      </c>
      <c r="O238" s="26">
        <v>3000</v>
      </c>
      <c r="P238" s="22">
        <v>2000</v>
      </c>
      <c r="Q238" s="26" t="s">
        <v>345</v>
      </c>
      <c r="R238" s="26" t="s">
        <v>13</v>
      </c>
      <c r="S238" s="6" t="s">
        <v>639</v>
      </c>
      <c r="T238" s="44" t="s">
        <v>640</v>
      </c>
      <c r="U238" s="62">
        <v>13.326029777526855</v>
      </c>
      <c r="X238" s="26">
        <v>224.92898768538208</v>
      </c>
      <c r="Y238" s="26" t="s">
        <v>389</v>
      </c>
      <c r="Z238" s="26">
        <f t="shared" si="83"/>
        <v>189.47829999999999</v>
      </c>
      <c r="AA238" s="26">
        <f t="shared" si="83"/>
        <v>258.28059999999999</v>
      </c>
      <c r="AB238" s="25" t="s">
        <v>542</v>
      </c>
      <c r="AC238" s="77" t="s">
        <v>400</v>
      </c>
      <c r="AD238" s="26">
        <v>189.47829999999999</v>
      </c>
      <c r="AE238" s="26">
        <v>258.28059999999999</v>
      </c>
      <c r="AF238" s="26" t="s">
        <v>641</v>
      </c>
      <c r="AG238" s="25" t="s">
        <v>13</v>
      </c>
      <c r="AH238" s="6" t="s">
        <v>443</v>
      </c>
      <c r="AI238" s="99" t="s">
        <v>323</v>
      </c>
      <c r="AJ238" s="59">
        <f t="shared" si="93"/>
        <v>186.75</v>
      </c>
      <c r="AK238" s="59">
        <v>190.8</v>
      </c>
      <c r="AL238" s="59">
        <v>182.7</v>
      </c>
      <c r="AM238" s="29">
        <f>AVERAGE(AO238:AP238)</f>
        <v>809.40000000000009</v>
      </c>
      <c r="AN238" s="29" t="s">
        <v>389</v>
      </c>
      <c r="AO238" s="100">
        <f>1.42*1*380</f>
        <v>539.6</v>
      </c>
      <c r="AP238" s="100">
        <f>1.42*2*380</f>
        <v>1079.2</v>
      </c>
      <c r="AQ238" s="29" t="s">
        <v>426</v>
      </c>
      <c r="AR238" s="29" t="s">
        <v>422</v>
      </c>
      <c r="AS238" s="29">
        <v>855</v>
      </c>
      <c r="AT238" s="29">
        <v>759</v>
      </c>
      <c r="AU238" s="29">
        <v>975</v>
      </c>
      <c r="AV238" s="39" t="s">
        <v>60</v>
      </c>
      <c r="AW238" s="39" t="s">
        <v>760</v>
      </c>
      <c r="AX238" s="29" t="s">
        <v>13</v>
      </c>
      <c r="AY238" s="6" t="s">
        <v>844</v>
      </c>
      <c r="AZ238" s="97" t="s">
        <v>13</v>
      </c>
      <c r="BA238" s="72">
        <v>8.4464520000000007</v>
      </c>
      <c r="BB238" s="62"/>
      <c r="BC238" s="62"/>
      <c r="BD238" s="26">
        <v>402.55260000000004</v>
      </c>
      <c r="BE238" s="25" t="s">
        <v>239</v>
      </c>
      <c r="BF238" s="29">
        <f t="shared" si="95"/>
        <v>360.51710000000003</v>
      </c>
      <c r="BG238" s="29">
        <f t="shared" si="95"/>
        <v>445.68960000000004</v>
      </c>
      <c r="BH238" s="29" t="s">
        <v>542</v>
      </c>
      <c r="BI238" s="23" t="s">
        <v>419</v>
      </c>
      <c r="BJ238" s="26">
        <v>360.51710000000003</v>
      </c>
      <c r="BK238" s="26">
        <v>445.68960000000004</v>
      </c>
      <c r="BL238" s="39" t="s">
        <v>840</v>
      </c>
      <c r="BM238" s="25" t="s">
        <v>13</v>
      </c>
      <c r="BO238" s="25"/>
      <c r="CA238" s="25" t="s">
        <v>13</v>
      </c>
      <c r="CC238" s="25" t="s">
        <v>13</v>
      </c>
    </row>
    <row r="239" spans="1:81">
      <c r="A239" s="6" t="s">
        <v>76</v>
      </c>
      <c r="B239" s="26" t="s">
        <v>153</v>
      </c>
      <c r="C239" s="62">
        <v>201.45384822676715</v>
      </c>
      <c r="D239" s="62"/>
      <c r="E239" s="62"/>
      <c r="F239" s="23">
        <f t="shared" si="84"/>
        <v>2818.6666666666665</v>
      </c>
      <c r="G239" s="23" t="s">
        <v>389</v>
      </c>
      <c r="H239" s="23">
        <f t="shared" si="91"/>
        <v>1409.3333333333333</v>
      </c>
      <c r="I239" s="23">
        <f t="shared" si="92"/>
        <v>5637.333333333333</v>
      </c>
      <c r="J239" s="23" t="s">
        <v>480</v>
      </c>
      <c r="K239" s="23" t="s">
        <v>400</v>
      </c>
      <c r="L239" s="26">
        <v>4228</v>
      </c>
      <c r="M239" s="26">
        <v>2818.8076000000001</v>
      </c>
      <c r="N239" s="26">
        <v>5637.1923999999999</v>
      </c>
      <c r="O239" s="26">
        <v>3000</v>
      </c>
      <c r="P239" s="22">
        <v>2000</v>
      </c>
      <c r="Q239" s="26" t="s">
        <v>345</v>
      </c>
      <c r="R239" s="26" t="s">
        <v>13</v>
      </c>
      <c r="S239" s="6" t="s">
        <v>639</v>
      </c>
      <c r="T239" s="44" t="s">
        <v>640</v>
      </c>
      <c r="U239" s="62">
        <v>13.39293098449707</v>
      </c>
      <c r="X239" s="26">
        <v>296.75623325768299</v>
      </c>
      <c r="Y239" s="26" t="s">
        <v>389</v>
      </c>
      <c r="Z239" s="26">
        <f t="shared" si="83"/>
        <v>253.29650000000001</v>
      </c>
      <c r="AA239" s="26">
        <f t="shared" si="83"/>
        <v>340.5027</v>
      </c>
      <c r="AB239" s="25" t="s">
        <v>542</v>
      </c>
      <c r="AC239" s="77" t="s">
        <v>400</v>
      </c>
      <c r="AD239" s="26">
        <v>253.29650000000001</v>
      </c>
      <c r="AE239" s="26">
        <v>340.5027</v>
      </c>
      <c r="AF239" s="26" t="s">
        <v>641</v>
      </c>
      <c r="AG239" s="25" t="s">
        <v>13</v>
      </c>
      <c r="AH239" s="16" t="s">
        <v>489</v>
      </c>
      <c r="AI239" s="99" t="s">
        <v>490</v>
      </c>
      <c r="AJ239" s="59">
        <f t="shared" si="93"/>
        <v>97.2</v>
      </c>
      <c r="AK239" s="59">
        <v>100.5</v>
      </c>
      <c r="AL239" s="59">
        <v>93.9</v>
      </c>
      <c r="AM239" s="29">
        <f>AVERAGE(AO239:AP239)</f>
        <v>1037.1428571428569</v>
      </c>
      <c r="AN239" s="29" t="s">
        <v>389</v>
      </c>
      <c r="AO239" s="100">
        <f>12.1/5.25*1*300</f>
        <v>691.42857142857133</v>
      </c>
      <c r="AP239" s="100">
        <f>12.1/5.25*2*300</f>
        <v>1382.8571428571427</v>
      </c>
      <c r="AQ239" s="29" t="s">
        <v>426</v>
      </c>
      <c r="AR239" s="29" t="s">
        <v>422</v>
      </c>
      <c r="AS239" s="29"/>
      <c r="AT239" s="29">
        <f>709-123</f>
        <v>586</v>
      </c>
      <c r="AU239" s="29">
        <f>1419+246</f>
        <v>1665</v>
      </c>
      <c r="AV239" s="39" t="s">
        <v>60</v>
      </c>
      <c r="AW239" s="39"/>
      <c r="AX239" s="29"/>
      <c r="AY239" s="6" t="s">
        <v>844</v>
      </c>
      <c r="AZ239" s="97" t="s">
        <v>13</v>
      </c>
      <c r="BA239" s="72">
        <v>8.5609649999999995</v>
      </c>
      <c r="BB239" s="62"/>
      <c r="BC239" s="62"/>
      <c r="BD239" s="26">
        <v>489.25559999999996</v>
      </c>
      <c r="BE239" s="25" t="s">
        <v>239</v>
      </c>
      <c r="BF239" s="29">
        <f t="shared" si="95"/>
        <v>437.0324</v>
      </c>
      <c r="BG239" s="29">
        <f t="shared" si="95"/>
        <v>545.84730000000002</v>
      </c>
      <c r="BH239" s="29" t="s">
        <v>542</v>
      </c>
      <c r="BI239" s="23" t="s">
        <v>419</v>
      </c>
      <c r="BJ239" s="26">
        <v>437.0324</v>
      </c>
      <c r="BK239" s="26">
        <v>545.84730000000002</v>
      </c>
      <c r="BL239" s="39" t="s">
        <v>840</v>
      </c>
      <c r="BM239" s="25" t="s">
        <v>13</v>
      </c>
      <c r="BO239" s="25"/>
      <c r="CA239" s="25" t="s">
        <v>13</v>
      </c>
      <c r="CC239" s="25" t="s">
        <v>13</v>
      </c>
    </row>
    <row r="240" spans="1:81">
      <c r="A240" s="6" t="s">
        <v>76</v>
      </c>
      <c r="B240" s="26" t="s">
        <v>153</v>
      </c>
      <c r="C240" s="62">
        <v>201.48950000000002</v>
      </c>
      <c r="D240" s="62"/>
      <c r="E240" s="62"/>
      <c r="F240" s="23">
        <f t="shared" si="84"/>
        <v>2956</v>
      </c>
      <c r="G240" s="23" t="s">
        <v>389</v>
      </c>
      <c r="H240" s="23">
        <f t="shared" si="91"/>
        <v>1478</v>
      </c>
      <c r="I240" s="23">
        <f t="shared" si="92"/>
        <v>5912</v>
      </c>
      <c r="J240" s="23" t="s">
        <v>480</v>
      </c>
      <c r="K240" s="23" t="s">
        <v>400</v>
      </c>
      <c r="L240" s="26">
        <v>4434</v>
      </c>
      <c r="M240" s="26">
        <v>2956.1477999999997</v>
      </c>
      <c r="N240" s="26">
        <v>5911.8522000000003</v>
      </c>
      <c r="O240" s="26">
        <v>3000</v>
      </c>
      <c r="P240" s="22">
        <v>2000</v>
      </c>
      <c r="Q240" s="26" t="s">
        <v>345</v>
      </c>
      <c r="R240" s="26" t="s">
        <v>13</v>
      </c>
      <c r="S240" s="6" t="s">
        <v>639</v>
      </c>
      <c r="T240" s="44" t="s">
        <v>640</v>
      </c>
      <c r="U240" s="62">
        <v>13.44277286529541</v>
      </c>
      <c r="X240" s="26">
        <v>256.9600077662742</v>
      </c>
      <c r="Y240" s="26" t="s">
        <v>389</v>
      </c>
      <c r="Z240" s="26">
        <f t="shared" si="83"/>
        <v>218.7576</v>
      </c>
      <c r="AA240" s="26">
        <f t="shared" si="83"/>
        <v>293.91890000000001</v>
      </c>
      <c r="AB240" s="25" t="s">
        <v>542</v>
      </c>
      <c r="AC240" s="77" t="s">
        <v>400</v>
      </c>
      <c r="AD240" s="26">
        <v>218.7576</v>
      </c>
      <c r="AE240" s="26">
        <v>293.91890000000001</v>
      </c>
      <c r="AF240" s="26" t="s">
        <v>641</v>
      </c>
      <c r="AG240" s="25" t="s">
        <v>13</v>
      </c>
      <c r="AH240" s="6" t="s">
        <v>826</v>
      </c>
      <c r="AI240" s="45" t="s">
        <v>486</v>
      </c>
      <c r="AJ240" s="62">
        <f t="shared" si="93"/>
        <v>13.8</v>
      </c>
      <c r="AK240" s="62">
        <v>16</v>
      </c>
      <c r="AL240" s="62">
        <v>11.6</v>
      </c>
      <c r="AM240" s="26">
        <v>493</v>
      </c>
      <c r="AN240" s="26" t="s">
        <v>389</v>
      </c>
      <c r="AO240" s="66">
        <f>AM240-139/2</f>
        <v>423.5</v>
      </c>
      <c r="AP240" s="100">
        <f>AM240+254/2</f>
        <v>620</v>
      </c>
      <c r="AQ240" s="29" t="s">
        <v>781</v>
      </c>
      <c r="AR240" s="23" t="s">
        <v>400</v>
      </c>
      <c r="AS240" s="29">
        <v>334</v>
      </c>
      <c r="AT240" s="29">
        <f>AS240-24.9</f>
        <v>309.10000000000002</v>
      </c>
      <c r="AU240" s="29">
        <f>AS240+24.9</f>
        <v>358.9</v>
      </c>
      <c r="AV240" s="23" t="s">
        <v>236</v>
      </c>
      <c r="AW240" s="23" t="s">
        <v>782</v>
      </c>
      <c r="AX240" s="29" t="s">
        <v>13</v>
      </c>
      <c r="AY240" s="6" t="s">
        <v>844</v>
      </c>
      <c r="AZ240" s="97" t="s">
        <v>13</v>
      </c>
      <c r="BA240" s="72">
        <v>9.2443190000000008</v>
      </c>
      <c r="BB240" s="62"/>
      <c r="BC240" s="62"/>
      <c r="BD240" s="26">
        <v>441.19470000000001</v>
      </c>
      <c r="BE240" s="25" t="s">
        <v>239</v>
      </c>
      <c r="BF240" s="29">
        <f t="shared" si="95"/>
        <v>393.79930000000002</v>
      </c>
      <c r="BG240" s="29">
        <f t="shared" si="95"/>
        <v>492.02850000000001</v>
      </c>
      <c r="BH240" s="29" t="s">
        <v>542</v>
      </c>
      <c r="BI240" s="23" t="s">
        <v>419</v>
      </c>
      <c r="BJ240" s="26">
        <v>393.79930000000002</v>
      </c>
      <c r="BK240" s="26">
        <v>492.02850000000001</v>
      </c>
      <c r="BL240" s="39" t="s">
        <v>840</v>
      </c>
      <c r="BM240" s="25" t="s">
        <v>13</v>
      </c>
      <c r="BO240" s="25"/>
      <c r="CA240" s="25" t="s">
        <v>13</v>
      </c>
      <c r="CC240" s="25" t="s">
        <v>13</v>
      </c>
    </row>
    <row r="241" spans="1:81">
      <c r="A241" s="6" t="s">
        <v>76</v>
      </c>
      <c r="B241" s="26" t="s">
        <v>153</v>
      </c>
      <c r="C241" s="62">
        <v>201.5091020871773</v>
      </c>
      <c r="D241" s="62"/>
      <c r="E241" s="62"/>
      <c r="F241" s="23">
        <f t="shared" si="84"/>
        <v>710</v>
      </c>
      <c r="G241" s="23" t="s">
        <v>389</v>
      </c>
      <c r="H241" s="23">
        <f t="shared" si="91"/>
        <v>355</v>
      </c>
      <c r="I241" s="23">
        <f t="shared" si="92"/>
        <v>1420</v>
      </c>
      <c r="J241" s="23" t="s">
        <v>480</v>
      </c>
      <c r="K241" s="23" t="s">
        <v>400</v>
      </c>
      <c r="L241" s="26">
        <v>1065</v>
      </c>
      <c r="M241" s="26">
        <v>710.03549999999996</v>
      </c>
      <c r="N241" s="26">
        <v>1419.9645</v>
      </c>
      <c r="O241" s="26">
        <v>3000</v>
      </c>
      <c r="P241" s="22">
        <v>2000</v>
      </c>
      <c r="Q241" s="26" t="s">
        <v>345</v>
      </c>
      <c r="R241" s="26" t="s">
        <v>13</v>
      </c>
      <c r="S241" s="6" t="s">
        <v>639</v>
      </c>
      <c r="T241" s="44" t="s">
        <v>640</v>
      </c>
      <c r="U241" s="62">
        <v>13.49428653717041</v>
      </c>
      <c r="X241" s="26">
        <v>302.74064555819263</v>
      </c>
      <c r="Y241" s="26" t="s">
        <v>389</v>
      </c>
      <c r="Z241" s="26">
        <f t="shared" si="83"/>
        <v>266.76429999999999</v>
      </c>
      <c r="AA241" s="26">
        <f t="shared" si="83"/>
        <v>344.13420000000002</v>
      </c>
      <c r="AB241" s="25" t="s">
        <v>542</v>
      </c>
      <c r="AC241" s="77" t="s">
        <v>400</v>
      </c>
      <c r="AD241" s="26">
        <v>266.76429999999999</v>
      </c>
      <c r="AE241" s="26">
        <v>344.13420000000002</v>
      </c>
      <c r="AF241" s="26" t="s">
        <v>641</v>
      </c>
      <c r="AG241" s="25" t="s">
        <v>13</v>
      </c>
      <c r="AH241" s="6" t="s">
        <v>826</v>
      </c>
      <c r="AI241" s="44" t="s">
        <v>217</v>
      </c>
      <c r="AJ241" s="62">
        <f t="shared" si="93"/>
        <v>9.5</v>
      </c>
      <c r="AK241" s="62">
        <v>10</v>
      </c>
      <c r="AL241" s="62">
        <v>9</v>
      </c>
      <c r="AM241" s="26">
        <f t="shared" ref="AM241:AM246" si="96">AS241</f>
        <v>351</v>
      </c>
      <c r="AN241" s="26" t="s">
        <v>389</v>
      </c>
      <c r="AO241" s="66">
        <f t="shared" ref="AO241:AO246" si="97">AM241*0.7</f>
        <v>245.7</v>
      </c>
      <c r="AP241" s="100">
        <f t="shared" ref="AP241:AP246" si="98">AM241*1.65</f>
        <v>579.15</v>
      </c>
      <c r="AQ241" s="29" t="s">
        <v>512</v>
      </c>
      <c r="AR241" s="23" t="s">
        <v>400</v>
      </c>
      <c r="AS241" s="29">
        <v>351</v>
      </c>
      <c r="AT241" s="29">
        <f>AS241-24.8</f>
        <v>326.2</v>
      </c>
      <c r="AU241" s="29">
        <f>AS241+24.8</f>
        <v>375.8</v>
      </c>
      <c r="AV241" s="23" t="s">
        <v>236</v>
      </c>
      <c r="AW241" s="23"/>
      <c r="AX241" s="29" t="s">
        <v>13</v>
      </c>
      <c r="AY241" s="6" t="s">
        <v>844</v>
      </c>
      <c r="AZ241" s="97" t="s">
        <v>13</v>
      </c>
      <c r="BA241" s="72">
        <v>9.8740319999999997</v>
      </c>
      <c r="BB241" s="62"/>
      <c r="BC241" s="62"/>
      <c r="BD241" s="26">
        <v>313.3621</v>
      </c>
      <c r="BE241" s="25" t="s">
        <v>239</v>
      </c>
      <c r="BF241" s="29">
        <f t="shared" si="95"/>
        <v>281.65010000000001</v>
      </c>
      <c r="BG241" s="29">
        <f t="shared" si="95"/>
        <v>347.29320000000001</v>
      </c>
      <c r="BH241" s="29" t="s">
        <v>542</v>
      </c>
      <c r="BI241" s="23" t="s">
        <v>419</v>
      </c>
      <c r="BJ241" s="26">
        <v>281.65010000000001</v>
      </c>
      <c r="BK241" s="26">
        <v>347.29320000000001</v>
      </c>
      <c r="BL241" s="39" t="s">
        <v>840</v>
      </c>
      <c r="BM241" s="25" t="s">
        <v>13</v>
      </c>
      <c r="BO241" s="25"/>
      <c r="CA241" s="25" t="s">
        <v>13</v>
      </c>
      <c r="CC241" s="25" t="s">
        <v>13</v>
      </c>
    </row>
    <row r="242" spans="1:81">
      <c r="A242" s="6" t="s">
        <v>76</v>
      </c>
      <c r="B242" s="26" t="s">
        <v>153</v>
      </c>
      <c r="C242" s="62">
        <v>201.72614282884447</v>
      </c>
      <c r="D242" s="62"/>
      <c r="E242" s="62"/>
      <c r="F242" s="23">
        <f t="shared" si="84"/>
        <v>1191.3333333333333</v>
      </c>
      <c r="G242" s="23" t="s">
        <v>389</v>
      </c>
      <c r="H242" s="23">
        <f t="shared" si="91"/>
        <v>595.66666666666663</v>
      </c>
      <c r="I242" s="23">
        <f t="shared" si="92"/>
        <v>2382.6666666666665</v>
      </c>
      <c r="J242" s="23" t="s">
        <v>480</v>
      </c>
      <c r="K242" s="23" t="s">
        <v>400</v>
      </c>
      <c r="L242" s="26">
        <v>1787</v>
      </c>
      <c r="M242" s="26">
        <v>1191.3929000000001</v>
      </c>
      <c r="N242" s="26">
        <v>2382.6071000000002</v>
      </c>
      <c r="O242" s="26">
        <v>3000</v>
      </c>
      <c r="P242" s="22">
        <v>2000</v>
      </c>
      <c r="Q242" s="26" t="s">
        <v>345</v>
      </c>
      <c r="R242" s="26" t="s">
        <v>13</v>
      </c>
      <c r="S242" s="6" t="s">
        <v>639</v>
      </c>
      <c r="T242" s="44" t="s">
        <v>640</v>
      </c>
      <c r="U242" s="62">
        <v>13.591963768005371</v>
      </c>
      <c r="X242" s="26">
        <v>316.5753585447834</v>
      </c>
      <c r="Y242" s="26" t="s">
        <v>389</v>
      </c>
      <c r="Z242" s="26">
        <f t="shared" si="83"/>
        <v>275.73079999999999</v>
      </c>
      <c r="AA242" s="26">
        <f t="shared" si="83"/>
        <v>360.13200000000001</v>
      </c>
      <c r="AB242" s="25" t="s">
        <v>542</v>
      </c>
      <c r="AC242" s="77" t="s">
        <v>400</v>
      </c>
      <c r="AD242" s="26">
        <v>275.73079999999999</v>
      </c>
      <c r="AE242" s="26">
        <v>360.13200000000001</v>
      </c>
      <c r="AF242" s="26" t="s">
        <v>641</v>
      </c>
      <c r="AG242" s="25" t="s">
        <v>13</v>
      </c>
      <c r="AH242" s="6" t="s">
        <v>826</v>
      </c>
      <c r="AI242" s="45" t="s">
        <v>487</v>
      </c>
      <c r="AJ242" s="62">
        <f t="shared" si="93"/>
        <v>2.9</v>
      </c>
      <c r="AK242" s="62">
        <v>3</v>
      </c>
      <c r="AL242" s="62">
        <v>2.8</v>
      </c>
      <c r="AM242" s="26">
        <f t="shared" si="96"/>
        <v>280</v>
      </c>
      <c r="AN242" s="26" t="s">
        <v>389</v>
      </c>
      <c r="AO242" s="66">
        <f t="shared" si="97"/>
        <v>196</v>
      </c>
      <c r="AP242" s="100">
        <f t="shared" si="98"/>
        <v>462</v>
      </c>
      <c r="AQ242" s="29" t="s">
        <v>512</v>
      </c>
      <c r="AR242" s="23" t="s">
        <v>400</v>
      </c>
      <c r="AS242" s="29">
        <v>280</v>
      </c>
      <c r="AT242" s="29">
        <f>AS242-5.16</f>
        <v>274.83999999999997</v>
      </c>
      <c r="AU242" s="29">
        <f>AS242+5.16</f>
        <v>285.16000000000003</v>
      </c>
      <c r="AV242" s="23" t="s">
        <v>236</v>
      </c>
      <c r="AW242" s="23"/>
      <c r="AX242" s="29" t="s">
        <v>13</v>
      </c>
      <c r="AY242" s="6" t="s">
        <v>844</v>
      </c>
      <c r="AZ242" s="97" t="s">
        <v>13</v>
      </c>
      <c r="BA242" s="72">
        <v>10.60393</v>
      </c>
      <c r="BB242" s="62"/>
      <c r="BC242" s="62"/>
      <c r="BD242" s="26">
        <v>359.51549999999997</v>
      </c>
      <c r="BE242" s="25" t="s">
        <v>239</v>
      </c>
      <c r="BF242" s="29">
        <f t="shared" si="95"/>
        <v>316.00099999999998</v>
      </c>
      <c r="BG242" s="29">
        <f t="shared" si="95"/>
        <v>407.2337</v>
      </c>
      <c r="BH242" s="29" t="s">
        <v>542</v>
      </c>
      <c r="BI242" s="23" t="s">
        <v>419</v>
      </c>
      <c r="BJ242" s="26">
        <v>316.00099999999998</v>
      </c>
      <c r="BK242" s="26">
        <v>407.2337</v>
      </c>
      <c r="BL242" s="39" t="s">
        <v>840</v>
      </c>
      <c r="BM242" s="25" t="s">
        <v>13</v>
      </c>
      <c r="BO242" s="25"/>
      <c r="CA242" s="25" t="s">
        <v>13</v>
      </c>
      <c r="CC242" s="25" t="s">
        <v>13</v>
      </c>
    </row>
    <row r="243" spans="1:81">
      <c r="A243" s="6" t="s">
        <v>76</v>
      </c>
      <c r="B243" s="26" t="s">
        <v>153</v>
      </c>
      <c r="C243" s="62">
        <v>201.81362213181166</v>
      </c>
      <c r="D243" s="62"/>
      <c r="E243" s="62"/>
      <c r="F243" s="23">
        <f t="shared" si="84"/>
        <v>1494.6666666666667</v>
      </c>
      <c r="G243" s="23" t="s">
        <v>389</v>
      </c>
      <c r="H243" s="23">
        <f t="shared" si="91"/>
        <v>747.33333333333337</v>
      </c>
      <c r="I243" s="23">
        <f t="shared" si="92"/>
        <v>2989.3333333333335</v>
      </c>
      <c r="J243" s="23" t="s">
        <v>480</v>
      </c>
      <c r="K243" s="23" t="s">
        <v>400</v>
      </c>
      <c r="L243" s="26">
        <v>2242</v>
      </c>
      <c r="M243" s="26">
        <v>1494.7413999999999</v>
      </c>
      <c r="N243" s="26">
        <v>2989.2586000000001</v>
      </c>
      <c r="O243" s="26">
        <v>3000</v>
      </c>
      <c r="P243" s="22">
        <v>2000</v>
      </c>
      <c r="Q243" s="26" t="s">
        <v>345</v>
      </c>
      <c r="R243" s="26" t="s">
        <v>13</v>
      </c>
      <c r="S243" s="6" t="s">
        <v>639</v>
      </c>
      <c r="T243" s="44" t="s">
        <v>640</v>
      </c>
      <c r="U243" s="62">
        <v>13.766691207885742</v>
      </c>
      <c r="X243" s="26">
        <v>283.85011649412843</v>
      </c>
      <c r="Y243" s="26" t="s">
        <v>389</v>
      </c>
      <c r="Z243" s="26">
        <f t="shared" si="83"/>
        <v>243.5771</v>
      </c>
      <c r="AA243" s="26">
        <f t="shared" si="83"/>
        <v>323.95650000000001</v>
      </c>
      <c r="AB243" s="25" t="s">
        <v>542</v>
      </c>
      <c r="AC243" s="77" t="s">
        <v>400</v>
      </c>
      <c r="AD243" s="26">
        <v>243.5771</v>
      </c>
      <c r="AE243" s="26">
        <v>323.95650000000001</v>
      </c>
      <c r="AF243" s="26" t="s">
        <v>641</v>
      </c>
      <c r="AG243" s="25" t="s">
        <v>13</v>
      </c>
      <c r="AH243" s="6" t="s">
        <v>826</v>
      </c>
      <c r="AI243" s="45" t="s">
        <v>487</v>
      </c>
      <c r="AJ243" s="62">
        <f t="shared" si="93"/>
        <v>2.6500000000000004</v>
      </c>
      <c r="AK243" s="62">
        <v>2.7</v>
      </c>
      <c r="AL243" s="62">
        <v>2.6</v>
      </c>
      <c r="AM243" s="26">
        <f t="shared" si="96"/>
        <v>279</v>
      </c>
      <c r="AN243" s="26" t="s">
        <v>389</v>
      </c>
      <c r="AO243" s="66">
        <f t="shared" si="97"/>
        <v>195.29999999999998</v>
      </c>
      <c r="AP243" s="100">
        <f t="shared" si="98"/>
        <v>460.34999999999997</v>
      </c>
      <c r="AQ243" s="29" t="s">
        <v>512</v>
      </c>
      <c r="AR243" s="23" t="s">
        <v>400</v>
      </c>
      <c r="AS243" s="29">
        <v>279</v>
      </c>
      <c r="AT243" s="29">
        <f>AS243-3.74</f>
        <v>275.26</v>
      </c>
      <c r="AU243" s="29">
        <f>AS243+3.74</f>
        <v>282.74</v>
      </c>
      <c r="AV243" s="23" t="s">
        <v>236</v>
      </c>
      <c r="AW243" s="23"/>
      <c r="AX243" s="29" t="s">
        <v>13</v>
      </c>
      <c r="AY243" s="6" t="s">
        <v>844</v>
      </c>
      <c r="AZ243" s="97" t="s">
        <v>13</v>
      </c>
      <c r="BA243" s="72">
        <v>11.53932</v>
      </c>
      <c r="BB243" s="62"/>
      <c r="BC243" s="62"/>
      <c r="BD243" s="26">
        <v>353.79200000000003</v>
      </c>
      <c r="BE243" s="25" t="s">
        <v>239</v>
      </c>
      <c r="BF243" s="29">
        <f t="shared" si="95"/>
        <v>315.6979</v>
      </c>
      <c r="BG243" s="29">
        <f t="shared" si="95"/>
        <v>397.03919999999999</v>
      </c>
      <c r="BH243" s="29" t="s">
        <v>542</v>
      </c>
      <c r="BI243" s="23" t="s">
        <v>419</v>
      </c>
      <c r="BJ243" s="26">
        <v>315.6979</v>
      </c>
      <c r="BK243" s="26">
        <v>397.03919999999999</v>
      </c>
      <c r="BL243" s="39" t="s">
        <v>840</v>
      </c>
      <c r="BM243" s="25" t="s">
        <v>13</v>
      </c>
      <c r="BO243" s="25"/>
      <c r="CA243" s="25" t="s">
        <v>13</v>
      </c>
      <c r="CC243" s="25" t="s">
        <v>13</v>
      </c>
    </row>
    <row r="244" spans="1:81">
      <c r="A244" s="6" t="s">
        <v>76</v>
      </c>
      <c r="B244" s="26" t="s">
        <v>153</v>
      </c>
      <c r="C244" s="62">
        <v>201.8767453354117</v>
      </c>
      <c r="D244" s="62"/>
      <c r="E244" s="62"/>
      <c r="F244" s="23">
        <f t="shared" si="84"/>
        <v>1502</v>
      </c>
      <c r="G244" s="23" t="s">
        <v>389</v>
      </c>
      <c r="H244" s="23">
        <f t="shared" si="91"/>
        <v>751</v>
      </c>
      <c r="I244" s="23">
        <f t="shared" si="92"/>
        <v>3004</v>
      </c>
      <c r="J244" s="23" t="s">
        <v>480</v>
      </c>
      <c r="K244" s="23" t="s">
        <v>400</v>
      </c>
      <c r="L244" s="26">
        <v>2253</v>
      </c>
      <c r="M244" s="26">
        <v>1502.0751</v>
      </c>
      <c r="N244" s="26">
        <v>3003.9249</v>
      </c>
      <c r="O244" s="26">
        <v>3000</v>
      </c>
      <c r="P244" s="22">
        <v>2000</v>
      </c>
      <c r="Q244" s="26" t="s">
        <v>345</v>
      </c>
      <c r="R244" s="26" t="s">
        <v>13</v>
      </c>
      <c r="S244" s="6" t="s">
        <v>639</v>
      </c>
      <c r="T244" s="44" t="s">
        <v>640</v>
      </c>
      <c r="U244" s="62">
        <v>13.784783363342285</v>
      </c>
      <c r="X244" s="26">
        <v>308.1617197098916</v>
      </c>
      <c r="Y244" s="26" t="s">
        <v>389</v>
      </c>
      <c r="Z244" s="26">
        <f t="shared" si="83"/>
        <v>268.79300000000001</v>
      </c>
      <c r="AA244" s="26">
        <f t="shared" si="83"/>
        <v>351.12389999999999</v>
      </c>
      <c r="AB244" s="25" t="s">
        <v>542</v>
      </c>
      <c r="AC244" s="77" t="s">
        <v>400</v>
      </c>
      <c r="AD244" s="26">
        <v>268.79300000000001</v>
      </c>
      <c r="AE244" s="26">
        <v>351.12389999999999</v>
      </c>
      <c r="AF244" s="26" t="s">
        <v>641</v>
      </c>
      <c r="AG244" s="25" t="s">
        <v>13</v>
      </c>
      <c r="AH244" s="6" t="s">
        <v>826</v>
      </c>
      <c r="AI244" s="45" t="s">
        <v>487</v>
      </c>
      <c r="AJ244" s="62">
        <v>2.6</v>
      </c>
      <c r="AK244" s="62"/>
      <c r="AL244" s="62"/>
      <c r="AM244" s="26">
        <f t="shared" si="96"/>
        <v>285</v>
      </c>
      <c r="AN244" s="26" t="s">
        <v>389</v>
      </c>
      <c r="AO244" s="66">
        <f t="shared" si="97"/>
        <v>199.5</v>
      </c>
      <c r="AP244" s="100">
        <f t="shared" si="98"/>
        <v>470.25</v>
      </c>
      <c r="AQ244" s="29" t="s">
        <v>512</v>
      </c>
      <c r="AR244" s="23" t="s">
        <v>400</v>
      </c>
      <c r="AS244" s="29">
        <v>285</v>
      </c>
      <c r="AT244" s="29">
        <f>AS244-5.15</f>
        <v>279.85000000000002</v>
      </c>
      <c r="AU244" s="29">
        <f>AS244+5.15</f>
        <v>290.14999999999998</v>
      </c>
      <c r="AV244" s="23" t="s">
        <v>236</v>
      </c>
      <c r="AW244" s="23"/>
      <c r="AX244" s="29" t="s">
        <v>13</v>
      </c>
      <c r="AY244" s="6" t="s">
        <v>844</v>
      </c>
      <c r="AZ244" s="97" t="s">
        <v>13</v>
      </c>
      <c r="BA244" s="72">
        <v>12.09858</v>
      </c>
      <c r="BB244" s="62"/>
      <c r="BC244" s="62"/>
      <c r="BD244" s="26">
        <v>348.00709999999998</v>
      </c>
      <c r="BE244" s="25" t="s">
        <v>239</v>
      </c>
      <c r="BF244" s="29">
        <f t="shared" si="95"/>
        <v>309.94730000000004</v>
      </c>
      <c r="BG244" s="29">
        <f t="shared" si="95"/>
        <v>389.13029999999998</v>
      </c>
      <c r="BH244" s="29" t="s">
        <v>542</v>
      </c>
      <c r="BI244" s="23" t="s">
        <v>419</v>
      </c>
      <c r="BJ244" s="26">
        <v>309.94730000000004</v>
      </c>
      <c r="BK244" s="26">
        <v>389.13029999999998</v>
      </c>
      <c r="BL244" s="39" t="s">
        <v>840</v>
      </c>
      <c r="BM244" s="25" t="s">
        <v>13</v>
      </c>
      <c r="BO244" s="25"/>
      <c r="CA244" s="25" t="s">
        <v>13</v>
      </c>
      <c r="CC244" s="25" t="s">
        <v>13</v>
      </c>
    </row>
    <row r="245" spans="1:81">
      <c r="A245" s="6" t="s">
        <v>76</v>
      </c>
      <c r="B245" s="26" t="s">
        <v>153</v>
      </c>
      <c r="C245" s="62">
        <v>202.07297018116441</v>
      </c>
      <c r="D245" s="62"/>
      <c r="E245" s="62"/>
      <c r="F245" s="23">
        <f t="shared" si="84"/>
        <v>1508.6666666666667</v>
      </c>
      <c r="G245" s="23" t="s">
        <v>389</v>
      </c>
      <c r="H245" s="23">
        <f t="shared" si="91"/>
        <v>754.33333333333337</v>
      </c>
      <c r="I245" s="23">
        <f t="shared" si="92"/>
        <v>3017.3333333333335</v>
      </c>
      <c r="J245" s="23" t="s">
        <v>480</v>
      </c>
      <c r="K245" s="23" t="s">
        <v>400</v>
      </c>
      <c r="L245" s="26">
        <v>2263</v>
      </c>
      <c r="M245" s="26">
        <v>1508.7420999999999</v>
      </c>
      <c r="N245" s="26">
        <v>3017.2579000000001</v>
      </c>
      <c r="O245" s="26">
        <v>3000</v>
      </c>
      <c r="P245" s="22">
        <v>2000</v>
      </c>
      <c r="Q245" s="26" t="s">
        <v>345</v>
      </c>
      <c r="R245" s="26" t="s">
        <v>13</v>
      </c>
      <c r="S245" s="6" t="s">
        <v>639</v>
      </c>
      <c r="T245" s="44" t="s">
        <v>640</v>
      </c>
      <c r="U245" s="62">
        <v>13.842676162719727</v>
      </c>
      <c r="W245" s="26"/>
      <c r="X245" s="26">
        <v>277.26397615302551</v>
      </c>
      <c r="Y245" s="26" t="s">
        <v>389</v>
      </c>
      <c r="Z245" s="26">
        <f t="shared" si="83"/>
        <v>244.5522</v>
      </c>
      <c r="AA245" s="26">
        <f t="shared" si="83"/>
        <v>313.86540000000002</v>
      </c>
      <c r="AB245" s="25" t="s">
        <v>542</v>
      </c>
      <c r="AC245" s="77" t="s">
        <v>400</v>
      </c>
      <c r="AD245" s="26">
        <v>244.5522</v>
      </c>
      <c r="AE245" s="26">
        <v>313.86540000000002</v>
      </c>
      <c r="AF245" s="26" t="s">
        <v>641</v>
      </c>
      <c r="AG245" s="25" t="s">
        <v>13</v>
      </c>
      <c r="AH245" s="6" t="s">
        <v>826</v>
      </c>
      <c r="AI245" s="45" t="s">
        <v>487</v>
      </c>
      <c r="AJ245" s="62">
        <v>1.85</v>
      </c>
      <c r="AK245" s="62"/>
      <c r="AL245" s="62"/>
      <c r="AM245" s="26">
        <f t="shared" si="96"/>
        <v>280</v>
      </c>
      <c r="AN245" s="26" t="s">
        <v>389</v>
      </c>
      <c r="AO245" s="66">
        <f t="shared" si="97"/>
        <v>196</v>
      </c>
      <c r="AP245" s="100">
        <f t="shared" si="98"/>
        <v>462</v>
      </c>
      <c r="AQ245" s="29" t="s">
        <v>512</v>
      </c>
      <c r="AR245" s="23" t="s">
        <v>400</v>
      </c>
      <c r="AS245" s="29">
        <v>280</v>
      </c>
      <c r="AT245" s="29">
        <f>AS245-6.23</f>
        <v>273.77</v>
      </c>
      <c r="AU245" s="29">
        <f>AS245+6.23</f>
        <v>286.23</v>
      </c>
      <c r="AV245" s="23" t="s">
        <v>236</v>
      </c>
      <c r="AW245" s="23"/>
      <c r="AX245" s="29" t="s">
        <v>13</v>
      </c>
      <c r="AY245" s="6" t="s">
        <v>844</v>
      </c>
      <c r="AZ245" s="97" t="s">
        <v>13</v>
      </c>
      <c r="BA245" s="72">
        <v>12.51984</v>
      </c>
      <c r="BB245" s="62"/>
      <c r="BC245" s="62"/>
      <c r="BD245" s="26">
        <v>298.99309999999997</v>
      </c>
      <c r="BE245" s="25" t="s">
        <v>239</v>
      </c>
      <c r="BF245" s="29">
        <f t="shared" si="95"/>
        <v>262.85059999999999</v>
      </c>
      <c r="BG245" s="29">
        <f t="shared" si="95"/>
        <v>339.45510000000002</v>
      </c>
      <c r="BH245" s="29" t="s">
        <v>542</v>
      </c>
      <c r="BI245" s="23" t="s">
        <v>419</v>
      </c>
      <c r="BJ245" s="26">
        <v>262.85059999999999</v>
      </c>
      <c r="BK245" s="26">
        <v>339.45510000000002</v>
      </c>
      <c r="BL245" s="39" t="s">
        <v>840</v>
      </c>
      <c r="BM245" s="25" t="s">
        <v>13</v>
      </c>
      <c r="BO245" s="25"/>
      <c r="CA245" s="25" t="s">
        <v>13</v>
      </c>
      <c r="CC245" s="25" t="s">
        <v>13</v>
      </c>
    </row>
    <row r="246" spans="1:81">
      <c r="A246" s="6" t="s">
        <v>76</v>
      </c>
      <c r="B246" s="26" t="s">
        <v>153</v>
      </c>
      <c r="C246" s="62">
        <v>202.1734093808644</v>
      </c>
      <c r="D246" s="62"/>
      <c r="E246" s="62"/>
      <c r="F246" s="23">
        <f t="shared" si="84"/>
        <v>1064.6666666666667</v>
      </c>
      <c r="G246" s="23" t="s">
        <v>389</v>
      </c>
      <c r="H246" s="23">
        <f t="shared" si="91"/>
        <v>532.33333333333337</v>
      </c>
      <c r="I246" s="23">
        <f t="shared" si="92"/>
        <v>2129.3333333333335</v>
      </c>
      <c r="J246" s="23" t="s">
        <v>480</v>
      </c>
      <c r="K246" s="23" t="s">
        <v>400</v>
      </c>
      <c r="L246" s="26">
        <v>1597</v>
      </c>
      <c r="M246" s="26">
        <v>1064.7199000000001</v>
      </c>
      <c r="N246" s="26">
        <v>2129.2800999999999</v>
      </c>
      <c r="O246" s="26">
        <v>3000</v>
      </c>
      <c r="P246" s="22">
        <v>2000</v>
      </c>
      <c r="Q246" s="26" t="s">
        <v>345</v>
      </c>
      <c r="R246" s="26" t="s">
        <v>13</v>
      </c>
      <c r="S246" s="6" t="s">
        <v>639</v>
      </c>
      <c r="T246" s="44" t="s">
        <v>640</v>
      </c>
      <c r="U246" s="62">
        <v>13.854738235473633</v>
      </c>
      <c r="W246" s="26"/>
      <c r="X246" s="26">
        <v>330.70651231986949</v>
      </c>
      <c r="Y246" s="26" t="s">
        <v>389</v>
      </c>
      <c r="Z246" s="26">
        <f t="shared" si="83"/>
        <v>287.11880000000002</v>
      </c>
      <c r="AA246" s="26">
        <f t="shared" si="83"/>
        <v>379.34440000000001</v>
      </c>
      <c r="AB246" s="25" t="s">
        <v>542</v>
      </c>
      <c r="AC246" s="77" t="s">
        <v>400</v>
      </c>
      <c r="AD246" s="26">
        <v>287.11880000000002</v>
      </c>
      <c r="AE246" s="26">
        <v>379.34440000000001</v>
      </c>
      <c r="AF246" s="26" t="s">
        <v>641</v>
      </c>
      <c r="AG246" s="25" t="s">
        <v>13</v>
      </c>
      <c r="AH246" s="6" t="s">
        <v>826</v>
      </c>
      <c r="AI246" s="45" t="s">
        <v>487</v>
      </c>
      <c r="AJ246" s="62">
        <v>0.95</v>
      </c>
      <c r="AK246" s="62"/>
      <c r="AL246" s="62"/>
      <c r="AM246" s="26">
        <f t="shared" si="96"/>
        <v>278</v>
      </c>
      <c r="AN246" s="26" t="s">
        <v>389</v>
      </c>
      <c r="AO246" s="66">
        <f t="shared" si="97"/>
        <v>194.6</v>
      </c>
      <c r="AP246" s="100">
        <f t="shared" si="98"/>
        <v>458.7</v>
      </c>
      <c r="AQ246" s="29" t="s">
        <v>512</v>
      </c>
      <c r="AR246" s="23" t="s">
        <v>400</v>
      </c>
      <c r="AS246" s="29">
        <v>278</v>
      </c>
      <c r="AT246" s="29">
        <f>AS246-3.86</f>
        <v>274.14</v>
      </c>
      <c r="AU246" s="29">
        <f>AS246+3.86</f>
        <v>281.86</v>
      </c>
      <c r="AV246" s="23" t="s">
        <v>236</v>
      </c>
      <c r="AW246" s="23"/>
      <c r="AX246" s="29" t="s">
        <v>13</v>
      </c>
      <c r="AY246" s="6" t="s">
        <v>844</v>
      </c>
      <c r="AZ246" s="97" t="s">
        <v>13</v>
      </c>
      <c r="BA246" s="72">
        <v>16.013760000000001</v>
      </c>
      <c r="BB246" s="62"/>
      <c r="BC246" s="62"/>
      <c r="BD246" s="26">
        <v>519.01130000000001</v>
      </c>
      <c r="BE246" s="25" t="s">
        <v>239</v>
      </c>
      <c r="BF246" s="29">
        <f t="shared" si="95"/>
        <v>458.42320000000001</v>
      </c>
      <c r="BG246" s="29">
        <f t="shared" si="95"/>
        <v>580.71809999999994</v>
      </c>
      <c r="BH246" s="29" t="s">
        <v>542</v>
      </c>
      <c r="BI246" s="23" t="s">
        <v>419</v>
      </c>
      <c r="BJ246" s="26">
        <v>458.42320000000001</v>
      </c>
      <c r="BK246" s="26">
        <v>580.71809999999994</v>
      </c>
      <c r="BL246" s="39" t="s">
        <v>840</v>
      </c>
      <c r="BM246" s="25" t="s">
        <v>13</v>
      </c>
      <c r="BO246" s="25"/>
      <c r="CA246" s="25" t="s">
        <v>13</v>
      </c>
      <c r="CC246" s="25" t="s">
        <v>13</v>
      </c>
    </row>
    <row r="247" spans="1:81">
      <c r="A247" s="6" t="s">
        <v>76</v>
      </c>
      <c r="B247" s="26" t="s">
        <v>153</v>
      </c>
      <c r="C247" s="62">
        <v>202.51029163868185</v>
      </c>
      <c r="D247" s="62"/>
      <c r="E247" s="62"/>
      <c r="F247" s="23">
        <f t="shared" si="84"/>
        <v>1612.6666666666667</v>
      </c>
      <c r="G247" s="23" t="s">
        <v>389</v>
      </c>
      <c r="H247" s="23">
        <f t="shared" si="91"/>
        <v>806.33333333333337</v>
      </c>
      <c r="I247" s="23">
        <f t="shared" si="92"/>
        <v>3225.3333333333335</v>
      </c>
      <c r="J247" s="23" t="s">
        <v>480</v>
      </c>
      <c r="K247" s="23" t="s">
        <v>400</v>
      </c>
      <c r="L247" s="26">
        <v>2419</v>
      </c>
      <c r="M247" s="26">
        <v>1612.7473</v>
      </c>
      <c r="N247" s="26">
        <v>3225.2527</v>
      </c>
      <c r="O247" s="26">
        <v>3000</v>
      </c>
      <c r="P247" s="22">
        <v>2000</v>
      </c>
      <c r="Q247" s="26" t="s">
        <v>345</v>
      </c>
      <c r="R247" s="26" t="s">
        <v>13</v>
      </c>
      <c r="S247" s="6" t="s">
        <v>639</v>
      </c>
      <c r="T247" s="44" t="s">
        <v>640</v>
      </c>
      <c r="U247" s="62">
        <v>14.465030670166016</v>
      </c>
      <c r="W247" s="26"/>
      <c r="X247" s="26">
        <v>314.34305902308216</v>
      </c>
      <c r="Y247" s="26" t="s">
        <v>389</v>
      </c>
      <c r="Z247" s="26">
        <f t="shared" si="83"/>
        <v>279.48649999999998</v>
      </c>
      <c r="AA247" s="26">
        <f t="shared" si="83"/>
        <v>359.17950000000002</v>
      </c>
      <c r="AB247" s="25" t="s">
        <v>542</v>
      </c>
      <c r="AC247" s="77" t="s">
        <v>400</v>
      </c>
      <c r="AD247" s="26">
        <v>279.48649999999998</v>
      </c>
      <c r="AE247" s="26">
        <v>359.17950000000002</v>
      </c>
      <c r="AF247" s="26" t="s">
        <v>641</v>
      </c>
      <c r="AG247" s="25" t="s">
        <v>13</v>
      </c>
      <c r="AH247" s="6" t="s">
        <v>826</v>
      </c>
      <c r="AI247" s="45" t="s">
        <v>490</v>
      </c>
      <c r="AJ247" s="62">
        <f t="shared" ref="AJ247:AJ256" si="99">AVERAGE(AK247:AL247)</f>
        <v>97.2</v>
      </c>
      <c r="AK247" s="62">
        <v>100.5</v>
      </c>
      <c r="AL247" s="62">
        <v>93.9</v>
      </c>
      <c r="AM247" s="26">
        <f>AVERAGE(AO247:AP247)</f>
        <v>1037.1428571428569</v>
      </c>
      <c r="AN247" s="26" t="s">
        <v>389</v>
      </c>
      <c r="AO247" s="66">
        <f>12.1/5.25*1*300</f>
        <v>691.42857142857133</v>
      </c>
      <c r="AP247" s="100">
        <f>12.1/5.25*2*300</f>
        <v>1382.8571428571427</v>
      </c>
      <c r="AQ247" s="29" t="s">
        <v>426</v>
      </c>
      <c r="AR247" s="26" t="s">
        <v>422</v>
      </c>
      <c r="AS247" s="29"/>
      <c r="AT247" s="29">
        <f>709-123</f>
        <v>586</v>
      </c>
      <c r="AU247" s="29">
        <f>1419+247</f>
        <v>1666</v>
      </c>
      <c r="AV247" s="39" t="s">
        <v>60</v>
      </c>
      <c r="AW247" s="39"/>
      <c r="AX247" s="29" t="s">
        <v>13</v>
      </c>
      <c r="AY247" s="6" t="s">
        <v>844</v>
      </c>
      <c r="AZ247" s="97" t="s">
        <v>13</v>
      </c>
      <c r="BA247" s="72">
        <v>16.024069999999998</v>
      </c>
      <c r="BB247" s="62"/>
      <c r="BC247" s="62"/>
      <c r="BD247" s="26">
        <v>379.51429999999999</v>
      </c>
      <c r="BE247" s="25" t="s">
        <v>239</v>
      </c>
      <c r="BF247" s="29">
        <f t="shared" si="95"/>
        <v>337.74219999999997</v>
      </c>
      <c r="BG247" s="29">
        <f t="shared" si="95"/>
        <v>423.23200000000003</v>
      </c>
      <c r="BH247" s="29" t="s">
        <v>542</v>
      </c>
      <c r="BI247" s="23" t="s">
        <v>419</v>
      </c>
      <c r="BJ247" s="26">
        <v>337.74219999999997</v>
      </c>
      <c r="BK247" s="26">
        <v>423.23200000000003</v>
      </c>
      <c r="BL247" s="39" t="s">
        <v>840</v>
      </c>
      <c r="BM247" s="25" t="s">
        <v>13</v>
      </c>
      <c r="BO247" s="25"/>
      <c r="CA247" s="25" t="s">
        <v>13</v>
      </c>
      <c r="CC247" s="25" t="s">
        <v>13</v>
      </c>
    </row>
    <row r="248" spans="1:81">
      <c r="A248" s="6" t="s">
        <v>76</v>
      </c>
      <c r="B248" s="26" t="s">
        <v>153</v>
      </c>
      <c r="C248" s="62">
        <v>202.95416810188314</v>
      </c>
      <c r="D248" s="62"/>
      <c r="E248" s="62"/>
      <c r="F248" s="23">
        <f t="shared" si="84"/>
        <v>1487.3333333333333</v>
      </c>
      <c r="G248" s="23" t="s">
        <v>389</v>
      </c>
      <c r="H248" s="23">
        <f t="shared" si="91"/>
        <v>743.66666666666663</v>
      </c>
      <c r="I248" s="23">
        <f t="shared" si="92"/>
        <v>2974.6666666666665</v>
      </c>
      <c r="J248" s="23" t="s">
        <v>480</v>
      </c>
      <c r="K248" s="23" t="s">
        <v>400</v>
      </c>
      <c r="L248" s="26">
        <v>2231</v>
      </c>
      <c r="M248" s="26">
        <v>1487.4077</v>
      </c>
      <c r="N248" s="26">
        <v>2974.5923000000003</v>
      </c>
      <c r="O248" s="26">
        <v>3000</v>
      </c>
      <c r="P248" s="22">
        <v>2000</v>
      </c>
      <c r="Q248" s="26" t="s">
        <v>345</v>
      </c>
      <c r="R248" s="26" t="s">
        <v>13</v>
      </c>
      <c r="S248" s="6" t="s">
        <v>639</v>
      </c>
      <c r="T248" s="44" t="s">
        <v>640</v>
      </c>
      <c r="U248" s="62">
        <v>14.557297706604004</v>
      </c>
      <c r="W248" s="26"/>
      <c r="X248" s="26">
        <v>300.76861338273574</v>
      </c>
      <c r="Y248" s="26" t="s">
        <v>389</v>
      </c>
      <c r="Z248" s="26">
        <f t="shared" si="83"/>
        <v>266.94189999999998</v>
      </c>
      <c r="AA248" s="26">
        <f t="shared" si="83"/>
        <v>342.59550000000002</v>
      </c>
      <c r="AB248" s="25" t="s">
        <v>542</v>
      </c>
      <c r="AC248" s="77" t="s">
        <v>400</v>
      </c>
      <c r="AD248" s="26">
        <v>266.94189999999998</v>
      </c>
      <c r="AE248" s="26">
        <v>342.59550000000002</v>
      </c>
      <c r="AF248" s="26" t="s">
        <v>641</v>
      </c>
      <c r="AG248" s="25" t="s">
        <v>13</v>
      </c>
      <c r="AH248" s="6" t="s">
        <v>827</v>
      </c>
      <c r="AI248" s="45" t="s">
        <v>488</v>
      </c>
      <c r="AJ248" s="62">
        <f t="shared" si="99"/>
        <v>117</v>
      </c>
      <c r="AK248" s="62">
        <v>123</v>
      </c>
      <c r="AL248" s="62">
        <v>111</v>
      </c>
      <c r="AM248" s="26">
        <f>AVERAGE(AT248:AU248)</f>
        <v>795.5</v>
      </c>
      <c r="AN248" s="26" t="s">
        <v>389</v>
      </c>
      <c r="AO248" s="66">
        <f t="shared" ref="AO248:AP253" si="100">AT248</f>
        <v>531</v>
      </c>
      <c r="AP248" s="100">
        <f t="shared" si="100"/>
        <v>1060</v>
      </c>
      <c r="AQ248" s="29" t="s">
        <v>426</v>
      </c>
      <c r="AR248" s="26" t="s">
        <v>422</v>
      </c>
      <c r="AS248" s="29"/>
      <c r="AT248" s="29">
        <v>531</v>
      </c>
      <c r="AU248" s="29">
        <v>1060</v>
      </c>
      <c r="AV248" s="39" t="s">
        <v>60</v>
      </c>
      <c r="AW248" s="39"/>
      <c r="AX248" s="29" t="s">
        <v>13</v>
      </c>
      <c r="AY248" s="6" t="s">
        <v>844</v>
      </c>
      <c r="AZ248" s="97" t="s">
        <v>13</v>
      </c>
      <c r="BA248" s="72">
        <v>16.071359999999999</v>
      </c>
      <c r="BB248" s="62"/>
      <c r="BC248" s="62"/>
      <c r="BD248" s="26">
        <v>424.16800000000001</v>
      </c>
      <c r="BE248" s="25" t="s">
        <v>239</v>
      </c>
      <c r="BF248" s="29">
        <f t="shared" si="95"/>
        <v>377.61769999999996</v>
      </c>
      <c r="BG248" s="29">
        <f t="shared" si="95"/>
        <v>476.18880000000001</v>
      </c>
      <c r="BH248" s="29" t="s">
        <v>542</v>
      </c>
      <c r="BI248" s="23" t="s">
        <v>419</v>
      </c>
      <c r="BJ248" s="26">
        <v>377.61769999999996</v>
      </c>
      <c r="BK248" s="26">
        <v>476.18880000000001</v>
      </c>
      <c r="BL248" s="39" t="s">
        <v>840</v>
      </c>
      <c r="BM248" s="25" t="s">
        <v>13</v>
      </c>
      <c r="BO248" s="25"/>
      <c r="CA248" s="25" t="s">
        <v>13</v>
      </c>
      <c r="CC248" s="25" t="s">
        <v>13</v>
      </c>
    </row>
    <row r="249" spans="1:81">
      <c r="A249" s="6" t="s">
        <v>76</v>
      </c>
      <c r="B249" s="26" t="s">
        <v>153</v>
      </c>
      <c r="C249" s="62">
        <v>203.09348699179645</v>
      </c>
      <c r="D249" s="62"/>
      <c r="E249" s="62"/>
      <c r="F249" s="23">
        <f t="shared" si="84"/>
        <v>1298</v>
      </c>
      <c r="G249" s="23" t="s">
        <v>389</v>
      </c>
      <c r="H249" s="23">
        <f t="shared" si="91"/>
        <v>649</v>
      </c>
      <c r="I249" s="23">
        <f t="shared" si="92"/>
        <v>2596</v>
      </c>
      <c r="J249" s="23" t="s">
        <v>480</v>
      </c>
      <c r="K249" s="23" t="s">
        <v>400</v>
      </c>
      <c r="L249" s="26">
        <v>1947</v>
      </c>
      <c r="M249" s="26">
        <v>1298.0649000000001</v>
      </c>
      <c r="N249" s="26">
        <v>2595.9350999999997</v>
      </c>
      <c r="O249" s="26">
        <v>3000</v>
      </c>
      <c r="P249" s="22">
        <v>2000</v>
      </c>
      <c r="Q249" s="26" t="s">
        <v>345</v>
      </c>
      <c r="R249" s="26" t="s">
        <v>13</v>
      </c>
      <c r="S249" s="6" t="s">
        <v>639</v>
      </c>
      <c r="T249" s="44" t="s">
        <v>640</v>
      </c>
      <c r="U249" s="62">
        <v>14.598304748535156</v>
      </c>
      <c r="W249" s="26"/>
      <c r="X249" s="26">
        <v>262.82499077305067</v>
      </c>
      <c r="Y249" s="26" t="s">
        <v>389</v>
      </c>
      <c r="Z249" s="26">
        <f t="shared" si="83"/>
        <v>229.21209999999999</v>
      </c>
      <c r="AA249" s="26">
        <f t="shared" si="83"/>
        <v>296.97230000000002</v>
      </c>
      <c r="AB249" s="25" t="s">
        <v>542</v>
      </c>
      <c r="AC249" s="77" t="s">
        <v>400</v>
      </c>
      <c r="AD249" s="26">
        <v>229.21209999999999</v>
      </c>
      <c r="AE249" s="26">
        <v>296.97230000000002</v>
      </c>
      <c r="AF249" s="26" t="s">
        <v>641</v>
      </c>
      <c r="AG249" s="25" t="s">
        <v>13</v>
      </c>
      <c r="AH249" s="6" t="s">
        <v>535</v>
      </c>
      <c r="AI249" s="45" t="s">
        <v>524</v>
      </c>
      <c r="AJ249" s="62">
        <f t="shared" si="99"/>
        <v>23.5</v>
      </c>
      <c r="AK249" s="62">
        <v>24</v>
      </c>
      <c r="AL249" s="62">
        <v>23</v>
      </c>
      <c r="AM249" s="26">
        <f t="shared" ref="AM249:AM256" si="101">AVERAGE(AO249:AP249)</f>
        <v>504</v>
      </c>
      <c r="AN249" s="26" t="s">
        <v>389</v>
      </c>
      <c r="AO249" s="26">
        <f t="shared" si="100"/>
        <v>273</v>
      </c>
      <c r="AP249" s="29">
        <f t="shared" si="100"/>
        <v>735</v>
      </c>
      <c r="AQ249" s="29" t="s">
        <v>426</v>
      </c>
      <c r="AR249" s="26" t="s">
        <v>422</v>
      </c>
      <c r="AS249" s="29">
        <v>476</v>
      </c>
      <c r="AT249" s="29">
        <f>352-79</f>
        <v>273</v>
      </c>
      <c r="AU249" s="29">
        <f>600+135</f>
        <v>735</v>
      </c>
      <c r="AV249" s="39" t="s">
        <v>60</v>
      </c>
      <c r="AW249" s="39" t="s">
        <v>828</v>
      </c>
      <c r="AX249" s="29" t="s">
        <v>13</v>
      </c>
      <c r="AY249" s="6" t="s">
        <v>844</v>
      </c>
      <c r="AZ249" s="97" t="s">
        <v>13</v>
      </c>
      <c r="BA249" s="72">
        <v>16.37726</v>
      </c>
      <c r="BB249" s="62"/>
      <c r="BC249" s="62"/>
      <c r="BD249" s="26">
        <v>344.71680000000003</v>
      </c>
      <c r="BE249" s="25" t="s">
        <v>239</v>
      </c>
      <c r="BF249" s="29">
        <f t="shared" si="95"/>
        <v>306.56540000000001</v>
      </c>
      <c r="BG249" s="29">
        <f t="shared" si="95"/>
        <v>384.80220000000003</v>
      </c>
      <c r="BH249" s="29" t="s">
        <v>542</v>
      </c>
      <c r="BI249" s="23" t="s">
        <v>419</v>
      </c>
      <c r="BJ249" s="26">
        <v>306.56540000000001</v>
      </c>
      <c r="BK249" s="26">
        <v>384.80220000000003</v>
      </c>
      <c r="BL249" s="39" t="s">
        <v>840</v>
      </c>
      <c r="BM249" s="25" t="s">
        <v>13</v>
      </c>
      <c r="BO249" s="25"/>
      <c r="CA249" s="25" t="s">
        <v>13</v>
      </c>
      <c r="CC249" s="25" t="s">
        <v>13</v>
      </c>
    </row>
    <row r="250" spans="1:81">
      <c r="A250" s="6" t="s">
        <v>76</v>
      </c>
      <c r="B250" s="26" t="s">
        <v>153</v>
      </c>
      <c r="C250" s="62">
        <v>203.57182727305965</v>
      </c>
      <c r="D250" s="62"/>
      <c r="E250" s="62"/>
      <c r="F250" s="23">
        <f t="shared" si="84"/>
        <v>1021.3333333333334</v>
      </c>
      <c r="G250" s="23" t="s">
        <v>389</v>
      </c>
      <c r="H250" s="23">
        <f t="shared" si="91"/>
        <v>510.66666666666669</v>
      </c>
      <c r="I250" s="23">
        <f t="shared" si="92"/>
        <v>2042.6666666666667</v>
      </c>
      <c r="J250" s="23" t="s">
        <v>480</v>
      </c>
      <c r="K250" s="23" t="s">
        <v>400</v>
      </c>
      <c r="L250" s="26">
        <v>1532</v>
      </c>
      <c r="M250" s="26">
        <v>1021.3844</v>
      </c>
      <c r="N250" s="26">
        <v>2042.6156000000001</v>
      </c>
      <c r="O250" s="26">
        <v>3000</v>
      </c>
      <c r="P250" s="22">
        <v>2000</v>
      </c>
      <c r="Q250" s="26" t="s">
        <v>345</v>
      </c>
      <c r="R250" s="26" t="s">
        <v>13</v>
      </c>
      <c r="S250" s="6" t="s">
        <v>639</v>
      </c>
      <c r="T250" s="44" t="s">
        <v>640</v>
      </c>
      <c r="U250" s="62">
        <v>14.645343780517578</v>
      </c>
      <c r="W250" s="26"/>
      <c r="X250" s="26">
        <v>457.58431001920843</v>
      </c>
      <c r="Y250" s="26" t="s">
        <v>389</v>
      </c>
      <c r="Z250" s="26">
        <f t="shared" si="83"/>
        <v>401.26190000000003</v>
      </c>
      <c r="AA250" s="26">
        <f t="shared" si="83"/>
        <v>538.58920000000001</v>
      </c>
      <c r="AB250" s="25" t="s">
        <v>542</v>
      </c>
      <c r="AC250" s="77" t="s">
        <v>400</v>
      </c>
      <c r="AD250" s="26">
        <v>401.26190000000003</v>
      </c>
      <c r="AE250" s="26">
        <v>538.58920000000001</v>
      </c>
      <c r="AF250" s="26" t="s">
        <v>641</v>
      </c>
      <c r="AG250" s="25" t="s">
        <v>13</v>
      </c>
      <c r="AH250" s="6" t="s">
        <v>535</v>
      </c>
      <c r="AI250" s="45" t="s">
        <v>525</v>
      </c>
      <c r="AJ250" s="62">
        <f t="shared" si="99"/>
        <v>26.5</v>
      </c>
      <c r="AK250" s="62">
        <v>27</v>
      </c>
      <c r="AL250" s="62">
        <v>26</v>
      </c>
      <c r="AM250" s="26">
        <f t="shared" si="101"/>
        <v>449.5</v>
      </c>
      <c r="AN250" s="26" t="s">
        <v>389</v>
      </c>
      <c r="AO250" s="26">
        <f t="shared" si="100"/>
        <v>259</v>
      </c>
      <c r="AP250" s="29">
        <f t="shared" si="100"/>
        <v>640</v>
      </c>
      <c r="AQ250" s="29" t="s">
        <v>426</v>
      </c>
      <c r="AR250" s="26" t="s">
        <v>422</v>
      </c>
      <c r="AS250" s="29">
        <v>429</v>
      </c>
      <c r="AT250" s="29">
        <f>317-58</f>
        <v>259</v>
      </c>
      <c r="AU250" s="29">
        <f>540+100</f>
        <v>640</v>
      </c>
      <c r="AV250" s="39" t="s">
        <v>60</v>
      </c>
      <c r="AW250" s="39" t="s">
        <v>828</v>
      </c>
      <c r="AX250" s="29" t="s">
        <v>13</v>
      </c>
      <c r="AY250" s="6" t="s">
        <v>844</v>
      </c>
      <c r="AZ250" s="97" t="s">
        <v>13</v>
      </c>
      <c r="BA250" s="72">
        <v>16.716840000000001</v>
      </c>
      <c r="BB250" s="62"/>
      <c r="BC250" s="62"/>
      <c r="BD250" s="26">
        <v>570.14049999999997</v>
      </c>
      <c r="BE250" s="25" t="s">
        <v>239</v>
      </c>
      <c r="BF250" s="29">
        <f t="shared" si="95"/>
        <v>505.39059999999995</v>
      </c>
      <c r="BG250" s="29">
        <f t="shared" si="95"/>
        <v>642.58269999999993</v>
      </c>
      <c r="BH250" s="29" t="s">
        <v>542</v>
      </c>
      <c r="BI250" s="23" t="s">
        <v>419</v>
      </c>
      <c r="BJ250" s="26">
        <v>505.39059999999995</v>
      </c>
      <c r="BK250" s="26">
        <v>642.58269999999993</v>
      </c>
      <c r="BL250" s="39" t="s">
        <v>840</v>
      </c>
      <c r="BM250" s="25" t="s">
        <v>13</v>
      </c>
      <c r="BO250" s="25"/>
      <c r="CA250" s="25" t="s">
        <v>13</v>
      </c>
      <c r="CC250" s="25" t="s">
        <v>13</v>
      </c>
    </row>
    <row r="251" spans="1:81">
      <c r="A251" s="6" t="s">
        <v>76</v>
      </c>
      <c r="B251" s="26" t="s">
        <v>153</v>
      </c>
      <c r="C251" s="62">
        <v>203.7123220609364</v>
      </c>
      <c r="D251" s="62"/>
      <c r="E251" s="62"/>
      <c r="F251" s="23">
        <f t="shared" si="84"/>
        <v>1854.6666666666667</v>
      </c>
      <c r="G251" s="23" t="s">
        <v>389</v>
      </c>
      <c r="H251" s="23">
        <f t="shared" si="91"/>
        <v>927.33333333333337</v>
      </c>
      <c r="I251" s="23">
        <f t="shared" si="92"/>
        <v>3709.3333333333335</v>
      </c>
      <c r="J251" s="23" t="s">
        <v>480</v>
      </c>
      <c r="K251" s="23" t="s">
        <v>400</v>
      </c>
      <c r="L251" s="26">
        <v>2782</v>
      </c>
      <c r="M251" s="26">
        <v>1854.7593999999999</v>
      </c>
      <c r="N251" s="26">
        <v>3709.2406000000001</v>
      </c>
      <c r="O251" s="26">
        <v>3000</v>
      </c>
      <c r="P251" s="22">
        <v>2000</v>
      </c>
      <c r="Q251" s="26" t="s">
        <v>345</v>
      </c>
      <c r="R251" s="26" t="s">
        <v>13</v>
      </c>
      <c r="S251" s="6" t="s">
        <v>639</v>
      </c>
      <c r="T251" s="44" t="s">
        <v>640</v>
      </c>
      <c r="U251" s="62">
        <v>14.691778182983398</v>
      </c>
      <c r="W251" s="26"/>
      <c r="X251" s="26">
        <v>349.84196918379115</v>
      </c>
      <c r="Y251" s="26" t="s">
        <v>389</v>
      </c>
      <c r="Z251" s="26">
        <f t="shared" si="83"/>
        <v>309.95400000000001</v>
      </c>
      <c r="AA251" s="26">
        <f t="shared" si="83"/>
        <v>402.52289999999999</v>
      </c>
      <c r="AB251" s="25" t="s">
        <v>542</v>
      </c>
      <c r="AC251" s="77" t="s">
        <v>400</v>
      </c>
      <c r="AD251" s="26">
        <v>309.95400000000001</v>
      </c>
      <c r="AE251" s="26">
        <v>402.52289999999999</v>
      </c>
      <c r="AF251" s="26" t="s">
        <v>641</v>
      </c>
      <c r="AG251" s="25" t="s">
        <v>13</v>
      </c>
      <c r="AH251" s="6" t="s">
        <v>535</v>
      </c>
      <c r="AI251" s="45" t="s">
        <v>526</v>
      </c>
      <c r="AJ251" s="62">
        <f t="shared" si="99"/>
        <v>33.450000000000003</v>
      </c>
      <c r="AK251" s="62">
        <v>33.9</v>
      </c>
      <c r="AL251" s="62">
        <v>33</v>
      </c>
      <c r="AM251" s="26">
        <f t="shared" si="101"/>
        <v>430.5</v>
      </c>
      <c r="AN251" s="26" t="s">
        <v>389</v>
      </c>
      <c r="AO251" s="26">
        <f t="shared" si="100"/>
        <v>244</v>
      </c>
      <c r="AP251" s="29">
        <f t="shared" si="100"/>
        <v>617</v>
      </c>
      <c r="AQ251" s="29" t="s">
        <v>426</v>
      </c>
      <c r="AR251" s="26" t="s">
        <v>422</v>
      </c>
      <c r="AS251" s="29">
        <v>409</v>
      </c>
      <c r="AT251" s="29">
        <f>303-59</f>
        <v>244</v>
      </c>
      <c r="AU251" s="29">
        <f>516+101</f>
        <v>617</v>
      </c>
      <c r="AV251" s="39" t="s">
        <v>60</v>
      </c>
      <c r="AW251" s="39" t="s">
        <v>828</v>
      </c>
      <c r="AX251" s="29" t="s">
        <v>13</v>
      </c>
      <c r="AY251" s="6" t="s">
        <v>844</v>
      </c>
      <c r="AZ251" s="97" t="s">
        <v>13</v>
      </c>
      <c r="BA251" s="72">
        <v>16.861049999999999</v>
      </c>
      <c r="BB251" s="62"/>
      <c r="BC251" s="62"/>
      <c r="BD251" s="26">
        <v>371.07159999999999</v>
      </c>
      <c r="BE251" s="25" t="s">
        <v>239</v>
      </c>
      <c r="BF251" s="29">
        <f t="shared" si="95"/>
        <v>329.63079999999997</v>
      </c>
      <c r="BG251" s="29">
        <f t="shared" si="95"/>
        <v>414.39910000000003</v>
      </c>
      <c r="BH251" s="29" t="s">
        <v>542</v>
      </c>
      <c r="BI251" s="23" t="s">
        <v>419</v>
      </c>
      <c r="BJ251" s="26">
        <v>329.63079999999997</v>
      </c>
      <c r="BK251" s="26">
        <v>414.39910000000003</v>
      </c>
      <c r="BL251" s="39" t="s">
        <v>840</v>
      </c>
      <c r="BM251" s="25" t="s">
        <v>13</v>
      </c>
      <c r="BO251" s="25"/>
      <c r="CA251" s="25" t="s">
        <v>13</v>
      </c>
      <c r="CC251" s="25" t="s">
        <v>13</v>
      </c>
    </row>
    <row r="252" spans="1:81">
      <c r="A252" s="6" t="s">
        <v>76</v>
      </c>
      <c r="B252" s="26" t="s">
        <v>153</v>
      </c>
      <c r="C252" s="62">
        <v>203.94560020217907</v>
      </c>
      <c r="D252" s="62"/>
      <c r="E252" s="62"/>
      <c r="F252" s="23">
        <f t="shared" si="84"/>
        <v>983.33333333333337</v>
      </c>
      <c r="G252" s="23" t="s">
        <v>389</v>
      </c>
      <c r="H252" s="23">
        <f t="shared" si="91"/>
        <v>491.66666666666669</v>
      </c>
      <c r="I252" s="23">
        <f t="shared" si="92"/>
        <v>1966.6666666666667</v>
      </c>
      <c r="J252" s="23" t="s">
        <v>480</v>
      </c>
      <c r="K252" s="23" t="s">
        <v>400</v>
      </c>
      <c r="L252" s="26">
        <v>1475</v>
      </c>
      <c r="M252" s="26">
        <v>983.38250000000005</v>
      </c>
      <c r="N252" s="26">
        <v>1966.6175000000001</v>
      </c>
      <c r="O252" s="26">
        <v>3000</v>
      </c>
      <c r="P252" s="22">
        <v>2000</v>
      </c>
      <c r="Q252" s="26" t="s">
        <v>345</v>
      </c>
      <c r="R252" s="26" t="s">
        <v>13</v>
      </c>
      <c r="S252" s="6" t="s">
        <v>639</v>
      </c>
      <c r="T252" s="44" t="s">
        <v>640</v>
      </c>
      <c r="U252" s="62">
        <v>14.779195785522461</v>
      </c>
      <c r="W252" s="26"/>
      <c r="X252" s="26">
        <v>482.4947343867716</v>
      </c>
      <c r="Y252" s="26" t="s">
        <v>389</v>
      </c>
      <c r="Z252" s="26">
        <f t="shared" si="83"/>
        <v>421.54219999999998</v>
      </c>
      <c r="AA252" s="26">
        <f t="shared" si="83"/>
        <v>568.02560000000005</v>
      </c>
      <c r="AB252" s="25" t="s">
        <v>542</v>
      </c>
      <c r="AC252" s="77" t="s">
        <v>400</v>
      </c>
      <c r="AD252" s="26">
        <v>421.54219999999998</v>
      </c>
      <c r="AE252" s="26">
        <v>568.02560000000005</v>
      </c>
      <c r="AF252" s="26" t="s">
        <v>641</v>
      </c>
      <c r="AG252" s="25" t="s">
        <v>13</v>
      </c>
      <c r="AH252" s="6" t="s">
        <v>535</v>
      </c>
      <c r="AI252" s="45" t="s">
        <v>527</v>
      </c>
      <c r="AJ252" s="62">
        <f t="shared" si="99"/>
        <v>34.450000000000003</v>
      </c>
      <c r="AK252" s="62">
        <v>35</v>
      </c>
      <c r="AL252" s="62">
        <v>33.9</v>
      </c>
      <c r="AM252" s="26">
        <f t="shared" si="101"/>
        <v>421.5</v>
      </c>
      <c r="AN252" s="26" t="s">
        <v>389</v>
      </c>
      <c r="AO252" s="26">
        <f t="shared" si="100"/>
        <v>268</v>
      </c>
      <c r="AP252" s="29">
        <f t="shared" si="100"/>
        <v>575</v>
      </c>
      <c r="AQ252" s="29" t="s">
        <v>426</v>
      </c>
      <c r="AR252" s="26" t="s">
        <v>422</v>
      </c>
      <c r="AS252" s="29">
        <v>410</v>
      </c>
      <c r="AT252" s="29">
        <f>303-35</f>
        <v>268</v>
      </c>
      <c r="AU252" s="29">
        <f>514+61</f>
        <v>575</v>
      </c>
      <c r="AV252" s="39" t="s">
        <v>60</v>
      </c>
      <c r="AW252" s="39" t="s">
        <v>828</v>
      </c>
      <c r="AX252" s="29" t="s">
        <v>13</v>
      </c>
      <c r="AY252" s="6" t="s">
        <v>844</v>
      </c>
      <c r="AZ252" s="97" t="s">
        <v>13</v>
      </c>
      <c r="BA252" s="72">
        <v>16.89715</v>
      </c>
      <c r="BB252" s="62"/>
      <c r="BC252" s="62"/>
      <c r="BD252" s="26">
        <v>389.42520000000002</v>
      </c>
      <c r="BE252" s="25" t="s">
        <v>239</v>
      </c>
      <c r="BF252" s="29">
        <f t="shared" si="95"/>
        <v>346.14519999999999</v>
      </c>
      <c r="BG252" s="29">
        <f t="shared" si="95"/>
        <v>436.55560000000003</v>
      </c>
      <c r="BH252" s="29" t="s">
        <v>542</v>
      </c>
      <c r="BI252" s="23" t="s">
        <v>419</v>
      </c>
      <c r="BJ252" s="26">
        <v>346.14519999999999</v>
      </c>
      <c r="BK252" s="26">
        <v>436.55560000000003</v>
      </c>
      <c r="BL252" s="39" t="s">
        <v>840</v>
      </c>
      <c r="BM252" s="25" t="s">
        <v>13</v>
      </c>
      <c r="BO252" s="25"/>
      <c r="CA252" s="25" t="s">
        <v>13</v>
      </c>
      <c r="CC252" s="25" t="s">
        <v>13</v>
      </c>
    </row>
    <row r="253" spans="1:81">
      <c r="A253" s="6" t="s">
        <v>259</v>
      </c>
      <c r="B253" s="26" t="s">
        <v>260</v>
      </c>
      <c r="C253" s="62">
        <v>211.9</v>
      </c>
      <c r="F253" s="23">
        <f t="shared" si="84"/>
        <v>1183.3333333333333</v>
      </c>
      <c r="G253" s="23" t="s">
        <v>389</v>
      </c>
      <c r="H253" s="23">
        <f t="shared" si="91"/>
        <v>591.66666666666663</v>
      </c>
      <c r="I253" s="23">
        <f>F253*2</f>
        <v>2366.6666666666665</v>
      </c>
      <c r="J253" s="23" t="s">
        <v>480</v>
      </c>
      <c r="K253" s="23" t="s">
        <v>400</v>
      </c>
      <c r="L253" s="26">
        <v>1775</v>
      </c>
      <c r="M253" s="26">
        <f>L253-592</f>
        <v>1183</v>
      </c>
      <c r="N253" s="26">
        <f>L253+592</f>
        <v>2367</v>
      </c>
      <c r="O253" s="26">
        <v>3000</v>
      </c>
      <c r="P253" s="26">
        <f>35.3*40+588</f>
        <v>2000</v>
      </c>
      <c r="Q253" s="26" t="s">
        <v>391</v>
      </c>
      <c r="R253" s="26" t="s">
        <v>13</v>
      </c>
      <c r="S253" s="6" t="s">
        <v>639</v>
      </c>
      <c r="T253" s="44" t="s">
        <v>640</v>
      </c>
      <c r="U253" s="62">
        <v>15.030062675476074</v>
      </c>
      <c r="W253" s="26"/>
      <c r="X253" s="26">
        <v>463.9159659163638</v>
      </c>
      <c r="Y253" s="26" t="s">
        <v>389</v>
      </c>
      <c r="Z253" s="26">
        <f t="shared" si="83"/>
        <v>405.94009999999997</v>
      </c>
      <c r="AA253" s="26">
        <f t="shared" si="83"/>
        <v>544.07899999999995</v>
      </c>
      <c r="AB253" s="25" t="s">
        <v>542</v>
      </c>
      <c r="AC253" s="77" t="s">
        <v>400</v>
      </c>
      <c r="AD253" s="26">
        <v>405.94009999999997</v>
      </c>
      <c r="AE253" s="26">
        <v>544.07899999999995</v>
      </c>
      <c r="AF253" s="26" t="s">
        <v>641</v>
      </c>
      <c r="AG253" s="25" t="s">
        <v>13</v>
      </c>
      <c r="AH253" s="6" t="s">
        <v>535</v>
      </c>
      <c r="AI253" s="45" t="s">
        <v>528</v>
      </c>
      <c r="AJ253" s="62">
        <f t="shared" si="99"/>
        <v>36</v>
      </c>
      <c r="AK253" s="62">
        <v>36.5</v>
      </c>
      <c r="AL253" s="62">
        <v>35.5</v>
      </c>
      <c r="AM253" s="26">
        <f t="shared" si="101"/>
        <v>383</v>
      </c>
      <c r="AN253" s="26" t="s">
        <v>389</v>
      </c>
      <c r="AO253" s="26">
        <f t="shared" si="100"/>
        <v>216</v>
      </c>
      <c r="AP253" s="29">
        <f t="shared" si="100"/>
        <v>550</v>
      </c>
      <c r="AQ253" s="29" t="s">
        <v>426</v>
      </c>
      <c r="AR253" s="26" t="s">
        <v>422</v>
      </c>
      <c r="AS253" s="29">
        <v>365</v>
      </c>
      <c r="AT253" s="29">
        <f>269-53</f>
        <v>216</v>
      </c>
      <c r="AU253" s="29">
        <f>460+90</f>
        <v>550</v>
      </c>
      <c r="AV253" s="39" t="s">
        <v>60</v>
      </c>
      <c r="AW253" s="39" t="s">
        <v>828</v>
      </c>
      <c r="AX253" s="29" t="s">
        <v>13</v>
      </c>
      <c r="AY253" s="6" t="s">
        <v>844</v>
      </c>
      <c r="AZ253" s="97" t="s">
        <v>13</v>
      </c>
      <c r="BA253" s="72">
        <v>17.081520000000001</v>
      </c>
      <c r="BB253" s="62"/>
      <c r="BC253" s="62"/>
      <c r="BD253" s="26">
        <v>342.40370000000001</v>
      </c>
      <c r="BE253" s="25" t="s">
        <v>239</v>
      </c>
      <c r="BF253" s="29">
        <f t="shared" si="95"/>
        <v>305.03870000000001</v>
      </c>
      <c r="BG253" s="29">
        <f t="shared" si="95"/>
        <v>384.0883</v>
      </c>
      <c r="BH253" s="29" t="s">
        <v>542</v>
      </c>
      <c r="BI253" s="23" t="s">
        <v>419</v>
      </c>
      <c r="BJ253" s="26">
        <v>305.03870000000001</v>
      </c>
      <c r="BK253" s="26">
        <v>384.0883</v>
      </c>
      <c r="BL253" s="39" t="s">
        <v>840</v>
      </c>
      <c r="BM253" s="25" t="s">
        <v>13</v>
      </c>
      <c r="BO253" s="25"/>
      <c r="CA253" s="25" t="s">
        <v>13</v>
      </c>
      <c r="CC253" s="25" t="s">
        <v>13</v>
      </c>
    </row>
    <row r="254" spans="1:81">
      <c r="A254" s="6" t="s">
        <v>259</v>
      </c>
      <c r="B254" s="26" t="s">
        <v>260</v>
      </c>
      <c r="C254" s="62">
        <v>211.9</v>
      </c>
      <c r="F254" s="23">
        <f t="shared" si="84"/>
        <v>1135.3333333333333</v>
      </c>
      <c r="G254" s="23" t="s">
        <v>389</v>
      </c>
      <c r="H254" s="23">
        <f t="shared" si="91"/>
        <v>567.66666666666663</v>
      </c>
      <c r="I254" s="23">
        <f>F254*2</f>
        <v>2270.6666666666665</v>
      </c>
      <c r="J254" s="23" t="s">
        <v>480</v>
      </c>
      <c r="K254" s="23" t="s">
        <v>400</v>
      </c>
      <c r="L254" s="26">
        <v>1703</v>
      </c>
      <c r="M254" s="26">
        <f>L254-568</f>
        <v>1135</v>
      </c>
      <c r="N254" s="26">
        <f>L254+568</f>
        <v>2271</v>
      </c>
      <c r="O254" s="26">
        <v>3000</v>
      </c>
      <c r="P254" s="26">
        <f t="shared" ref="P254:P289" si="102">35.3*40+588</f>
        <v>2000</v>
      </c>
      <c r="Q254" s="26" t="s">
        <v>391</v>
      </c>
      <c r="R254" s="26" t="s">
        <v>13</v>
      </c>
      <c r="S254" s="6" t="s">
        <v>639</v>
      </c>
      <c r="T254" s="44" t="s">
        <v>640</v>
      </c>
      <c r="U254" s="62">
        <v>15.74880313873291</v>
      </c>
      <c r="W254" s="26"/>
      <c r="X254" s="26">
        <v>385.54803502202935</v>
      </c>
      <c r="Y254" s="26" t="s">
        <v>389</v>
      </c>
      <c r="Z254" s="26">
        <f t="shared" si="83"/>
        <v>339.45749999999998</v>
      </c>
      <c r="AA254" s="26">
        <f t="shared" si="83"/>
        <v>445.92660000000001</v>
      </c>
      <c r="AB254" s="25" t="s">
        <v>542</v>
      </c>
      <c r="AC254" s="77" t="s">
        <v>400</v>
      </c>
      <c r="AD254" s="26">
        <v>339.45749999999998</v>
      </c>
      <c r="AE254" s="26">
        <v>445.92660000000001</v>
      </c>
      <c r="AF254" s="26" t="s">
        <v>641</v>
      </c>
      <c r="AG254" s="25" t="s">
        <v>13</v>
      </c>
      <c r="AH254" s="6" t="s">
        <v>529</v>
      </c>
      <c r="AI254" s="45" t="s">
        <v>530</v>
      </c>
      <c r="AJ254" s="62">
        <f t="shared" si="99"/>
        <v>204.9</v>
      </c>
      <c r="AK254" s="62">
        <v>208.5</v>
      </c>
      <c r="AL254" s="62">
        <v>201.3</v>
      </c>
      <c r="AM254" s="26">
        <f t="shared" si="101"/>
        <v>1471.5</v>
      </c>
      <c r="AN254" s="26" t="s">
        <v>389</v>
      </c>
      <c r="AO254" s="26">
        <f>3.27*1*300</f>
        <v>981</v>
      </c>
      <c r="AP254" s="29">
        <f>3.27*2*300</f>
        <v>1962</v>
      </c>
      <c r="AQ254" s="29" t="s">
        <v>426</v>
      </c>
      <c r="AR254" s="26" t="s">
        <v>422</v>
      </c>
      <c r="AS254" s="29">
        <v>1962</v>
      </c>
      <c r="AT254" s="29"/>
      <c r="AU254" s="29"/>
      <c r="AV254" s="39" t="s">
        <v>60</v>
      </c>
      <c r="AW254" s="39" t="s">
        <v>761</v>
      </c>
      <c r="AX254" s="29" t="s">
        <v>13</v>
      </c>
      <c r="AY254" s="6" t="s">
        <v>844</v>
      </c>
      <c r="AZ254" s="97" t="s">
        <v>13</v>
      </c>
      <c r="BA254" s="72">
        <v>17.71921</v>
      </c>
      <c r="BB254" s="62"/>
      <c r="BC254" s="62"/>
      <c r="BD254" s="26">
        <v>490.26150000000001</v>
      </c>
      <c r="BE254" s="25" t="s">
        <v>239</v>
      </c>
      <c r="BF254" s="29">
        <f t="shared" si="95"/>
        <v>431.99759999999998</v>
      </c>
      <c r="BG254" s="29">
        <f t="shared" si="95"/>
        <v>552.43770000000006</v>
      </c>
      <c r="BH254" s="29" t="s">
        <v>542</v>
      </c>
      <c r="BI254" s="23" t="s">
        <v>419</v>
      </c>
      <c r="BJ254" s="26">
        <v>431.99759999999998</v>
      </c>
      <c r="BK254" s="26">
        <v>552.43770000000006</v>
      </c>
      <c r="BL254" s="39" t="s">
        <v>840</v>
      </c>
      <c r="BM254" s="25" t="s">
        <v>13</v>
      </c>
      <c r="BO254" s="25"/>
      <c r="CA254" s="25" t="s">
        <v>13</v>
      </c>
      <c r="CC254" s="25" t="s">
        <v>13</v>
      </c>
    </row>
    <row r="255" spans="1:81">
      <c r="A255" s="6" t="s">
        <v>259</v>
      </c>
      <c r="B255" s="26" t="s">
        <v>260</v>
      </c>
      <c r="C255" s="62">
        <v>211.9</v>
      </c>
      <c r="F255" s="23">
        <f t="shared" si="84"/>
        <v>1478.6666666666667</v>
      </c>
      <c r="G255" s="23" t="s">
        <v>389</v>
      </c>
      <c r="H255" s="23">
        <f t="shared" si="91"/>
        <v>739.33333333333337</v>
      </c>
      <c r="I255" s="23">
        <f t="shared" ref="I255:I289" si="103">F255*2</f>
        <v>2957.3333333333335</v>
      </c>
      <c r="J255" s="23" t="s">
        <v>480</v>
      </c>
      <c r="K255" s="23" t="s">
        <v>400</v>
      </c>
      <c r="L255" s="26">
        <v>2218</v>
      </c>
      <c r="M255" s="26">
        <f>L255-739</f>
        <v>1479</v>
      </c>
      <c r="N255" s="26">
        <f>L255+739</f>
        <v>2957</v>
      </c>
      <c r="O255" s="26">
        <v>3000</v>
      </c>
      <c r="P255" s="26">
        <f t="shared" si="102"/>
        <v>2000</v>
      </c>
      <c r="Q255" s="26" t="s">
        <v>391</v>
      </c>
      <c r="R255" s="26" t="s">
        <v>13</v>
      </c>
      <c r="S255" s="6" t="s">
        <v>639</v>
      </c>
      <c r="T255" s="44" t="s">
        <v>640</v>
      </c>
      <c r="U255" s="62">
        <v>16.066535949707031</v>
      </c>
      <c r="W255" s="26"/>
      <c r="X255" s="26">
        <v>445.08848443790407</v>
      </c>
      <c r="Y255" s="26" t="s">
        <v>389</v>
      </c>
      <c r="Z255" s="26">
        <f t="shared" si="83"/>
        <v>388.2269</v>
      </c>
      <c r="AA255" s="26">
        <f t="shared" si="83"/>
        <v>519.74770000000001</v>
      </c>
      <c r="AB255" s="25" t="s">
        <v>542</v>
      </c>
      <c r="AC255" s="77" t="s">
        <v>400</v>
      </c>
      <c r="AD255" s="26">
        <v>388.2269</v>
      </c>
      <c r="AE255" s="26">
        <v>519.74770000000001</v>
      </c>
      <c r="AF255" s="26" t="s">
        <v>641</v>
      </c>
      <c r="AG255" s="25" t="s">
        <v>13</v>
      </c>
      <c r="AH255" s="6" t="s">
        <v>529</v>
      </c>
      <c r="AI255" s="45" t="s">
        <v>531</v>
      </c>
      <c r="AJ255" s="62">
        <f t="shared" si="99"/>
        <v>171.2</v>
      </c>
      <c r="AK255" s="62">
        <v>174.1</v>
      </c>
      <c r="AL255" s="62">
        <v>168.3</v>
      </c>
      <c r="AM255" s="26">
        <f t="shared" si="101"/>
        <v>990</v>
      </c>
      <c r="AN255" s="26" t="s">
        <v>389</v>
      </c>
      <c r="AO255" s="26">
        <f>2.2*1*300</f>
        <v>660</v>
      </c>
      <c r="AP255" s="29">
        <f>2.2*2*300</f>
        <v>1320</v>
      </c>
      <c r="AQ255" s="29" t="s">
        <v>426</v>
      </c>
      <c r="AR255" s="26" t="s">
        <v>422</v>
      </c>
      <c r="AS255" s="29">
        <v>1320</v>
      </c>
      <c r="AT255" s="29"/>
      <c r="AU255" s="29"/>
      <c r="AV255" s="39" t="s">
        <v>60</v>
      </c>
      <c r="AW255" s="39" t="s">
        <v>761</v>
      </c>
      <c r="AX255" s="29" t="s">
        <v>13</v>
      </c>
      <c r="AY255" s="6" t="s">
        <v>844</v>
      </c>
      <c r="AZ255" s="97" t="s">
        <v>13</v>
      </c>
      <c r="BA255" s="72">
        <v>18.247</v>
      </c>
      <c r="BB255" s="62"/>
      <c r="BC255" s="62"/>
      <c r="BD255" s="26">
        <v>311.52960000000002</v>
      </c>
      <c r="BE255" s="25" t="s">
        <v>239</v>
      </c>
      <c r="BF255" s="29">
        <f t="shared" si="95"/>
        <v>276.85090000000002</v>
      </c>
      <c r="BG255" s="29">
        <f t="shared" si="95"/>
        <v>348.34090000000003</v>
      </c>
      <c r="BH255" s="29" t="s">
        <v>542</v>
      </c>
      <c r="BI255" s="23" t="s">
        <v>419</v>
      </c>
      <c r="BJ255" s="26">
        <v>276.85090000000002</v>
      </c>
      <c r="BK255" s="26">
        <v>348.34090000000003</v>
      </c>
      <c r="BL255" s="39" t="s">
        <v>840</v>
      </c>
      <c r="BM255" s="25" t="s">
        <v>13</v>
      </c>
      <c r="BO255" s="25"/>
      <c r="CA255" s="25" t="s">
        <v>13</v>
      </c>
      <c r="CC255" s="25" t="s">
        <v>13</v>
      </c>
    </row>
    <row r="256" spans="1:81">
      <c r="A256" s="6" t="s">
        <v>259</v>
      </c>
      <c r="B256" s="26" t="s">
        <v>260</v>
      </c>
      <c r="C256" s="62">
        <v>211.9</v>
      </c>
      <c r="F256" s="23">
        <f t="shared" si="84"/>
        <v>1376</v>
      </c>
      <c r="G256" s="23" t="s">
        <v>389</v>
      </c>
      <c r="H256" s="23">
        <f t="shared" si="91"/>
        <v>688</v>
      </c>
      <c r="I256" s="23">
        <f t="shared" si="103"/>
        <v>2752</v>
      </c>
      <c r="J256" s="23" t="s">
        <v>480</v>
      </c>
      <c r="K256" s="23" t="s">
        <v>400</v>
      </c>
      <c r="L256" s="26">
        <v>2064</v>
      </c>
      <c r="M256" s="26">
        <f>L256-688</f>
        <v>1376</v>
      </c>
      <c r="N256" s="26">
        <f>L256+688</f>
        <v>2752</v>
      </c>
      <c r="O256" s="26">
        <v>3000</v>
      </c>
      <c r="P256" s="26">
        <f t="shared" si="102"/>
        <v>2000</v>
      </c>
      <c r="Q256" s="26" t="s">
        <v>391</v>
      </c>
      <c r="R256" s="26" t="s">
        <v>13</v>
      </c>
      <c r="S256" s="6" t="s">
        <v>639</v>
      </c>
      <c r="T256" s="44" t="s">
        <v>640</v>
      </c>
      <c r="U256" s="62">
        <v>16.110738754272461</v>
      </c>
      <c r="W256" s="26"/>
      <c r="X256" s="26">
        <v>496.63417671008324</v>
      </c>
      <c r="Y256" s="26" t="s">
        <v>389</v>
      </c>
      <c r="Z256" s="26">
        <f t="shared" si="83"/>
        <v>432.29860000000002</v>
      </c>
      <c r="AA256" s="26">
        <f t="shared" si="83"/>
        <v>583.63779999999997</v>
      </c>
      <c r="AB256" s="25" t="s">
        <v>542</v>
      </c>
      <c r="AC256" s="77" t="s">
        <v>400</v>
      </c>
      <c r="AD256" s="26">
        <v>432.29860000000002</v>
      </c>
      <c r="AE256" s="26">
        <v>583.63779999999997</v>
      </c>
      <c r="AF256" s="26" t="s">
        <v>641</v>
      </c>
      <c r="AG256" s="25" t="s">
        <v>13</v>
      </c>
      <c r="AH256" s="6" t="s">
        <v>529</v>
      </c>
      <c r="AI256" s="45" t="s">
        <v>531</v>
      </c>
      <c r="AJ256" s="62">
        <f t="shared" si="99"/>
        <v>171.2</v>
      </c>
      <c r="AK256" s="62">
        <v>174.1</v>
      </c>
      <c r="AL256" s="62">
        <v>168.3</v>
      </c>
      <c r="AM256" s="26">
        <f t="shared" si="101"/>
        <v>954</v>
      </c>
      <c r="AN256" s="26" t="s">
        <v>389</v>
      </c>
      <c r="AO256" s="26">
        <f>2.12*1*300</f>
        <v>636</v>
      </c>
      <c r="AP256" s="29">
        <f>2.12*2*300</f>
        <v>1272</v>
      </c>
      <c r="AQ256" s="29" t="s">
        <v>426</v>
      </c>
      <c r="AR256" s="26" t="s">
        <v>422</v>
      </c>
      <c r="AS256" s="29">
        <v>1274</v>
      </c>
      <c r="AT256" s="29"/>
      <c r="AU256" s="29"/>
      <c r="AV256" s="39" t="s">
        <v>60</v>
      </c>
      <c r="AW256" s="39" t="s">
        <v>761</v>
      </c>
      <c r="AX256" s="29" t="s">
        <v>13</v>
      </c>
      <c r="AY256" s="6" t="s">
        <v>844</v>
      </c>
      <c r="AZ256" s="97" t="s">
        <v>13</v>
      </c>
      <c r="BA256" s="72">
        <v>18.508320000000001</v>
      </c>
      <c r="BB256" s="62"/>
      <c r="BC256" s="62"/>
      <c r="BD256" s="26">
        <v>351.51580000000001</v>
      </c>
      <c r="BE256" s="25" t="s">
        <v>239</v>
      </c>
      <c r="BF256" s="29">
        <f t="shared" si="95"/>
        <v>311.7937</v>
      </c>
      <c r="BG256" s="29">
        <f t="shared" si="95"/>
        <v>395.02910000000003</v>
      </c>
      <c r="BH256" s="29" t="s">
        <v>542</v>
      </c>
      <c r="BI256" s="23" t="s">
        <v>419</v>
      </c>
      <c r="BJ256" s="26">
        <v>311.7937</v>
      </c>
      <c r="BK256" s="26">
        <v>395.02910000000003</v>
      </c>
      <c r="BL256" s="39" t="s">
        <v>840</v>
      </c>
      <c r="BM256" s="25" t="s">
        <v>13</v>
      </c>
      <c r="BO256" s="25"/>
      <c r="CA256" s="25" t="s">
        <v>13</v>
      </c>
      <c r="CC256" s="25" t="s">
        <v>13</v>
      </c>
    </row>
    <row r="257" spans="1:81">
      <c r="A257" s="6" t="s">
        <v>259</v>
      </c>
      <c r="B257" s="26" t="s">
        <v>260</v>
      </c>
      <c r="C257" s="62">
        <v>205</v>
      </c>
      <c r="F257" s="23">
        <f t="shared" si="84"/>
        <v>1376.6666666666667</v>
      </c>
      <c r="G257" s="23" t="s">
        <v>389</v>
      </c>
      <c r="H257" s="23">
        <f t="shared" si="91"/>
        <v>688.33333333333337</v>
      </c>
      <c r="I257" s="23">
        <f t="shared" si="103"/>
        <v>2753.3333333333335</v>
      </c>
      <c r="J257" s="23" t="s">
        <v>480</v>
      </c>
      <c r="K257" s="23" t="s">
        <v>400</v>
      </c>
      <c r="L257" s="26">
        <v>2065</v>
      </c>
      <c r="M257" s="26">
        <f>L257-688</f>
        <v>1377</v>
      </c>
      <c r="N257" s="26">
        <f>L257+688</f>
        <v>2753</v>
      </c>
      <c r="O257" s="26">
        <v>3000</v>
      </c>
      <c r="P257" s="26">
        <f t="shared" si="102"/>
        <v>2000</v>
      </c>
      <c r="Q257" s="26" t="s">
        <v>391</v>
      </c>
      <c r="R257" s="26" t="s">
        <v>13</v>
      </c>
      <c r="S257" s="6" t="s">
        <v>639</v>
      </c>
      <c r="T257" s="44" t="s">
        <v>640</v>
      </c>
      <c r="U257" s="62">
        <v>16.132289886474609</v>
      </c>
      <c r="W257" s="26"/>
      <c r="X257" s="26">
        <v>402.88540817535289</v>
      </c>
      <c r="Y257" s="26" t="s">
        <v>389</v>
      </c>
      <c r="Z257" s="26">
        <f t="shared" si="83"/>
        <v>353.55340000000001</v>
      </c>
      <c r="AA257" s="26">
        <f t="shared" si="83"/>
        <v>465.87630000000001</v>
      </c>
      <c r="AB257" s="25" t="s">
        <v>542</v>
      </c>
      <c r="AC257" s="77" t="s">
        <v>400</v>
      </c>
      <c r="AD257" s="26">
        <v>353.55340000000001</v>
      </c>
      <c r="AE257" s="26">
        <v>465.87630000000001</v>
      </c>
      <c r="AF257" s="26" t="s">
        <v>641</v>
      </c>
      <c r="AG257" s="25" t="s">
        <v>13</v>
      </c>
      <c r="AH257" s="6" t="s">
        <v>534</v>
      </c>
      <c r="AI257" s="45" t="s">
        <v>536</v>
      </c>
      <c r="AJ257" s="62">
        <v>60</v>
      </c>
      <c r="AK257" s="62">
        <v>62</v>
      </c>
      <c r="AL257" s="62">
        <v>58</v>
      </c>
      <c r="AM257" s="26">
        <f t="shared" ref="AM257:AM286" si="104">AS257</f>
        <v>322.33999999999997</v>
      </c>
      <c r="AN257" s="26" t="s">
        <v>389</v>
      </c>
      <c r="AO257" s="26">
        <f>AT257</f>
        <v>274.89999999999998</v>
      </c>
      <c r="AP257" s="29">
        <f>AM257*2</f>
        <v>644.67999999999995</v>
      </c>
      <c r="AQ257" s="29" t="s">
        <v>537</v>
      </c>
      <c r="AR257" s="26" t="s">
        <v>422</v>
      </c>
      <c r="AS257" s="29">
        <v>322.33999999999997</v>
      </c>
      <c r="AT257" s="29">
        <f>AM257-47.44</f>
        <v>274.89999999999998</v>
      </c>
      <c r="AU257" s="29">
        <f>AM257+47.44</f>
        <v>369.78</v>
      </c>
      <c r="AV257" s="39" t="s">
        <v>60</v>
      </c>
      <c r="AW257" s="39"/>
      <c r="AX257" s="29" t="s">
        <v>13</v>
      </c>
      <c r="AY257" s="6" t="s">
        <v>844</v>
      </c>
      <c r="AZ257" s="97" t="s">
        <v>13</v>
      </c>
      <c r="BA257" s="72">
        <v>19.135210000000001</v>
      </c>
      <c r="BB257" s="62"/>
      <c r="BC257" s="62"/>
      <c r="BD257" s="26">
        <v>385.41320000000002</v>
      </c>
      <c r="BE257" s="25" t="s">
        <v>239</v>
      </c>
      <c r="BF257" s="29">
        <f t="shared" si="95"/>
        <v>339.41840000000002</v>
      </c>
      <c r="BG257" s="29">
        <f t="shared" si="95"/>
        <v>432.99250000000001</v>
      </c>
      <c r="BH257" s="29" t="s">
        <v>542</v>
      </c>
      <c r="BI257" s="23" t="s">
        <v>419</v>
      </c>
      <c r="BJ257" s="26">
        <v>339.41840000000002</v>
      </c>
      <c r="BK257" s="26">
        <v>432.99250000000001</v>
      </c>
      <c r="BL257" s="39" t="s">
        <v>840</v>
      </c>
      <c r="BM257" s="25" t="s">
        <v>13</v>
      </c>
      <c r="BO257" s="25"/>
      <c r="CA257" s="25" t="s">
        <v>13</v>
      </c>
      <c r="CC257" s="25" t="s">
        <v>13</v>
      </c>
    </row>
    <row r="258" spans="1:81">
      <c r="A258" s="6" t="s">
        <v>259</v>
      </c>
      <c r="B258" s="26" t="s">
        <v>260</v>
      </c>
      <c r="C258" s="62">
        <v>201.26</v>
      </c>
      <c r="D258" s="62"/>
      <c r="E258" s="62"/>
      <c r="F258" s="23">
        <f t="shared" si="84"/>
        <v>3457.3333333333335</v>
      </c>
      <c r="G258" s="23" t="s">
        <v>389</v>
      </c>
      <c r="H258" s="23">
        <f t="shared" si="91"/>
        <v>1728.6666666666667</v>
      </c>
      <c r="I258" s="23">
        <f t="shared" si="103"/>
        <v>6914.666666666667</v>
      </c>
      <c r="J258" s="23" t="s">
        <v>480</v>
      </c>
      <c r="K258" s="23" t="s">
        <v>400</v>
      </c>
      <c r="L258" s="26">
        <v>5186</v>
      </c>
      <c r="M258" s="26">
        <f>L258-1773</f>
        <v>3413</v>
      </c>
      <c r="N258" s="26">
        <f>L258+1773</f>
        <v>6959</v>
      </c>
      <c r="O258" s="26">
        <v>3000</v>
      </c>
      <c r="P258" s="26">
        <f t="shared" si="102"/>
        <v>2000</v>
      </c>
      <c r="Q258" s="26" t="s">
        <v>391</v>
      </c>
      <c r="R258" s="26" t="s">
        <v>13</v>
      </c>
      <c r="S258" s="6" t="s">
        <v>639</v>
      </c>
      <c r="T258" s="44" t="s">
        <v>640</v>
      </c>
      <c r="U258" s="62">
        <v>16.316549301147461</v>
      </c>
      <c r="W258" s="26"/>
      <c r="X258" s="26">
        <v>421.85589821314363</v>
      </c>
      <c r="Y258" s="26" t="s">
        <v>389</v>
      </c>
      <c r="Z258" s="26">
        <f t="shared" si="83"/>
        <v>370.19479999999999</v>
      </c>
      <c r="AA258" s="26">
        <f t="shared" si="83"/>
        <v>490.5204</v>
      </c>
      <c r="AB258" s="25" t="s">
        <v>542</v>
      </c>
      <c r="AC258" s="77" t="s">
        <v>400</v>
      </c>
      <c r="AD258" s="26">
        <v>370.19479999999999</v>
      </c>
      <c r="AE258" s="26">
        <v>490.5204</v>
      </c>
      <c r="AF258" s="26" t="s">
        <v>641</v>
      </c>
      <c r="AG258" s="25" t="s">
        <v>13</v>
      </c>
      <c r="AH258" s="6" t="s">
        <v>534</v>
      </c>
      <c r="AI258" s="45" t="s">
        <v>536</v>
      </c>
      <c r="AJ258" s="62">
        <v>65.5</v>
      </c>
      <c r="AK258" s="62">
        <v>66</v>
      </c>
      <c r="AL258" s="62">
        <v>65</v>
      </c>
      <c r="AM258" s="26">
        <f t="shared" si="104"/>
        <v>418.08</v>
      </c>
      <c r="AN258" s="26" t="s">
        <v>389</v>
      </c>
      <c r="AO258" s="26">
        <f t="shared" ref="AO258:AP274" si="105">AT258</f>
        <v>363.08</v>
      </c>
      <c r="AP258" s="29">
        <f>AM258*2</f>
        <v>836.16</v>
      </c>
      <c r="AQ258" s="29" t="s">
        <v>537</v>
      </c>
      <c r="AR258" s="26" t="s">
        <v>422</v>
      </c>
      <c r="AS258" s="29">
        <v>418.08</v>
      </c>
      <c r="AT258" s="29">
        <f>AM258-55</f>
        <v>363.08</v>
      </c>
      <c r="AU258" s="29">
        <f>AM258+55</f>
        <v>473.08</v>
      </c>
      <c r="AV258" s="39" t="s">
        <v>60</v>
      </c>
      <c r="AW258" s="39"/>
      <c r="AX258" s="29" t="s">
        <v>13</v>
      </c>
      <c r="AY258" s="6" t="s">
        <v>844</v>
      </c>
      <c r="AZ258" s="97" t="s">
        <v>13</v>
      </c>
      <c r="BA258" s="72">
        <v>19.434529999999999</v>
      </c>
      <c r="BB258" s="62"/>
      <c r="BC258" s="62"/>
      <c r="BD258" s="26">
        <v>285.56939999999997</v>
      </c>
      <c r="BE258" s="25" t="s">
        <v>239</v>
      </c>
      <c r="BF258" s="29">
        <f t="shared" si="95"/>
        <v>252.02160000000001</v>
      </c>
      <c r="BG258" s="29">
        <f t="shared" si="95"/>
        <v>322.3886</v>
      </c>
      <c r="BH258" s="29" t="s">
        <v>542</v>
      </c>
      <c r="BI258" s="23" t="s">
        <v>419</v>
      </c>
      <c r="BJ258" s="26">
        <v>252.02160000000001</v>
      </c>
      <c r="BK258" s="26">
        <v>322.3886</v>
      </c>
      <c r="BL258" s="39" t="s">
        <v>840</v>
      </c>
      <c r="BM258" s="25" t="s">
        <v>13</v>
      </c>
      <c r="BO258" s="25"/>
      <c r="CA258" s="25" t="s">
        <v>13</v>
      </c>
      <c r="CC258" s="25" t="s">
        <v>13</v>
      </c>
    </row>
    <row r="259" spans="1:81">
      <c r="A259" s="6" t="s">
        <v>259</v>
      </c>
      <c r="B259" s="26" t="s">
        <v>260</v>
      </c>
      <c r="C259" s="62">
        <v>201.18</v>
      </c>
      <c r="D259" s="62"/>
      <c r="E259" s="62"/>
      <c r="F259" s="23">
        <f t="shared" si="84"/>
        <v>2049.3333333333335</v>
      </c>
      <c r="G259" s="23" t="s">
        <v>389</v>
      </c>
      <c r="H259" s="23">
        <f t="shared" si="91"/>
        <v>1024.6666666666667</v>
      </c>
      <c r="I259" s="23">
        <f t="shared" si="103"/>
        <v>4098.666666666667</v>
      </c>
      <c r="J259" s="23" t="s">
        <v>480</v>
      </c>
      <c r="K259" s="23" t="s">
        <v>400</v>
      </c>
      <c r="L259" s="26">
        <v>3074</v>
      </c>
      <c r="M259" s="26">
        <f>L259-1025</f>
        <v>2049</v>
      </c>
      <c r="N259" s="26">
        <f>L259+1025</f>
        <v>4099</v>
      </c>
      <c r="O259" s="26">
        <v>3000</v>
      </c>
      <c r="P259" s="26">
        <f t="shared" si="102"/>
        <v>2000</v>
      </c>
      <c r="Q259" s="26" t="s">
        <v>391</v>
      </c>
      <c r="R259" s="26" t="s">
        <v>13</v>
      </c>
      <c r="S259" s="6" t="s">
        <v>639</v>
      </c>
      <c r="T259" s="44" t="s">
        <v>640</v>
      </c>
      <c r="U259" s="62">
        <v>16.427839279174805</v>
      </c>
      <c r="W259" s="26"/>
      <c r="X259" s="26">
        <v>420.27164189106929</v>
      </c>
      <c r="Y259" s="26" t="s">
        <v>389</v>
      </c>
      <c r="Z259" s="26">
        <f t="shared" si="83"/>
        <v>370.22770000000003</v>
      </c>
      <c r="AA259" s="26">
        <f t="shared" si="83"/>
        <v>491.76740000000001</v>
      </c>
      <c r="AB259" s="25" t="s">
        <v>542</v>
      </c>
      <c r="AC259" s="77" t="s">
        <v>400</v>
      </c>
      <c r="AD259" s="26">
        <v>370.22770000000003</v>
      </c>
      <c r="AE259" s="26">
        <v>491.76740000000001</v>
      </c>
      <c r="AF259" s="26" t="s">
        <v>641</v>
      </c>
      <c r="AG259" s="25" t="s">
        <v>13</v>
      </c>
      <c r="AH259" s="6" t="s">
        <v>534</v>
      </c>
      <c r="AI259" s="45" t="s">
        <v>536</v>
      </c>
      <c r="AJ259" s="62">
        <v>65.900000000000006</v>
      </c>
      <c r="AK259" s="62">
        <v>66</v>
      </c>
      <c r="AL259" s="62">
        <v>65.8</v>
      </c>
      <c r="AM259" s="26">
        <f t="shared" si="104"/>
        <v>429.18</v>
      </c>
      <c r="AN259" s="26" t="s">
        <v>389</v>
      </c>
      <c r="AO259" s="26">
        <f t="shared" si="105"/>
        <v>364.61</v>
      </c>
      <c r="AP259" s="29">
        <f>AM259*2</f>
        <v>858.36</v>
      </c>
      <c r="AQ259" s="29" t="s">
        <v>537</v>
      </c>
      <c r="AR259" s="26" t="s">
        <v>422</v>
      </c>
      <c r="AS259" s="29">
        <v>429.18</v>
      </c>
      <c r="AT259" s="29">
        <f>AM259-64.57</f>
        <v>364.61</v>
      </c>
      <c r="AU259" s="29">
        <f>AM259+64.57</f>
        <v>493.75</v>
      </c>
      <c r="AV259" s="39" t="s">
        <v>60</v>
      </c>
      <c r="AW259" s="39"/>
      <c r="AX259" s="29" t="s">
        <v>13</v>
      </c>
      <c r="AY259" s="6" t="s">
        <v>844</v>
      </c>
      <c r="AZ259" s="97" t="s">
        <v>13</v>
      </c>
      <c r="BA259" s="72">
        <v>20.031829999999999</v>
      </c>
      <c r="BB259" s="62"/>
      <c r="BC259" s="62"/>
      <c r="BD259" s="26">
        <v>356.50380000000001</v>
      </c>
      <c r="BE259" s="25" t="s">
        <v>239</v>
      </c>
      <c r="BF259" s="29">
        <f t="shared" si="95"/>
        <v>314.59280000000001</v>
      </c>
      <c r="BG259" s="29">
        <f t="shared" si="95"/>
        <v>403.59739999999999</v>
      </c>
      <c r="BH259" s="29" t="s">
        <v>542</v>
      </c>
      <c r="BI259" s="23" t="s">
        <v>419</v>
      </c>
      <c r="BJ259" s="26">
        <v>314.59280000000001</v>
      </c>
      <c r="BK259" s="26">
        <v>403.59739999999999</v>
      </c>
      <c r="BL259" s="39" t="s">
        <v>840</v>
      </c>
      <c r="BM259" s="25" t="s">
        <v>13</v>
      </c>
      <c r="BO259" s="25"/>
      <c r="CA259" s="25" t="s">
        <v>13</v>
      </c>
      <c r="CC259" s="25" t="s">
        <v>13</v>
      </c>
    </row>
    <row r="260" spans="1:81">
      <c r="A260" s="6" t="s">
        <v>259</v>
      </c>
      <c r="B260" s="26" t="s">
        <v>260</v>
      </c>
      <c r="C260" s="62">
        <v>200.84</v>
      </c>
      <c r="D260" s="62"/>
      <c r="E260" s="62"/>
      <c r="F260" s="23">
        <f t="shared" si="84"/>
        <v>1499.3333333333333</v>
      </c>
      <c r="G260" s="23" t="s">
        <v>389</v>
      </c>
      <c r="H260" s="23">
        <f t="shared" si="91"/>
        <v>749.66666666666663</v>
      </c>
      <c r="I260" s="23">
        <f t="shared" si="103"/>
        <v>2998.6666666666665</v>
      </c>
      <c r="J260" s="23" t="s">
        <v>480</v>
      </c>
      <c r="K260" s="23" t="s">
        <v>400</v>
      </c>
      <c r="L260" s="26">
        <v>2249</v>
      </c>
      <c r="M260" s="26">
        <f>L260-746</f>
        <v>1503</v>
      </c>
      <c r="N260" s="26">
        <f>L260+746</f>
        <v>2995</v>
      </c>
      <c r="O260" s="26">
        <v>3000</v>
      </c>
      <c r="P260" s="26">
        <f t="shared" si="102"/>
        <v>2000</v>
      </c>
      <c r="Q260" s="26" t="s">
        <v>391</v>
      </c>
      <c r="R260" s="26" t="s">
        <v>13</v>
      </c>
      <c r="S260" s="6" t="s">
        <v>639</v>
      </c>
      <c r="T260" s="44" t="s">
        <v>640</v>
      </c>
      <c r="U260" s="62">
        <v>16.654569625854492</v>
      </c>
      <c r="W260" s="26"/>
      <c r="X260" s="26">
        <v>330.18434360228423</v>
      </c>
      <c r="Y260" s="26" t="s">
        <v>389</v>
      </c>
      <c r="Z260" s="26">
        <f t="shared" si="83"/>
        <v>294.13099999999997</v>
      </c>
      <c r="AA260" s="26">
        <f t="shared" si="83"/>
        <v>381.13830000000002</v>
      </c>
      <c r="AB260" s="25" t="s">
        <v>542</v>
      </c>
      <c r="AC260" s="77" t="s">
        <v>400</v>
      </c>
      <c r="AD260" s="26">
        <v>294.13099999999997</v>
      </c>
      <c r="AE260" s="26">
        <v>381.13830000000002</v>
      </c>
      <c r="AF260" s="26" t="s">
        <v>641</v>
      </c>
      <c r="AG260" s="25" t="s">
        <v>13</v>
      </c>
      <c r="AH260" s="6" t="s">
        <v>534</v>
      </c>
      <c r="AI260" s="45" t="s">
        <v>536</v>
      </c>
      <c r="AJ260" s="62">
        <v>67</v>
      </c>
      <c r="AK260" s="62">
        <v>68</v>
      </c>
      <c r="AL260" s="62">
        <v>66</v>
      </c>
      <c r="AM260" s="26">
        <f t="shared" si="104"/>
        <v>648.52</v>
      </c>
      <c r="AN260" s="26" t="s">
        <v>389</v>
      </c>
      <c r="AO260" s="26">
        <f t="shared" si="105"/>
        <v>554.68999999999994</v>
      </c>
      <c r="AP260" s="29">
        <f>AM260*2</f>
        <v>1297.04</v>
      </c>
      <c r="AQ260" s="29" t="s">
        <v>537</v>
      </c>
      <c r="AR260" s="26" t="s">
        <v>422</v>
      </c>
      <c r="AS260" s="29">
        <v>648.52</v>
      </c>
      <c r="AT260" s="29">
        <f>AM260-93.83</f>
        <v>554.68999999999994</v>
      </c>
      <c r="AU260" s="29">
        <f>AM260+93.83</f>
        <v>742.35</v>
      </c>
      <c r="AV260" s="39" t="s">
        <v>60</v>
      </c>
      <c r="AW260" s="39"/>
      <c r="AX260" s="29" t="s">
        <v>13</v>
      </c>
      <c r="AY260" s="6" t="s">
        <v>844</v>
      </c>
      <c r="AZ260" s="97" t="s">
        <v>13</v>
      </c>
      <c r="BA260" s="72">
        <v>20.087039999999998</v>
      </c>
      <c r="BB260" s="62"/>
      <c r="BC260" s="62"/>
      <c r="BD260" s="26">
        <v>255.52119999999999</v>
      </c>
      <c r="BE260" s="25" t="s">
        <v>239</v>
      </c>
      <c r="BF260" s="29">
        <f t="shared" si="95"/>
        <v>225.74189999999999</v>
      </c>
      <c r="BG260" s="29">
        <f t="shared" si="95"/>
        <v>287.58940000000001</v>
      </c>
      <c r="BH260" s="29" t="s">
        <v>542</v>
      </c>
      <c r="BI260" s="23" t="s">
        <v>419</v>
      </c>
      <c r="BJ260" s="26">
        <v>225.74189999999999</v>
      </c>
      <c r="BK260" s="26">
        <v>287.58940000000001</v>
      </c>
      <c r="BL260" s="39" t="s">
        <v>840</v>
      </c>
      <c r="BM260" s="25" t="s">
        <v>13</v>
      </c>
      <c r="BO260" s="25"/>
      <c r="CA260" s="25" t="s">
        <v>13</v>
      </c>
      <c r="CC260" s="25" t="s">
        <v>13</v>
      </c>
    </row>
    <row r="261" spans="1:81">
      <c r="A261" s="6" t="s">
        <v>259</v>
      </c>
      <c r="B261" s="26" t="s">
        <v>260</v>
      </c>
      <c r="C261" s="62">
        <v>200.78</v>
      </c>
      <c r="D261" s="62"/>
      <c r="E261" s="62"/>
      <c r="F261" s="23">
        <f t="shared" si="84"/>
        <v>3648.6666666666665</v>
      </c>
      <c r="G261" s="23" t="s">
        <v>389</v>
      </c>
      <c r="H261" s="23">
        <f t="shared" si="91"/>
        <v>1824.3333333333333</v>
      </c>
      <c r="I261" s="23">
        <f t="shared" si="103"/>
        <v>7297.333333333333</v>
      </c>
      <c r="J261" s="23" t="s">
        <v>480</v>
      </c>
      <c r="K261" s="23" t="s">
        <v>400</v>
      </c>
      <c r="L261" s="26">
        <v>5473</v>
      </c>
      <c r="M261" s="26">
        <f>L261-1824</f>
        <v>3649</v>
      </c>
      <c r="N261" s="26">
        <f>L261+1824</f>
        <v>7297</v>
      </c>
      <c r="O261" s="26">
        <v>3000</v>
      </c>
      <c r="P261" s="26">
        <f t="shared" si="102"/>
        <v>2000</v>
      </c>
      <c r="Q261" s="26" t="s">
        <v>391</v>
      </c>
      <c r="R261" s="26" t="s">
        <v>13</v>
      </c>
      <c r="S261" s="6" t="s">
        <v>639</v>
      </c>
      <c r="T261" s="44" t="s">
        <v>640</v>
      </c>
      <c r="U261" s="62">
        <v>16.843999862670898</v>
      </c>
      <c r="W261" s="26"/>
      <c r="X261" s="26">
        <v>314.19606099246135</v>
      </c>
      <c r="Y261" s="26" t="s">
        <v>389</v>
      </c>
      <c r="Z261" s="26">
        <f t="shared" ref="Z261:AA281" si="106">AD261</f>
        <v>279.79750000000001</v>
      </c>
      <c r="AA261" s="26">
        <f t="shared" si="106"/>
        <v>360.6866</v>
      </c>
      <c r="AB261" s="25" t="s">
        <v>542</v>
      </c>
      <c r="AC261" s="77" t="s">
        <v>400</v>
      </c>
      <c r="AD261" s="26">
        <v>279.79750000000001</v>
      </c>
      <c r="AE261" s="26">
        <v>360.6866</v>
      </c>
      <c r="AF261" s="26" t="s">
        <v>641</v>
      </c>
      <c r="AG261" s="25" t="s">
        <v>13</v>
      </c>
      <c r="AH261" s="6" t="s">
        <v>879</v>
      </c>
      <c r="AI261" s="39" t="s">
        <v>880</v>
      </c>
      <c r="AJ261" s="59">
        <f>AVERAGE(AK261:AL261)</f>
        <v>23.020000000000003</v>
      </c>
      <c r="AK261" s="59">
        <v>23.03</v>
      </c>
      <c r="AL261" s="59">
        <v>23.01</v>
      </c>
      <c r="AM261" s="29">
        <f t="shared" si="104"/>
        <v>444</v>
      </c>
      <c r="AN261" s="25" t="s">
        <v>239</v>
      </c>
      <c r="AO261" s="29">
        <f t="shared" si="105"/>
        <v>349</v>
      </c>
      <c r="AP261" s="29">
        <f t="shared" si="105"/>
        <v>1016</v>
      </c>
      <c r="AQ261" s="29" t="s">
        <v>542</v>
      </c>
      <c r="AR261" s="23" t="s">
        <v>400</v>
      </c>
      <c r="AS261" s="29">
        <v>444</v>
      </c>
      <c r="AT261" s="29">
        <f>AS261-95</f>
        <v>349</v>
      </c>
      <c r="AU261" s="29">
        <f>AS261+572</f>
        <v>1016</v>
      </c>
      <c r="AV261" s="39" t="s">
        <v>651</v>
      </c>
      <c r="AW261" s="39" t="s">
        <v>881</v>
      </c>
      <c r="AX261" s="29" t="s">
        <v>13</v>
      </c>
      <c r="AY261" s="6" t="s">
        <v>844</v>
      </c>
      <c r="AZ261" s="97" t="s">
        <v>13</v>
      </c>
      <c r="BA261" s="72">
        <v>20.560749999999999</v>
      </c>
      <c r="BB261" s="62"/>
      <c r="BC261" s="62"/>
      <c r="BD261" s="26">
        <v>394.83820000000003</v>
      </c>
      <c r="BE261" s="25" t="s">
        <v>239</v>
      </c>
      <c r="BF261" s="29">
        <f t="shared" si="95"/>
        <v>347.16249999999997</v>
      </c>
      <c r="BG261" s="29">
        <f t="shared" si="95"/>
        <v>446.9744</v>
      </c>
      <c r="BH261" s="29" t="s">
        <v>542</v>
      </c>
      <c r="BI261" s="23" t="s">
        <v>419</v>
      </c>
      <c r="BJ261" s="26">
        <v>347.16249999999997</v>
      </c>
      <c r="BK261" s="26">
        <v>446.9744</v>
      </c>
      <c r="BL261" s="39" t="s">
        <v>840</v>
      </c>
      <c r="BM261" s="25" t="s">
        <v>13</v>
      </c>
      <c r="BO261" s="25"/>
      <c r="CA261" s="25" t="s">
        <v>13</v>
      </c>
      <c r="CC261" s="25" t="s">
        <v>13</v>
      </c>
    </row>
    <row r="262" spans="1:81">
      <c r="A262" s="6" t="s">
        <v>259</v>
      </c>
      <c r="B262" s="26" t="s">
        <v>260</v>
      </c>
      <c r="C262" s="62">
        <v>200.78</v>
      </c>
      <c r="D262" s="62"/>
      <c r="E262" s="62"/>
      <c r="F262" s="23">
        <f t="shared" ref="F262:F300" si="107">L262*$P262/$O262</f>
        <v>1986.6666666666667</v>
      </c>
      <c r="G262" s="23" t="s">
        <v>389</v>
      </c>
      <c r="H262" s="23">
        <f t="shared" si="91"/>
        <v>993.33333333333337</v>
      </c>
      <c r="I262" s="23">
        <f t="shared" si="103"/>
        <v>3973.3333333333335</v>
      </c>
      <c r="J262" s="23" t="s">
        <v>480</v>
      </c>
      <c r="K262" s="23" t="s">
        <v>400</v>
      </c>
      <c r="L262" s="26">
        <v>2980</v>
      </c>
      <c r="M262" s="26">
        <f>L262-993</f>
        <v>1987</v>
      </c>
      <c r="N262" s="26">
        <f>L262+993</f>
        <v>3973</v>
      </c>
      <c r="O262" s="26">
        <v>3000</v>
      </c>
      <c r="P262" s="26">
        <f t="shared" si="102"/>
        <v>2000</v>
      </c>
      <c r="Q262" s="26" t="s">
        <v>391</v>
      </c>
      <c r="R262" s="26" t="s">
        <v>13</v>
      </c>
      <c r="S262" s="6" t="s">
        <v>639</v>
      </c>
      <c r="T262" s="44" t="s">
        <v>640</v>
      </c>
      <c r="U262" s="62">
        <v>17.014549255371094</v>
      </c>
      <c r="W262" s="26"/>
      <c r="X262" s="26">
        <v>266.22747103009374</v>
      </c>
      <c r="Y262" s="26" t="s">
        <v>389</v>
      </c>
      <c r="Z262" s="26">
        <f t="shared" si="106"/>
        <v>238.7107</v>
      </c>
      <c r="AA262" s="26">
        <f t="shared" si="106"/>
        <v>306.44099999999997</v>
      </c>
      <c r="AB262" s="25" t="s">
        <v>542</v>
      </c>
      <c r="AC262" s="77" t="s">
        <v>400</v>
      </c>
      <c r="AD262" s="26">
        <v>238.7107</v>
      </c>
      <c r="AE262" s="26">
        <v>306.44099999999997</v>
      </c>
      <c r="AF262" s="26" t="s">
        <v>641</v>
      </c>
      <c r="AG262" s="25" t="s">
        <v>13</v>
      </c>
      <c r="AH262" s="6" t="s">
        <v>879</v>
      </c>
      <c r="AI262" s="39" t="s">
        <v>880</v>
      </c>
      <c r="AJ262" s="59">
        <f>AVERAGE(AK262:AL262)</f>
        <v>22.990000000000002</v>
      </c>
      <c r="AK262" s="59">
        <v>22.995000000000001</v>
      </c>
      <c r="AL262" s="59">
        <v>22.984999999999999</v>
      </c>
      <c r="AM262" s="29">
        <f t="shared" si="104"/>
        <v>529</v>
      </c>
      <c r="AN262" s="25" t="s">
        <v>239</v>
      </c>
      <c r="AO262" s="29">
        <f t="shared" si="105"/>
        <v>404</v>
      </c>
      <c r="AP262" s="29">
        <f t="shared" si="105"/>
        <v>1688</v>
      </c>
      <c r="AQ262" s="29" t="s">
        <v>542</v>
      </c>
      <c r="AR262" s="23" t="s">
        <v>400</v>
      </c>
      <c r="AS262" s="29">
        <v>529</v>
      </c>
      <c r="AT262" s="29">
        <f>AS262-125</f>
        <v>404</v>
      </c>
      <c r="AU262" s="29">
        <f>AS262+1159</f>
        <v>1688</v>
      </c>
      <c r="AV262" s="39" t="s">
        <v>651</v>
      </c>
      <c r="AW262" s="39" t="s">
        <v>882</v>
      </c>
      <c r="AX262" s="29" t="s">
        <v>13</v>
      </c>
      <c r="AY262" s="6" t="s">
        <v>844</v>
      </c>
      <c r="AZ262" s="97" t="s">
        <v>13</v>
      </c>
      <c r="BA262" s="72">
        <v>21.775310000000001</v>
      </c>
      <c r="BB262" s="62"/>
      <c r="BC262" s="62"/>
      <c r="BD262" s="26">
        <v>302.25790000000001</v>
      </c>
      <c r="BE262" s="25" t="s">
        <v>239</v>
      </c>
      <c r="BF262" s="29">
        <f t="shared" si="95"/>
        <v>265.02600000000001</v>
      </c>
      <c r="BG262" s="29">
        <f t="shared" si="95"/>
        <v>342.3999</v>
      </c>
      <c r="BH262" s="29" t="s">
        <v>542</v>
      </c>
      <c r="BI262" s="23" t="s">
        <v>419</v>
      </c>
      <c r="BJ262" s="26">
        <v>265.02600000000001</v>
      </c>
      <c r="BK262" s="26">
        <v>342.3999</v>
      </c>
      <c r="BL262" s="39" t="s">
        <v>840</v>
      </c>
      <c r="BM262" s="25" t="s">
        <v>13</v>
      </c>
      <c r="BO262" s="25"/>
      <c r="CA262" s="25" t="s">
        <v>13</v>
      </c>
      <c r="CC262" s="25" t="s">
        <v>13</v>
      </c>
    </row>
    <row r="263" spans="1:81">
      <c r="A263" s="6" t="s">
        <v>259</v>
      </c>
      <c r="B263" s="26" t="s">
        <v>260</v>
      </c>
      <c r="C263" s="62">
        <v>200.77</v>
      </c>
      <c r="D263" s="62"/>
      <c r="E263" s="62"/>
      <c r="F263" s="23">
        <f t="shared" si="107"/>
        <v>2353.3333333333335</v>
      </c>
      <c r="G263" s="23" t="s">
        <v>389</v>
      </c>
      <c r="H263" s="23">
        <f t="shared" si="91"/>
        <v>1176.6666666666667</v>
      </c>
      <c r="I263" s="23">
        <f t="shared" si="103"/>
        <v>4706.666666666667</v>
      </c>
      <c r="J263" s="23" t="s">
        <v>480</v>
      </c>
      <c r="K263" s="23" t="s">
        <v>400</v>
      </c>
      <c r="L263" s="26">
        <v>3530</v>
      </c>
      <c r="M263" s="26">
        <f>L263-1177</f>
        <v>2353</v>
      </c>
      <c r="N263" s="26">
        <f>L263+1177</f>
        <v>4707</v>
      </c>
      <c r="O263" s="26">
        <v>3000</v>
      </c>
      <c r="P263" s="26">
        <f t="shared" si="102"/>
        <v>2000</v>
      </c>
      <c r="Q263" s="26" t="s">
        <v>391</v>
      </c>
      <c r="R263" s="26" t="s">
        <v>13</v>
      </c>
      <c r="S263" s="6" t="s">
        <v>639</v>
      </c>
      <c r="T263" s="44" t="s">
        <v>640</v>
      </c>
      <c r="U263" s="62">
        <v>17.376127243041992</v>
      </c>
      <c r="W263" s="26"/>
      <c r="X263" s="26">
        <v>267.19936506829333</v>
      </c>
      <c r="Y263" s="26" t="s">
        <v>389</v>
      </c>
      <c r="Z263" s="26">
        <f t="shared" si="106"/>
        <v>239.71510000000001</v>
      </c>
      <c r="AA263" s="26">
        <f t="shared" si="106"/>
        <v>305.0419</v>
      </c>
      <c r="AB263" s="25" t="s">
        <v>542</v>
      </c>
      <c r="AC263" s="77" t="s">
        <v>400</v>
      </c>
      <c r="AD263" s="26">
        <v>239.71510000000001</v>
      </c>
      <c r="AE263" s="26">
        <v>305.0419</v>
      </c>
      <c r="AF263" s="26" t="s">
        <v>641</v>
      </c>
      <c r="AG263" s="25" t="s">
        <v>13</v>
      </c>
      <c r="AH263" s="6" t="s">
        <v>883</v>
      </c>
      <c r="AI263" s="39" t="s">
        <v>880</v>
      </c>
      <c r="AJ263" s="59">
        <f>AVERAGE(AK263:AL263)</f>
        <v>22.965</v>
      </c>
      <c r="AK263" s="59">
        <v>22.97</v>
      </c>
      <c r="AL263" s="59">
        <v>22.96</v>
      </c>
      <c r="AM263" s="29">
        <f t="shared" si="104"/>
        <v>538</v>
      </c>
      <c r="AN263" s="25" t="s">
        <v>239</v>
      </c>
      <c r="AO263" s="29">
        <f t="shared" si="105"/>
        <v>357</v>
      </c>
      <c r="AP263" s="29">
        <f t="shared" si="105"/>
        <v>1307</v>
      </c>
      <c r="AQ263" s="29" t="s">
        <v>542</v>
      </c>
      <c r="AR263" s="23" t="s">
        <v>400</v>
      </c>
      <c r="AS263" s="29">
        <v>538</v>
      </c>
      <c r="AT263" s="29">
        <f>AS263-181</f>
        <v>357</v>
      </c>
      <c r="AU263" s="29">
        <f>AS263+769</f>
        <v>1307</v>
      </c>
      <c r="AV263" s="39" t="s">
        <v>651</v>
      </c>
      <c r="AW263" s="39" t="s">
        <v>884</v>
      </c>
      <c r="AX263" s="29" t="s">
        <v>13</v>
      </c>
      <c r="AY263" s="6" t="s">
        <v>886</v>
      </c>
      <c r="AZ263" s="97"/>
      <c r="BA263" s="72">
        <v>53.963014911274762</v>
      </c>
      <c r="BB263" s="62"/>
      <c r="BC263" s="62"/>
      <c r="BD263" s="26">
        <v>809.84430209294896</v>
      </c>
      <c r="BE263" s="25" t="s">
        <v>239</v>
      </c>
      <c r="BF263" s="26">
        <f t="shared" ref="BF263:BF301" si="108">BD263-0.5*(BD263-BJ263)</f>
        <v>734.47377521561793</v>
      </c>
      <c r="BG263" s="26">
        <f t="shared" ref="BG263:BG301" si="109">BD263+0.5*(BK263-BD263)</f>
        <v>908.54813334987443</v>
      </c>
      <c r="BH263" s="83" t="s">
        <v>887</v>
      </c>
      <c r="BI263" s="25" t="s">
        <v>430</v>
      </c>
      <c r="BJ263" s="26">
        <v>659.10324833828702</v>
      </c>
      <c r="BK263" s="26">
        <v>1007.2519646067999</v>
      </c>
      <c r="BL263" s="39"/>
      <c r="BO263" s="25"/>
      <c r="CA263" s="25" t="s">
        <v>13</v>
      </c>
      <c r="CC263" s="25" t="s">
        <v>13</v>
      </c>
    </row>
    <row r="264" spans="1:81">
      <c r="A264" s="6" t="s">
        <v>259</v>
      </c>
      <c r="B264" s="26" t="s">
        <v>260</v>
      </c>
      <c r="C264" s="62">
        <v>200.77</v>
      </c>
      <c r="D264" s="62"/>
      <c r="E264" s="62"/>
      <c r="F264" s="23">
        <f t="shared" si="107"/>
        <v>2927.3333333333335</v>
      </c>
      <c r="G264" s="23" t="s">
        <v>389</v>
      </c>
      <c r="H264" s="23">
        <f t="shared" si="91"/>
        <v>1463.6666666666667</v>
      </c>
      <c r="I264" s="23">
        <f t="shared" si="103"/>
        <v>5854.666666666667</v>
      </c>
      <c r="J264" s="23" t="s">
        <v>480</v>
      </c>
      <c r="K264" s="23" t="s">
        <v>400</v>
      </c>
      <c r="L264" s="26">
        <v>4391</v>
      </c>
      <c r="M264" s="26">
        <f>L264-1464</f>
        <v>2927</v>
      </c>
      <c r="N264" s="26">
        <f>L264+1464</f>
        <v>5855</v>
      </c>
      <c r="O264" s="26">
        <v>3000</v>
      </c>
      <c r="P264" s="26">
        <f t="shared" si="102"/>
        <v>2000</v>
      </c>
      <c r="Q264" s="26" t="s">
        <v>391</v>
      </c>
      <c r="R264" s="26" t="s">
        <v>13</v>
      </c>
      <c r="S264" s="6" t="s">
        <v>639</v>
      </c>
      <c r="T264" s="44" t="s">
        <v>640</v>
      </c>
      <c r="U264" s="62">
        <v>17.484004974365234</v>
      </c>
      <c r="W264" s="26"/>
      <c r="X264" s="26">
        <v>300.27005464417346</v>
      </c>
      <c r="Y264" s="26" t="s">
        <v>389</v>
      </c>
      <c r="Z264" s="26">
        <f t="shared" si="106"/>
        <v>267.31459999999998</v>
      </c>
      <c r="AA264" s="26">
        <f t="shared" si="106"/>
        <v>342.51670000000001</v>
      </c>
      <c r="AB264" s="25" t="s">
        <v>542</v>
      </c>
      <c r="AC264" s="77" t="s">
        <v>400</v>
      </c>
      <c r="AD264" s="26">
        <v>267.31459999999998</v>
      </c>
      <c r="AE264" s="26">
        <v>342.51670000000001</v>
      </c>
      <c r="AF264" s="26" t="s">
        <v>641</v>
      </c>
      <c r="AG264" s="25" t="s">
        <v>13</v>
      </c>
      <c r="AH264" s="6" t="s">
        <v>883</v>
      </c>
      <c r="AI264" s="39" t="s">
        <v>880</v>
      </c>
      <c r="AJ264" s="59">
        <f>AVERAGE(AK264:AL264)</f>
        <v>22.945</v>
      </c>
      <c r="AK264" s="59">
        <v>22.95</v>
      </c>
      <c r="AL264" s="59">
        <v>22.94</v>
      </c>
      <c r="AM264" s="29">
        <f t="shared" si="104"/>
        <v>442</v>
      </c>
      <c r="AN264" s="25" t="s">
        <v>239</v>
      </c>
      <c r="AO264" s="29">
        <f>AT264</f>
        <v>332</v>
      </c>
      <c r="AP264" s="29">
        <f>AU264</f>
        <v>1661</v>
      </c>
      <c r="AQ264" s="29" t="s">
        <v>542</v>
      </c>
      <c r="AR264" s="23" t="s">
        <v>400</v>
      </c>
      <c r="AS264" s="29">
        <v>442</v>
      </c>
      <c r="AT264" s="29">
        <f>AS264-110</f>
        <v>332</v>
      </c>
      <c r="AU264" s="29">
        <f>AS264+1219</f>
        <v>1661</v>
      </c>
      <c r="AV264" s="39" t="s">
        <v>651</v>
      </c>
      <c r="AW264" s="39" t="s">
        <v>885</v>
      </c>
      <c r="AX264" s="29" t="s">
        <v>13</v>
      </c>
      <c r="AY264" s="6" t="s">
        <v>886</v>
      </c>
      <c r="AZ264" s="97"/>
      <c r="BA264" s="72">
        <v>53.969257368669552</v>
      </c>
      <c r="BB264" s="62"/>
      <c r="BC264" s="62"/>
      <c r="BD264" s="26">
        <v>577.157803871223</v>
      </c>
      <c r="BE264" s="25" t="s">
        <v>239</v>
      </c>
      <c r="BF264" s="26">
        <f t="shared" si="108"/>
        <v>530.44718599493649</v>
      </c>
      <c r="BG264" s="26">
        <f t="shared" si="109"/>
        <v>639.34077906636708</v>
      </c>
      <c r="BH264" s="83" t="s">
        <v>738</v>
      </c>
      <c r="BI264" s="25" t="s">
        <v>430</v>
      </c>
      <c r="BJ264" s="26">
        <v>483.73656811865004</v>
      </c>
      <c r="BK264" s="26">
        <v>701.52375426151104</v>
      </c>
      <c r="BL264" s="39"/>
      <c r="BO264" s="25"/>
      <c r="CA264" s="25" t="s">
        <v>13</v>
      </c>
      <c r="CC264" s="25" t="s">
        <v>13</v>
      </c>
    </row>
    <row r="265" spans="1:81">
      <c r="A265" s="6" t="s">
        <v>259</v>
      </c>
      <c r="B265" s="26" t="s">
        <v>260</v>
      </c>
      <c r="C265" s="62">
        <v>200.75</v>
      </c>
      <c r="D265" s="62"/>
      <c r="E265" s="62"/>
      <c r="F265" s="23">
        <f t="shared" si="107"/>
        <v>3012</v>
      </c>
      <c r="G265" s="23" t="s">
        <v>389</v>
      </c>
      <c r="H265" s="23">
        <f t="shared" si="91"/>
        <v>1506</v>
      </c>
      <c r="I265" s="23">
        <f t="shared" si="103"/>
        <v>6024</v>
      </c>
      <c r="J265" s="23" t="s">
        <v>480</v>
      </c>
      <c r="K265" s="23" t="s">
        <v>400</v>
      </c>
      <c r="L265" s="26">
        <v>4518</v>
      </c>
      <c r="M265" s="26">
        <f>L265-1506</f>
        <v>3012</v>
      </c>
      <c r="N265" s="26">
        <f>L265+1506</f>
        <v>6024</v>
      </c>
      <c r="O265" s="26">
        <v>3000</v>
      </c>
      <c r="P265" s="26">
        <f t="shared" si="102"/>
        <v>2000</v>
      </c>
      <c r="Q265" s="26" t="s">
        <v>391</v>
      </c>
      <c r="R265" s="26" t="s">
        <v>13</v>
      </c>
      <c r="S265" s="6" t="s">
        <v>639</v>
      </c>
      <c r="T265" s="44" t="s">
        <v>640</v>
      </c>
      <c r="U265" s="62">
        <v>17.796297073364258</v>
      </c>
      <c r="W265" s="26"/>
      <c r="X265" s="26">
        <v>309.98154469160841</v>
      </c>
      <c r="Y265" s="26" t="s">
        <v>389</v>
      </c>
      <c r="Z265" s="26">
        <f t="shared" si="106"/>
        <v>275.81990000000002</v>
      </c>
      <c r="AA265" s="26">
        <f t="shared" si="106"/>
        <v>354.74880000000002</v>
      </c>
      <c r="AB265" s="25" t="s">
        <v>542</v>
      </c>
      <c r="AC265" s="77" t="s">
        <v>400</v>
      </c>
      <c r="AD265" s="26">
        <v>275.81990000000002</v>
      </c>
      <c r="AE265" s="26">
        <v>354.74880000000002</v>
      </c>
      <c r="AF265" s="26" t="s">
        <v>641</v>
      </c>
      <c r="AG265" s="25" t="s">
        <v>13</v>
      </c>
      <c r="AH265" s="7" t="s">
        <v>540</v>
      </c>
      <c r="AI265" s="25" t="s">
        <v>566</v>
      </c>
      <c r="AJ265" s="62">
        <v>303.5</v>
      </c>
      <c r="AK265" s="62">
        <f>AJ265+0.3</f>
        <v>303.8</v>
      </c>
      <c r="AL265" s="62">
        <f>AJ265-0.3</f>
        <v>303.2</v>
      </c>
      <c r="AM265" s="25">
        <f t="shared" si="104"/>
        <v>462</v>
      </c>
      <c r="AN265" s="25" t="s">
        <v>239</v>
      </c>
      <c r="AO265" s="25">
        <f t="shared" si="105"/>
        <v>322</v>
      </c>
      <c r="AP265" s="39">
        <f t="shared" si="105"/>
        <v>701</v>
      </c>
      <c r="AQ265" s="29" t="s">
        <v>542</v>
      </c>
      <c r="AR265" s="23" t="s">
        <v>400</v>
      </c>
      <c r="AS265" s="39">
        <v>462</v>
      </c>
      <c r="AT265" s="39">
        <v>322</v>
      </c>
      <c r="AU265" s="39">
        <v>701</v>
      </c>
      <c r="AV265" s="39" t="s">
        <v>651</v>
      </c>
      <c r="AW265" s="39"/>
      <c r="AX265" s="29" t="s">
        <v>13</v>
      </c>
      <c r="AY265" s="6" t="s">
        <v>886</v>
      </c>
      <c r="AZ265" s="97"/>
      <c r="BA265" s="72">
        <v>54.007844877097575</v>
      </c>
      <c r="BB265" s="62"/>
      <c r="BC265" s="62"/>
      <c r="BD265" s="26">
        <v>871.736872889099</v>
      </c>
      <c r="BE265" s="25" t="s">
        <v>239</v>
      </c>
      <c r="BF265" s="26">
        <f t="shared" si="108"/>
        <v>783.56132462317896</v>
      </c>
      <c r="BG265" s="26">
        <f t="shared" si="109"/>
        <v>978.62933043171449</v>
      </c>
      <c r="BH265" s="83" t="s">
        <v>887</v>
      </c>
      <c r="BI265" s="25" t="s">
        <v>430</v>
      </c>
      <c r="BJ265" s="26">
        <v>695.38577635725903</v>
      </c>
      <c r="BK265" s="26">
        <v>1085.52178797433</v>
      </c>
      <c r="BL265" s="39"/>
      <c r="BO265" s="25"/>
      <c r="CA265" s="25" t="s">
        <v>13</v>
      </c>
      <c r="CC265" s="25" t="s">
        <v>13</v>
      </c>
    </row>
    <row r="266" spans="1:81">
      <c r="A266" s="6" t="s">
        <v>259</v>
      </c>
      <c r="B266" s="26" t="s">
        <v>260</v>
      </c>
      <c r="C266" s="62">
        <v>200.73</v>
      </c>
      <c r="D266" s="62"/>
      <c r="E266" s="62"/>
      <c r="F266" s="23">
        <f t="shared" si="107"/>
        <v>2382.6666666666665</v>
      </c>
      <c r="G266" s="23" t="s">
        <v>389</v>
      </c>
      <c r="H266" s="23">
        <f t="shared" si="91"/>
        <v>1191.3333333333333</v>
      </c>
      <c r="I266" s="23">
        <f t="shared" si="103"/>
        <v>4765.333333333333</v>
      </c>
      <c r="J266" s="23" t="s">
        <v>480</v>
      </c>
      <c r="K266" s="23" t="s">
        <v>400</v>
      </c>
      <c r="L266" s="26">
        <v>3574</v>
      </c>
      <c r="M266" s="26">
        <f>L266-1191</f>
        <v>2383</v>
      </c>
      <c r="N266" s="26">
        <f>L266+1191</f>
        <v>4765</v>
      </c>
      <c r="O266" s="26">
        <v>3000</v>
      </c>
      <c r="P266" s="26">
        <f t="shared" si="102"/>
        <v>2000</v>
      </c>
      <c r="Q266" s="26" t="s">
        <v>391</v>
      </c>
      <c r="R266" s="26" t="s">
        <v>13</v>
      </c>
      <c r="S266" s="6" t="s">
        <v>639</v>
      </c>
      <c r="T266" s="44" t="s">
        <v>640</v>
      </c>
      <c r="U266" s="62">
        <v>17.901451110839844</v>
      </c>
      <c r="W266" s="26"/>
      <c r="X266" s="26">
        <v>329.16102469516136</v>
      </c>
      <c r="Y266" s="26" t="s">
        <v>389</v>
      </c>
      <c r="Z266" s="26">
        <f t="shared" si="106"/>
        <v>293.06479999999999</v>
      </c>
      <c r="AA266" s="26">
        <f t="shared" si="106"/>
        <v>379.32119999999998</v>
      </c>
      <c r="AB266" s="25" t="s">
        <v>542</v>
      </c>
      <c r="AC266" s="77" t="s">
        <v>400</v>
      </c>
      <c r="AD266" s="26">
        <v>293.06479999999999</v>
      </c>
      <c r="AE266" s="26">
        <v>379.32119999999998</v>
      </c>
      <c r="AF266" s="26" t="s">
        <v>641</v>
      </c>
      <c r="AG266" s="25" t="s">
        <v>13</v>
      </c>
      <c r="AH266" s="7" t="s">
        <v>540</v>
      </c>
      <c r="AI266" s="25" t="s">
        <v>566</v>
      </c>
      <c r="AJ266" s="62">
        <v>303.5</v>
      </c>
      <c r="AK266" s="62">
        <f t="shared" ref="AK266:AK311" si="110">AJ266+0.3</f>
        <v>303.8</v>
      </c>
      <c r="AL266" s="62">
        <f t="shared" ref="AL266:AL311" si="111">AJ266-0.3</f>
        <v>303.2</v>
      </c>
      <c r="AM266" s="25">
        <f t="shared" si="104"/>
        <v>421</v>
      </c>
      <c r="AN266" s="26" t="s">
        <v>239</v>
      </c>
      <c r="AO266" s="25">
        <f t="shared" si="105"/>
        <v>293</v>
      </c>
      <c r="AP266" s="39">
        <f t="shared" si="105"/>
        <v>649</v>
      </c>
      <c r="AQ266" s="29" t="s">
        <v>542</v>
      </c>
      <c r="AR266" s="23" t="s">
        <v>400</v>
      </c>
      <c r="AS266" s="29">
        <v>421</v>
      </c>
      <c r="AT266" s="29">
        <v>293</v>
      </c>
      <c r="AU266" s="29">
        <v>649</v>
      </c>
      <c r="AV266" s="39" t="s">
        <v>651</v>
      </c>
      <c r="AW266" s="39"/>
      <c r="AX266" s="29" t="s">
        <v>13</v>
      </c>
      <c r="AY266" s="6" t="s">
        <v>886</v>
      </c>
      <c r="AZ266" s="97"/>
      <c r="BA266" s="72">
        <v>54.038089098071126</v>
      </c>
      <c r="BB266" s="62"/>
      <c r="BC266" s="62"/>
      <c r="BD266" s="26">
        <v>1213.8505924262099</v>
      </c>
      <c r="BE266" s="25" t="s">
        <v>239</v>
      </c>
      <c r="BF266" s="26">
        <f t="shared" si="108"/>
        <v>1097.6871179738564</v>
      </c>
      <c r="BG266" s="26">
        <f t="shared" si="109"/>
        <v>1376.071104454235</v>
      </c>
      <c r="BH266" s="83" t="s">
        <v>738</v>
      </c>
      <c r="BI266" s="25" t="s">
        <v>430</v>
      </c>
      <c r="BJ266" s="26">
        <v>981.523643521503</v>
      </c>
      <c r="BK266" s="26">
        <v>1538.29161648226</v>
      </c>
      <c r="BL266" s="39"/>
      <c r="BO266" s="25"/>
      <c r="CA266" s="25" t="s">
        <v>13</v>
      </c>
      <c r="CC266" s="25" t="s">
        <v>13</v>
      </c>
    </row>
    <row r="267" spans="1:81">
      <c r="A267" s="6" t="s">
        <v>259</v>
      </c>
      <c r="B267" s="26" t="s">
        <v>260</v>
      </c>
      <c r="C267" s="62">
        <v>200.71</v>
      </c>
      <c r="D267" s="62"/>
      <c r="E267" s="62"/>
      <c r="F267" s="23">
        <f t="shared" si="107"/>
        <v>1818</v>
      </c>
      <c r="G267" s="23" t="s">
        <v>389</v>
      </c>
      <c r="H267" s="23">
        <f t="shared" si="91"/>
        <v>909</v>
      </c>
      <c r="I267" s="23">
        <f t="shared" si="103"/>
        <v>3636</v>
      </c>
      <c r="J267" s="23" t="s">
        <v>480</v>
      </c>
      <c r="K267" s="23" t="s">
        <v>400</v>
      </c>
      <c r="L267" s="26">
        <v>2727</v>
      </c>
      <c r="M267" s="26">
        <f>L267-909</f>
        <v>1818</v>
      </c>
      <c r="N267" s="26">
        <f>L267+909</f>
        <v>3636</v>
      </c>
      <c r="O267" s="26">
        <v>3000</v>
      </c>
      <c r="P267" s="26">
        <f t="shared" si="102"/>
        <v>2000</v>
      </c>
      <c r="Q267" s="26" t="s">
        <v>391</v>
      </c>
      <c r="R267" s="26" t="s">
        <v>13</v>
      </c>
      <c r="S267" s="6" t="s">
        <v>639</v>
      </c>
      <c r="T267" s="44" t="s">
        <v>640</v>
      </c>
      <c r="U267" s="62">
        <v>18.435007095336914</v>
      </c>
      <c r="W267" s="26"/>
      <c r="X267" s="26">
        <v>578.90284044800774</v>
      </c>
      <c r="Y267" s="26" t="s">
        <v>389</v>
      </c>
      <c r="Z267" s="26">
        <f t="shared" si="106"/>
        <v>499.71640000000002</v>
      </c>
      <c r="AA267" s="26">
        <f t="shared" si="106"/>
        <v>692.41719999999998</v>
      </c>
      <c r="AB267" s="25" t="s">
        <v>542</v>
      </c>
      <c r="AC267" s="77" t="s">
        <v>400</v>
      </c>
      <c r="AD267" s="26">
        <v>499.71640000000002</v>
      </c>
      <c r="AE267" s="26">
        <v>692.41719999999998</v>
      </c>
      <c r="AF267" s="26" t="s">
        <v>641</v>
      </c>
      <c r="AG267" s="25" t="s">
        <v>13</v>
      </c>
      <c r="AH267" s="7" t="s">
        <v>540</v>
      </c>
      <c r="AI267" s="25" t="s">
        <v>566</v>
      </c>
      <c r="AJ267" s="62">
        <v>304</v>
      </c>
      <c r="AK267" s="62">
        <f t="shared" si="110"/>
        <v>304.3</v>
      </c>
      <c r="AL267" s="62">
        <f t="shared" si="111"/>
        <v>303.7</v>
      </c>
      <c r="AM267" s="25">
        <f t="shared" si="104"/>
        <v>393</v>
      </c>
      <c r="AN267" s="25" t="s">
        <v>239</v>
      </c>
      <c r="AO267" s="25">
        <f t="shared" si="105"/>
        <v>274</v>
      </c>
      <c r="AP267" s="39">
        <f t="shared" si="105"/>
        <v>610</v>
      </c>
      <c r="AQ267" s="29" t="s">
        <v>542</v>
      </c>
      <c r="AR267" s="23" t="s">
        <v>400</v>
      </c>
      <c r="AS267" s="29">
        <v>393</v>
      </c>
      <c r="AT267" s="39">
        <v>274</v>
      </c>
      <c r="AU267" s="39">
        <v>610</v>
      </c>
      <c r="AV267" s="39" t="s">
        <v>651</v>
      </c>
      <c r="AW267" s="39"/>
      <c r="AX267" s="29" t="s">
        <v>13</v>
      </c>
      <c r="AY267" s="6" t="s">
        <v>886</v>
      </c>
      <c r="AZ267" s="97"/>
      <c r="BA267" s="72">
        <v>54.044122860865976</v>
      </c>
      <c r="BB267" s="62"/>
      <c r="BC267" s="62"/>
      <c r="BD267" s="26">
        <v>980.17065828282</v>
      </c>
      <c r="BE267" s="25" t="s">
        <v>239</v>
      </c>
      <c r="BF267" s="26">
        <f t="shared" si="108"/>
        <v>900.13118560163343</v>
      </c>
      <c r="BG267" s="26">
        <f t="shared" si="109"/>
        <v>1067.0001863264101</v>
      </c>
      <c r="BH267" s="83" t="s">
        <v>887</v>
      </c>
      <c r="BI267" s="25" t="s">
        <v>430</v>
      </c>
      <c r="BJ267" s="26">
        <v>820.09171292044698</v>
      </c>
      <c r="BK267" s="26">
        <v>1153.8297143700001</v>
      </c>
      <c r="BL267" s="39"/>
      <c r="BO267" s="25"/>
      <c r="CA267" s="25" t="s">
        <v>13</v>
      </c>
      <c r="CC267" s="25" t="s">
        <v>13</v>
      </c>
    </row>
    <row r="268" spans="1:81">
      <c r="A268" s="6" t="s">
        <v>259</v>
      </c>
      <c r="B268" s="26" t="s">
        <v>260</v>
      </c>
      <c r="C268" s="62">
        <v>200.69</v>
      </c>
      <c r="D268" s="62"/>
      <c r="E268" s="62"/>
      <c r="F268" s="23">
        <f t="shared" si="107"/>
        <v>2012.6666666666667</v>
      </c>
      <c r="G268" s="23" t="s">
        <v>389</v>
      </c>
      <c r="H268" s="23">
        <f t="shared" si="91"/>
        <v>1006.3333333333334</v>
      </c>
      <c r="I268" s="23">
        <f t="shared" si="103"/>
        <v>4025.3333333333335</v>
      </c>
      <c r="J268" s="23" t="s">
        <v>480</v>
      </c>
      <c r="K268" s="23" t="s">
        <v>400</v>
      </c>
      <c r="L268" s="26">
        <v>3019</v>
      </c>
      <c r="M268" s="26">
        <f>L268-1006</f>
        <v>2013</v>
      </c>
      <c r="N268" s="26">
        <f>L268+1006</f>
        <v>4025</v>
      </c>
      <c r="O268" s="26">
        <v>3000</v>
      </c>
      <c r="P268" s="26">
        <f t="shared" si="102"/>
        <v>2000</v>
      </c>
      <c r="Q268" s="26" t="s">
        <v>391</v>
      </c>
      <c r="R268" s="26" t="s">
        <v>13</v>
      </c>
      <c r="S268" s="6" t="s">
        <v>639</v>
      </c>
      <c r="T268" s="44" t="s">
        <v>640</v>
      </c>
      <c r="U268" s="62">
        <v>18.517311096191406</v>
      </c>
      <c r="W268" s="26"/>
      <c r="X268" s="26">
        <v>343.9232093427749</v>
      </c>
      <c r="Y268" s="26" t="s">
        <v>389</v>
      </c>
      <c r="Z268" s="26">
        <f t="shared" si="106"/>
        <v>305.27620000000002</v>
      </c>
      <c r="AA268" s="26">
        <f t="shared" si="106"/>
        <v>395.62290000000002</v>
      </c>
      <c r="AB268" s="25" t="s">
        <v>542</v>
      </c>
      <c r="AC268" s="77" t="s">
        <v>400</v>
      </c>
      <c r="AD268" s="26">
        <v>305.27620000000002</v>
      </c>
      <c r="AE268" s="26">
        <v>395.62290000000002</v>
      </c>
      <c r="AF268" s="26" t="s">
        <v>641</v>
      </c>
      <c r="AG268" s="25" t="s">
        <v>13</v>
      </c>
      <c r="AH268" s="7" t="s">
        <v>540</v>
      </c>
      <c r="AI268" s="25" t="s">
        <v>566</v>
      </c>
      <c r="AJ268" s="62">
        <v>304.3</v>
      </c>
      <c r="AK268" s="62">
        <f t="shared" si="110"/>
        <v>304.60000000000002</v>
      </c>
      <c r="AL268" s="62">
        <f t="shared" si="111"/>
        <v>304</v>
      </c>
      <c r="AM268" s="25">
        <f t="shared" si="104"/>
        <v>472</v>
      </c>
      <c r="AN268" s="26" t="s">
        <v>239</v>
      </c>
      <c r="AO268" s="25">
        <f t="shared" si="105"/>
        <v>331</v>
      </c>
      <c r="AP268" s="39">
        <f t="shared" si="105"/>
        <v>712</v>
      </c>
      <c r="AQ268" s="29" t="s">
        <v>542</v>
      </c>
      <c r="AR268" s="23" t="s">
        <v>400</v>
      </c>
      <c r="AS268" s="29">
        <v>472</v>
      </c>
      <c r="AT268" s="29">
        <v>331</v>
      </c>
      <c r="AU268" s="29">
        <v>712</v>
      </c>
      <c r="AV268" s="39" t="s">
        <v>651</v>
      </c>
      <c r="AW268" s="39"/>
      <c r="AX268" s="29" t="s">
        <v>13</v>
      </c>
      <c r="AY268" s="6" t="s">
        <v>886</v>
      </c>
      <c r="AZ268" s="97"/>
      <c r="BA268" s="72">
        <v>54.04774311854289</v>
      </c>
      <c r="BB268" s="62"/>
      <c r="BC268" s="62"/>
      <c r="BD268" s="26">
        <v>743.94823704595001</v>
      </c>
      <c r="BE268" s="25" t="s">
        <v>239</v>
      </c>
      <c r="BF268" s="26">
        <f t="shared" si="108"/>
        <v>682.63642889171547</v>
      </c>
      <c r="BG268" s="26">
        <f t="shared" si="109"/>
        <v>812.43906363569158</v>
      </c>
      <c r="BH268" s="83" t="s">
        <v>738</v>
      </c>
      <c r="BI268" s="25" t="s">
        <v>430</v>
      </c>
      <c r="BJ268" s="26">
        <v>621.32462073748093</v>
      </c>
      <c r="BK268" s="26">
        <v>880.92989022543304</v>
      </c>
      <c r="BL268" s="39"/>
      <c r="BO268" s="25"/>
      <c r="CA268" s="25" t="s">
        <v>13</v>
      </c>
      <c r="CC268" s="25" t="s">
        <v>13</v>
      </c>
    </row>
    <row r="269" spans="1:81">
      <c r="A269" s="6" t="s">
        <v>259</v>
      </c>
      <c r="B269" s="26" t="s">
        <v>260</v>
      </c>
      <c r="C269" s="62">
        <v>200.68</v>
      </c>
      <c r="D269" s="62"/>
      <c r="E269" s="62"/>
      <c r="F269" s="23">
        <f t="shared" si="107"/>
        <v>1874</v>
      </c>
      <c r="G269" s="23" t="s">
        <v>389</v>
      </c>
      <c r="H269" s="23">
        <f t="shared" si="91"/>
        <v>937</v>
      </c>
      <c r="I269" s="23">
        <f t="shared" si="103"/>
        <v>3748</v>
      </c>
      <c r="J269" s="23" t="s">
        <v>480</v>
      </c>
      <c r="K269" s="23" t="s">
        <v>400</v>
      </c>
      <c r="L269" s="26">
        <v>2811</v>
      </c>
      <c r="M269" s="26">
        <f>L269-937</f>
        <v>1874</v>
      </c>
      <c r="N269" s="26">
        <f>L269+937</f>
        <v>3748</v>
      </c>
      <c r="O269" s="26">
        <v>3000</v>
      </c>
      <c r="P269" s="26">
        <f t="shared" si="102"/>
        <v>2000</v>
      </c>
      <c r="Q269" s="26" t="s">
        <v>391</v>
      </c>
      <c r="R269" s="26" t="s">
        <v>13</v>
      </c>
      <c r="S269" s="6" t="s">
        <v>639</v>
      </c>
      <c r="T269" s="44" t="s">
        <v>640</v>
      </c>
      <c r="U269" s="62">
        <v>18.593912124633789</v>
      </c>
      <c r="W269" s="26"/>
      <c r="X269" s="26">
        <v>312.69346247485072</v>
      </c>
      <c r="Y269" s="26" t="s">
        <v>389</v>
      </c>
      <c r="Z269" s="26">
        <f t="shared" si="106"/>
        <v>276.53820000000002</v>
      </c>
      <c r="AA269" s="26">
        <f t="shared" si="106"/>
        <v>356.62779999999998</v>
      </c>
      <c r="AB269" s="25" t="s">
        <v>542</v>
      </c>
      <c r="AC269" s="77" t="s">
        <v>400</v>
      </c>
      <c r="AD269" s="26">
        <v>276.53820000000002</v>
      </c>
      <c r="AE269" s="26">
        <v>356.62779999999998</v>
      </c>
      <c r="AF269" s="26" t="s">
        <v>641</v>
      </c>
      <c r="AG269" s="25" t="s">
        <v>13</v>
      </c>
      <c r="AH269" s="7" t="s">
        <v>540</v>
      </c>
      <c r="AI269" s="25" t="s">
        <v>566</v>
      </c>
      <c r="AJ269" s="62">
        <v>305.5</v>
      </c>
      <c r="AK269" s="62">
        <f t="shared" si="110"/>
        <v>305.8</v>
      </c>
      <c r="AL269" s="62">
        <f t="shared" si="111"/>
        <v>305.2</v>
      </c>
      <c r="AM269" s="25">
        <f t="shared" si="104"/>
        <v>507</v>
      </c>
      <c r="AN269" s="25" t="s">
        <v>239</v>
      </c>
      <c r="AO269" s="25">
        <f t="shared" si="105"/>
        <v>355</v>
      </c>
      <c r="AP269" s="39">
        <f t="shared" si="105"/>
        <v>767</v>
      </c>
      <c r="AQ269" s="29" t="s">
        <v>542</v>
      </c>
      <c r="AR269" s="23" t="s">
        <v>400</v>
      </c>
      <c r="AS269" s="29">
        <v>507</v>
      </c>
      <c r="AT269" s="39">
        <v>355</v>
      </c>
      <c r="AU269" s="39">
        <v>767</v>
      </c>
      <c r="AV269" s="39" t="s">
        <v>651</v>
      </c>
      <c r="AW269" s="39"/>
      <c r="AX269" s="29" t="s">
        <v>13</v>
      </c>
      <c r="AY269" s="6" t="s">
        <v>886</v>
      </c>
      <c r="AZ269" s="97"/>
      <c r="BA269" s="72">
        <v>54.049971600767535</v>
      </c>
      <c r="BB269" s="62"/>
      <c r="BC269" s="62"/>
      <c r="BD269" s="26">
        <v>646.56362647727497</v>
      </c>
      <c r="BE269" s="25" t="s">
        <v>239</v>
      </c>
      <c r="BF269" s="26">
        <f t="shared" si="108"/>
        <v>596.40775963537999</v>
      </c>
      <c r="BG269" s="26">
        <f t="shared" si="109"/>
        <v>711.34863994404498</v>
      </c>
      <c r="BH269" s="83" t="s">
        <v>887</v>
      </c>
      <c r="BI269" s="25" t="s">
        <v>430</v>
      </c>
      <c r="BJ269" s="26">
        <v>546.25189279348501</v>
      </c>
      <c r="BK269" s="26">
        <v>776.13365341081499</v>
      </c>
      <c r="BL269" s="39"/>
      <c r="BO269" s="25"/>
      <c r="CA269" s="25" t="s">
        <v>13</v>
      </c>
      <c r="CC269" s="25" t="s">
        <v>13</v>
      </c>
    </row>
    <row r="270" spans="1:81">
      <c r="A270" s="6" t="s">
        <v>259</v>
      </c>
      <c r="B270" s="26" t="s">
        <v>260</v>
      </c>
      <c r="C270" s="62">
        <v>200.66</v>
      </c>
      <c r="D270" s="62"/>
      <c r="E270" s="62"/>
      <c r="F270" s="23">
        <f t="shared" si="107"/>
        <v>2303.3333333333335</v>
      </c>
      <c r="G270" s="23" t="s">
        <v>389</v>
      </c>
      <c r="H270" s="23">
        <f t="shared" si="91"/>
        <v>1151.6666666666667</v>
      </c>
      <c r="I270" s="23">
        <f t="shared" si="103"/>
        <v>4606.666666666667</v>
      </c>
      <c r="J270" s="23" t="s">
        <v>480</v>
      </c>
      <c r="K270" s="23" t="s">
        <v>400</v>
      </c>
      <c r="L270" s="26">
        <v>3455</v>
      </c>
      <c r="M270" s="26">
        <f>L270-1152</f>
        <v>2303</v>
      </c>
      <c r="N270" s="26">
        <f>L270+1152</f>
        <v>4607</v>
      </c>
      <c r="O270" s="26">
        <v>3000</v>
      </c>
      <c r="P270" s="26">
        <f t="shared" si="102"/>
        <v>2000</v>
      </c>
      <c r="Q270" s="26" t="s">
        <v>391</v>
      </c>
      <c r="R270" s="26" t="s">
        <v>13</v>
      </c>
      <c r="S270" s="6" t="s">
        <v>639</v>
      </c>
      <c r="T270" s="44" t="s">
        <v>640</v>
      </c>
      <c r="U270" s="62">
        <v>18.678665161132813</v>
      </c>
      <c r="W270" s="26"/>
      <c r="X270" s="26">
        <v>312.58752927448722</v>
      </c>
      <c r="Y270" s="26" t="s">
        <v>389</v>
      </c>
      <c r="Z270" s="26">
        <f t="shared" si="106"/>
        <v>277.03089999999997</v>
      </c>
      <c r="AA270" s="26">
        <f t="shared" si="106"/>
        <v>356.71859999999998</v>
      </c>
      <c r="AB270" s="25" t="s">
        <v>542</v>
      </c>
      <c r="AC270" s="77" t="s">
        <v>400</v>
      </c>
      <c r="AD270" s="26">
        <v>277.03089999999997</v>
      </c>
      <c r="AE270" s="26">
        <v>356.71859999999998</v>
      </c>
      <c r="AF270" s="26" t="s">
        <v>641</v>
      </c>
      <c r="AG270" s="25" t="s">
        <v>13</v>
      </c>
      <c r="AH270" s="7" t="s">
        <v>540</v>
      </c>
      <c r="AI270" s="25" t="s">
        <v>566</v>
      </c>
      <c r="AJ270" s="62">
        <v>305.5</v>
      </c>
      <c r="AK270" s="62">
        <f t="shared" si="110"/>
        <v>305.8</v>
      </c>
      <c r="AL270" s="62">
        <f t="shared" si="111"/>
        <v>305.2</v>
      </c>
      <c r="AM270" s="25">
        <f t="shared" si="104"/>
        <v>446</v>
      </c>
      <c r="AN270" s="26" t="s">
        <v>239</v>
      </c>
      <c r="AO270" s="25">
        <f t="shared" si="105"/>
        <v>260</v>
      </c>
      <c r="AP270" s="39">
        <f t="shared" si="105"/>
        <v>690</v>
      </c>
      <c r="AQ270" s="29" t="s">
        <v>542</v>
      </c>
      <c r="AR270" s="23" t="s">
        <v>400</v>
      </c>
      <c r="AS270" s="29">
        <v>446</v>
      </c>
      <c r="AT270" s="29">
        <v>260</v>
      </c>
      <c r="AU270" s="29">
        <v>690</v>
      </c>
      <c r="AV270" s="39" t="s">
        <v>651</v>
      </c>
      <c r="AW270" s="39"/>
      <c r="AX270" s="29" t="s">
        <v>13</v>
      </c>
      <c r="AY270" s="6" t="s">
        <v>886</v>
      </c>
      <c r="AZ270" s="97"/>
      <c r="BA270" s="72">
        <v>54.050752074610486</v>
      </c>
      <c r="BB270" s="62"/>
      <c r="BC270" s="62"/>
      <c r="BD270" s="26">
        <v>746.84848727205099</v>
      </c>
      <c r="BE270" s="25" t="s">
        <v>239</v>
      </c>
      <c r="BF270" s="26">
        <f t="shared" si="108"/>
        <v>675.4318862933244</v>
      </c>
      <c r="BG270" s="26">
        <f t="shared" si="109"/>
        <v>836.33091124662246</v>
      </c>
      <c r="BH270" s="83" t="s">
        <v>738</v>
      </c>
      <c r="BI270" s="25" t="s">
        <v>430</v>
      </c>
      <c r="BJ270" s="26">
        <v>604.01528531459792</v>
      </c>
      <c r="BK270" s="26">
        <v>925.81333522119394</v>
      </c>
      <c r="BL270" s="39"/>
      <c r="BO270" s="25"/>
      <c r="CA270" s="25" t="s">
        <v>13</v>
      </c>
      <c r="CC270" s="25" t="s">
        <v>13</v>
      </c>
    </row>
    <row r="271" spans="1:81">
      <c r="A271" s="6" t="s">
        <v>259</v>
      </c>
      <c r="B271" s="26" t="s">
        <v>260</v>
      </c>
      <c r="C271" s="62">
        <v>200.65</v>
      </c>
      <c r="D271" s="62"/>
      <c r="E271" s="62"/>
      <c r="F271" s="23">
        <f t="shared" si="107"/>
        <v>1992</v>
      </c>
      <c r="G271" s="23" t="s">
        <v>389</v>
      </c>
      <c r="H271" s="23">
        <f t="shared" si="91"/>
        <v>996</v>
      </c>
      <c r="I271" s="23">
        <f t="shared" si="103"/>
        <v>3984</v>
      </c>
      <c r="J271" s="23" t="s">
        <v>480</v>
      </c>
      <c r="K271" s="23" t="s">
        <v>400</v>
      </c>
      <c r="L271" s="26">
        <v>2988</v>
      </c>
      <c r="M271" s="26">
        <f>L271-996</f>
        <v>1992</v>
      </c>
      <c r="N271" s="26">
        <f>L271+996</f>
        <v>3984</v>
      </c>
      <c r="O271" s="26">
        <v>3000</v>
      </c>
      <c r="P271" s="26">
        <f t="shared" si="102"/>
        <v>2000</v>
      </c>
      <c r="Q271" s="26" t="s">
        <v>391</v>
      </c>
      <c r="R271" s="26" t="s">
        <v>13</v>
      </c>
      <c r="S271" s="6" t="s">
        <v>639</v>
      </c>
      <c r="T271" s="44" t="s">
        <v>640</v>
      </c>
      <c r="U271" s="62">
        <v>19.22633171081543</v>
      </c>
      <c r="W271" s="26"/>
      <c r="X271" s="26">
        <v>382.52028395390988</v>
      </c>
      <c r="Y271" s="26" t="s">
        <v>389</v>
      </c>
      <c r="Z271" s="26">
        <f t="shared" si="106"/>
        <v>338.15539999999999</v>
      </c>
      <c r="AA271" s="26">
        <f t="shared" si="106"/>
        <v>449.81330000000003</v>
      </c>
      <c r="AB271" s="25" t="s">
        <v>542</v>
      </c>
      <c r="AC271" s="77" t="s">
        <v>400</v>
      </c>
      <c r="AD271" s="26">
        <v>338.15539999999999</v>
      </c>
      <c r="AE271" s="26">
        <v>449.81330000000003</v>
      </c>
      <c r="AF271" s="26" t="s">
        <v>641</v>
      </c>
      <c r="AG271" s="25" t="s">
        <v>13</v>
      </c>
      <c r="AH271" s="7" t="s">
        <v>540</v>
      </c>
      <c r="AI271" s="25" t="s">
        <v>566</v>
      </c>
      <c r="AJ271" s="62">
        <v>305.89999999999998</v>
      </c>
      <c r="AK271" s="62">
        <f t="shared" si="110"/>
        <v>306.2</v>
      </c>
      <c r="AL271" s="62">
        <f t="shared" si="111"/>
        <v>305.59999999999997</v>
      </c>
      <c r="AM271" s="25">
        <f t="shared" si="104"/>
        <v>582</v>
      </c>
      <c r="AN271" s="25" t="s">
        <v>239</v>
      </c>
      <c r="AO271" s="25">
        <f t="shared" si="105"/>
        <v>412</v>
      </c>
      <c r="AP271" s="39">
        <f t="shared" si="105"/>
        <v>864</v>
      </c>
      <c r="AQ271" s="29" t="s">
        <v>542</v>
      </c>
      <c r="AR271" s="23" t="s">
        <v>400</v>
      </c>
      <c r="AS271" s="29">
        <v>582</v>
      </c>
      <c r="AT271" s="39">
        <v>412</v>
      </c>
      <c r="AU271" s="39">
        <v>864</v>
      </c>
      <c r="AV271" s="39" t="s">
        <v>651</v>
      </c>
      <c r="AW271" s="39"/>
      <c r="AX271" s="29" t="s">
        <v>13</v>
      </c>
      <c r="AY271" s="6" t="s">
        <v>886</v>
      </c>
      <c r="AZ271" s="97"/>
      <c r="BA271" s="72">
        <v>54.051532548453437</v>
      </c>
      <c r="BB271" s="62"/>
      <c r="BC271" s="62"/>
      <c r="BD271" s="26">
        <v>815.47695653145604</v>
      </c>
      <c r="BE271" s="25" t="s">
        <v>239</v>
      </c>
      <c r="BF271" s="26">
        <f t="shared" si="108"/>
        <v>738.87965450695742</v>
      </c>
      <c r="BG271" s="26">
        <f t="shared" si="109"/>
        <v>912.45419179737792</v>
      </c>
      <c r="BH271" s="83" t="s">
        <v>887</v>
      </c>
      <c r="BI271" s="25" t="s">
        <v>430</v>
      </c>
      <c r="BJ271" s="26">
        <v>662.28235248245892</v>
      </c>
      <c r="BK271" s="26">
        <v>1009.4314270632999</v>
      </c>
      <c r="BL271" s="39"/>
      <c r="BO271" s="25"/>
      <c r="CA271" s="25" t="s">
        <v>13</v>
      </c>
      <c r="CC271" s="25" t="s">
        <v>13</v>
      </c>
    </row>
    <row r="272" spans="1:81">
      <c r="A272" s="6" t="s">
        <v>259</v>
      </c>
      <c r="B272" s="26" t="s">
        <v>260</v>
      </c>
      <c r="C272" s="62">
        <v>200.63</v>
      </c>
      <c r="D272" s="62"/>
      <c r="E272" s="62"/>
      <c r="F272" s="23">
        <f t="shared" si="107"/>
        <v>2048</v>
      </c>
      <c r="G272" s="23" t="s">
        <v>389</v>
      </c>
      <c r="H272" s="23">
        <f t="shared" si="91"/>
        <v>1024</v>
      </c>
      <c r="I272" s="23">
        <f t="shared" si="103"/>
        <v>4096</v>
      </c>
      <c r="J272" s="23" t="s">
        <v>480</v>
      </c>
      <c r="K272" s="23" t="s">
        <v>400</v>
      </c>
      <c r="L272" s="26">
        <v>3072</v>
      </c>
      <c r="M272" s="26">
        <f>L272-1024</f>
        <v>2048</v>
      </c>
      <c r="N272" s="26">
        <f>M272+1024</f>
        <v>3072</v>
      </c>
      <c r="O272" s="26">
        <v>3000</v>
      </c>
      <c r="P272" s="26">
        <f t="shared" si="102"/>
        <v>2000</v>
      </c>
      <c r="Q272" s="26" t="s">
        <v>391</v>
      </c>
      <c r="R272" s="26" t="s">
        <v>13</v>
      </c>
      <c r="S272" s="6" t="s">
        <v>639</v>
      </c>
      <c r="T272" s="44" t="s">
        <v>640</v>
      </c>
      <c r="U272" s="62">
        <v>19.296518325805664</v>
      </c>
      <c r="W272" s="26"/>
      <c r="X272" s="26">
        <v>479.19227391682483</v>
      </c>
      <c r="Y272" s="26" t="s">
        <v>389</v>
      </c>
      <c r="Z272" s="26">
        <f t="shared" si="106"/>
        <v>418.6397</v>
      </c>
      <c r="AA272" s="26">
        <f t="shared" si="106"/>
        <v>573.66229999999996</v>
      </c>
      <c r="AB272" s="25" t="s">
        <v>542</v>
      </c>
      <c r="AC272" s="77" t="s">
        <v>400</v>
      </c>
      <c r="AD272" s="26">
        <v>418.6397</v>
      </c>
      <c r="AE272" s="26">
        <v>573.66229999999996</v>
      </c>
      <c r="AF272" s="26" t="s">
        <v>641</v>
      </c>
      <c r="AG272" s="25" t="s">
        <v>13</v>
      </c>
      <c r="AH272" s="7" t="s">
        <v>540</v>
      </c>
      <c r="AI272" s="25" t="s">
        <v>566</v>
      </c>
      <c r="AJ272" s="62">
        <v>306.7</v>
      </c>
      <c r="AK272" s="62">
        <f t="shared" si="110"/>
        <v>307</v>
      </c>
      <c r="AL272" s="62">
        <f t="shared" si="111"/>
        <v>306.39999999999998</v>
      </c>
      <c r="AM272" s="25">
        <f t="shared" si="104"/>
        <v>477</v>
      </c>
      <c r="AN272" s="26" t="s">
        <v>239</v>
      </c>
      <c r="AO272" s="25">
        <f t="shared" si="105"/>
        <v>332</v>
      </c>
      <c r="AP272" s="39">
        <f t="shared" si="105"/>
        <v>730</v>
      </c>
      <c r="AQ272" s="29" t="s">
        <v>542</v>
      </c>
      <c r="AR272" s="23" t="s">
        <v>400</v>
      </c>
      <c r="AS272" s="29">
        <v>477</v>
      </c>
      <c r="AT272" s="29">
        <v>332</v>
      </c>
      <c r="AU272" s="29">
        <v>730</v>
      </c>
      <c r="AV272" s="39" t="s">
        <v>651</v>
      </c>
      <c r="AW272" s="39"/>
      <c r="AX272" s="29" t="s">
        <v>13</v>
      </c>
      <c r="AY272" s="6" t="s">
        <v>886</v>
      </c>
      <c r="AZ272" s="97"/>
      <c r="BA272" s="72">
        <v>54.052573180244039</v>
      </c>
      <c r="BB272" s="62"/>
      <c r="BC272" s="62"/>
      <c r="BD272" s="26">
        <v>645.17397461324003</v>
      </c>
      <c r="BE272" s="25" t="s">
        <v>239</v>
      </c>
      <c r="BF272" s="26">
        <f t="shared" si="108"/>
        <v>593.99168647086708</v>
      </c>
      <c r="BG272" s="26">
        <f t="shared" si="109"/>
        <v>708.90954213352552</v>
      </c>
      <c r="BH272" s="83" t="s">
        <v>738</v>
      </c>
      <c r="BI272" s="25" t="s">
        <v>430</v>
      </c>
      <c r="BJ272" s="26">
        <v>542.80939832849401</v>
      </c>
      <c r="BK272" s="26">
        <v>772.64510965381101</v>
      </c>
      <c r="BL272" s="39"/>
      <c r="BO272" s="25"/>
      <c r="CA272" s="25" t="s">
        <v>13</v>
      </c>
      <c r="CC272" s="25" t="s">
        <v>13</v>
      </c>
    </row>
    <row r="273" spans="1:81">
      <c r="A273" s="6" t="s">
        <v>259</v>
      </c>
      <c r="B273" s="26" t="s">
        <v>260</v>
      </c>
      <c r="C273" s="62">
        <v>200.63</v>
      </c>
      <c r="D273" s="62"/>
      <c r="E273" s="62"/>
      <c r="F273" s="23">
        <f t="shared" si="107"/>
        <v>1544.6666666666667</v>
      </c>
      <c r="G273" s="23" t="s">
        <v>389</v>
      </c>
      <c r="H273" s="23">
        <f t="shared" si="91"/>
        <v>772.33333333333337</v>
      </c>
      <c r="I273" s="23">
        <f t="shared" si="103"/>
        <v>3089.3333333333335</v>
      </c>
      <c r="J273" s="23" t="s">
        <v>480</v>
      </c>
      <c r="K273" s="23" t="s">
        <v>400</v>
      </c>
      <c r="L273" s="26">
        <v>2317</v>
      </c>
      <c r="M273" s="26">
        <f>L273-772</f>
        <v>1545</v>
      </c>
      <c r="N273" s="26">
        <f>L273+772</f>
        <v>3089</v>
      </c>
      <c r="O273" s="26">
        <v>3000</v>
      </c>
      <c r="P273" s="26">
        <f t="shared" si="102"/>
        <v>2000</v>
      </c>
      <c r="Q273" s="26" t="s">
        <v>391</v>
      </c>
      <c r="R273" s="26" t="s">
        <v>13</v>
      </c>
      <c r="S273" s="6" t="s">
        <v>639</v>
      </c>
      <c r="T273" s="44" t="s">
        <v>640</v>
      </c>
      <c r="U273" s="62">
        <v>19.815879821777344</v>
      </c>
      <c r="X273" s="26">
        <v>364.20326113299524</v>
      </c>
      <c r="Y273" s="26" t="s">
        <v>389</v>
      </c>
      <c r="Z273" s="26">
        <f t="shared" si="106"/>
        <v>321.78789999999998</v>
      </c>
      <c r="AA273" s="26">
        <f t="shared" si="106"/>
        <v>419.62950000000001</v>
      </c>
      <c r="AB273" s="25" t="s">
        <v>542</v>
      </c>
      <c r="AC273" s="77" t="s">
        <v>400</v>
      </c>
      <c r="AD273" s="26">
        <v>321.78789999999998</v>
      </c>
      <c r="AE273" s="26">
        <v>419.62950000000001</v>
      </c>
      <c r="AF273" s="26" t="s">
        <v>641</v>
      </c>
      <c r="AG273" s="25" t="s">
        <v>13</v>
      </c>
      <c r="AH273" s="7" t="s">
        <v>540</v>
      </c>
      <c r="AI273" s="25" t="s">
        <v>566</v>
      </c>
      <c r="AJ273" s="62">
        <v>306.8</v>
      </c>
      <c r="AK273" s="62">
        <f t="shared" si="110"/>
        <v>307.10000000000002</v>
      </c>
      <c r="AL273" s="62">
        <f t="shared" si="111"/>
        <v>306.5</v>
      </c>
      <c r="AM273" s="25">
        <f t="shared" si="104"/>
        <v>480</v>
      </c>
      <c r="AN273" s="25" t="s">
        <v>239</v>
      </c>
      <c r="AO273" s="25">
        <f t="shared" si="105"/>
        <v>333</v>
      </c>
      <c r="AP273" s="39">
        <f t="shared" si="105"/>
        <v>737</v>
      </c>
      <c r="AQ273" s="29" t="s">
        <v>542</v>
      </c>
      <c r="AR273" s="23" t="s">
        <v>400</v>
      </c>
      <c r="AS273" s="29">
        <v>480</v>
      </c>
      <c r="AT273" s="39">
        <v>333</v>
      </c>
      <c r="AU273" s="39">
        <v>737</v>
      </c>
      <c r="AV273" s="39" t="s">
        <v>651</v>
      </c>
      <c r="AW273" s="39"/>
      <c r="AX273" s="29" t="s">
        <v>13</v>
      </c>
      <c r="AY273" s="6" t="s">
        <v>886</v>
      </c>
      <c r="AZ273" s="97"/>
      <c r="BA273" s="72">
        <v>54.054134127929935</v>
      </c>
      <c r="BB273" s="62"/>
      <c r="BC273" s="62"/>
      <c r="BD273" s="26">
        <v>564.28263160798997</v>
      </c>
      <c r="BE273" s="25" t="s">
        <v>239</v>
      </c>
      <c r="BF273" s="26">
        <f t="shared" si="108"/>
        <v>515.34294159331898</v>
      </c>
      <c r="BG273" s="26">
        <f t="shared" si="109"/>
        <v>623.32562223955199</v>
      </c>
      <c r="BH273" s="83" t="s">
        <v>887</v>
      </c>
      <c r="BI273" s="25" t="s">
        <v>430</v>
      </c>
      <c r="BJ273" s="26">
        <v>466.403251578648</v>
      </c>
      <c r="BK273" s="26">
        <v>682.36861287111401</v>
      </c>
      <c r="BL273" s="39"/>
      <c r="BO273" s="25"/>
      <c r="CA273" s="25" t="s">
        <v>13</v>
      </c>
      <c r="CC273" s="25" t="s">
        <v>13</v>
      </c>
    </row>
    <row r="274" spans="1:81">
      <c r="A274" s="6" t="s">
        <v>259</v>
      </c>
      <c r="B274" s="26" t="s">
        <v>260</v>
      </c>
      <c r="C274" s="62">
        <v>200.63</v>
      </c>
      <c r="D274" s="62"/>
      <c r="E274" s="62"/>
      <c r="F274" s="23">
        <f t="shared" si="107"/>
        <v>2186.6666666666665</v>
      </c>
      <c r="G274" s="23" t="s">
        <v>389</v>
      </c>
      <c r="H274" s="23">
        <f t="shared" si="91"/>
        <v>1093.3333333333333</v>
      </c>
      <c r="I274" s="23">
        <f t="shared" si="103"/>
        <v>4373.333333333333</v>
      </c>
      <c r="J274" s="23" t="s">
        <v>480</v>
      </c>
      <c r="K274" s="23" t="s">
        <v>400</v>
      </c>
      <c r="L274" s="26">
        <v>3280</v>
      </c>
      <c r="M274" s="26">
        <f>L274-1093</f>
        <v>2187</v>
      </c>
      <c r="N274" s="26">
        <f>L274+1093</f>
        <v>4373</v>
      </c>
      <c r="O274" s="26">
        <v>3000</v>
      </c>
      <c r="P274" s="26">
        <f t="shared" si="102"/>
        <v>2000</v>
      </c>
      <c r="Q274" s="26" t="s">
        <v>391</v>
      </c>
      <c r="R274" s="26" t="s">
        <v>13</v>
      </c>
      <c r="S274" s="6" t="s">
        <v>639</v>
      </c>
      <c r="T274" s="44" t="s">
        <v>640</v>
      </c>
      <c r="U274" s="62">
        <v>19.93353271484375</v>
      </c>
      <c r="X274" s="26">
        <v>461.09546701238173</v>
      </c>
      <c r="Y274" s="26" t="s">
        <v>389</v>
      </c>
      <c r="Z274" s="26">
        <f t="shared" si="106"/>
        <v>396.10309999999998</v>
      </c>
      <c r="AA274" s="26">
        <f t="shared" si="106"/>
        <v>536.97289999999998</v>
      </c>
      <c r="AB274" s="25" t="s">
        <v>542</v>
      </c>
      <c r="AC274" s="77" t="s">
        <v>400</v>
      </c>
      <c r="AD274" s="26">
        <v>396.10309999999998</v>
      </c>
      <c r="AE274" s="26">
        <v>536.97289999999998</v>
      </c>
      <c r="AF274" s="26" t="s">
        <v>641</v>
      </c>
      <c r="AG274" s="25" t="s">
        <v>13</v>
      </c>
      <c r="AH274" s="7" t="s">
        <v>540</v>
      </c>
      <c r="AI274" s="25" t="s">
        <v>566</v>
      </c>
      <c r="AJ274" s="62">
        <v>306.8</v>
      </c>
      <c r="AK274" s="62">
        <f t="shared" si="110"/>
        <v>307.10000000000002</v>
      </c>
      <c r="AL274" s="62">
        <f t="shared" si="111"/>
        <v>306.5</v>
      </c>
      <c r="AM274" s="25">
        <f t="shared" si="104"/>
        <v>431</v>
      </c>
      <c r="AN274" s="25" t="s">
        <v>239</v>
      </c>
      <c r="AO274" s="25">
        <f t="shared" si="105"/>
        <v>307</v>
      </c>
      <c r="AP274" s="39">
        <f t="shared" si="105"/>
        <v>667</v>
      </c>
      <c r="AQ274" s="29" t="s">
        <v>542</v>
      </c>
      <c r="AR274" s="23" t="s">
        <v>400</v>
      </c>
      <c r="AS274" s="29">
        <v>431</v>
      </c>
      <c r="AT274" s="39">
        <v>307</v>
      </c>
      <c r="AU274" s="39">
        <v>667</v>
      </c>
      <c r="AV274" s="39" t="s">
        <v>651</v>
      </c>
      <c r="AW274" s="39"/>
      <c r="AX274" s="29" t="s">
        <v>13</v>
      </c>
      <c r="AY274" s="6" t="s">
        <v>886</v>
      </c>
      <c r="AZ274" s="97"/>
      <c r="BA274" s="72">
        <v>54.060411187614775</v>
      </c>
      <c r="BB274" s="62"/>
      <c r="BC274" s="62"/>
      <c r="BD274" s="26">
        <v>495.40851576186196</v>
      </c>
      <c r="BE274" s="25" t="s">
        <v>239</v>
      </c>
      <c r="BF274" s="26">
        <f t="shared" si="108"/>
        <v>448.68751699094548</v>
      </c>
      <c r="BG274" s="26">
        <f t="shared" si="109"/>
        <v>557.00725390457751</v>
      </c>
      <c r="BH274" s="83" t="s">
        <v>738</v>
      </c>
      <c r="BI274" s="25" t="s">
        <v>430</v>
      </c>
      <c r="BJ274" s="26">
        <v>401.966518220029</v>
      </c>
      <c r="BK274" s="26">
        <v>618.60599204729294</v>
      </c>
      <c r="BL274" s="39"/>
      <c r="BO274" s="25"/>
      <c r="CA274" s="25" t="s">
        <v>13</v>
      </c>
      <c r="CC274" s="25" t="s">
        <v>13</v>
      </c>
    </row>
    <row r="275" spans="1:81">
      <c r="A275" s="6" t="s">
        <v>259</v>
      </c>
      <c r="B275" s="26" t="s">
        <v>260</v>
      </c>
      <c r="C275" s="62">
        <v>200.58</v>
      </c>
      <c r="D275" s="62"/>
      <c r="E275" s="62"/>
      <c r="F275" s="23">
        <f t="shared" si="107"/>
        <v>1469.3333333333333</v>
      </c>
      <c r="G275" s="23" t="s">
        <v>389</v>
      </c>
      <c r="H275" s="23">
        <f t="shared" si="91"/>
        <v>734.66666666666663</v>
      </c>
      <c r="I275" s="23">
        <f t="shared" si="103"/>
        <v>2938.6666666666665</v>
      </c>
      <c r="J275" s="23" t="s">
        <v>480</v>
      </c>
      <c r="K275" s="23" t="s">
        <v>400</v>
      </c>
      <c r="L275" s="26">
        <v>2204</v>
      </c>
      <c r="M275" s="26">
        <f>L275-735</f>
        <v>1469</v>
      </c>
      <c r="N275" s="26">
        <f>L275+735</f>
        <v>2939</v>
      </c>
      <c r="O275" s="26">
        <v>3000</v>
      </c>
      <c r="P275" s="26">
        <f t="shared" si="102"/>
        <v>2000</v>
      </c>
      <c r="Q275" s="26" t="s">
        <v>391</v>
      </c>
      <c r="R275" s="26" t="s">
        <v>13</v>
      </c>
      <c r="S275" s="6" t="s">
        <v>639</v>
      </c>
      <c r="T275" s="44" t="s">
        <v>640</v>
      </c>
      <c r="U275" s="62">
        <v>20.87578010559082</v>
      </c>
      <c r="X275" s="26">
        <v>390.52133624551709</v>
      </c>
      <c r="Y275" s="26" t="s">
        <v>389</v>
      </c>
      <c r="Z275" s="26">
        <f t="shared" si="106"/>
        <v>344.98050000000001</v>
      </c>
      <c r="AA275" s="26">
        <f t="shared" si="106"/>
        <v>454.46440000000001</v>
      </c>
      <c r="AB275" s="25" t="s">
        <v>542</v>
      </c>
      <c r="AC275" s="77" t="s">
        <v>400</v>
      </c>
      <c r="AD275" s="26">
        <v>344.98050000000001</v>
      </c>
      <c r="AE275" s="26">
        <v>454.46440000000001</v>
      </c>
      <c r="AF275" s="26" t="s">
        <v>641</v>
      </c>
      <c r="AG275" s="25" t="s">
        <v>13</v>
      </c>
      <c r="AH275" s="7" t="s">
        <v>540</v>
      </c>
      <c r="AI275" s="25" t="s">
        <v>566</v>
      </c>
      <c r="AJ275" s="62">
        <v>306.8</v>
      </c>
      <c r="AK275" s="62">
        <f t="shared" si="110"/>
        <v>307.10000000000002</v>
      </c>
      <c r="AL275" s="62">
        <f t="shared" si="111"/>
        <v>306.5</v>
      </c>
      <c r="AM275" s="25">
        <f t="shared" si="104"/>
        <v>397</v>
      </c>
      <c r="AN275" s="26" t="s">
        <v>239</v>
      </c>
      <c r="AO275" s="25">
        <f t="shared" ref="AO275:AP286" si="112">AT275</f>
        <v>277</v>
      </c>
      <c r="AP275" s="39">
        <f t="shared" si="112"/>
        <v>610</v>
      </c>
      <c r="AQ275" s="29" t="s">
        <v>542</v>
      </c>
      <c r="AR275" s="23" t="s">
        <v>400</v>
      </c>
      <c r="AS275" s="29">
        <v>397</v>
      </c>
      <c r="AT275" s="29">
        <v>277</v>
      </c>
      <c r="AU275" s="29">
        <v>610</v>
      </c>
      <c r="AV275" s="39" t="s">
        <v>651</v>
      </c>
      <c r="AW275" s="39"/>
      <c r="AX275" s="29" t="s">
        <v>13</v>
      </c>
      <c r="AY275" s="6" t="s">
        <v>886</v>
      </c>
      <c r="AZ275" s="97"/>
      <c r="BA275" s="72">
        <v>54.080302342469693</v>
      </c>
      <c r="BB275" s="62"/>
      <c r="BC275" s="62"/>
      <c r="BD275" s="26">
        <v>570.32789862555501</v>
      </c>
      <c r="BE275" s="25" t="s">
        <v>239</v>
      </c>
      <c r="BF275" s="26">
        <f t="shared" si="108"/>
        <v>521.21051290112246</v>
      </c>
      <c r="BG275" s="26">
        <f t="shared" si="109"/>
        <v>627.82284040442505</v>
      </c>
      <c r="BH275" s="83" t="s">
        <v>887</v>
      </c>
      <c r="BI275" s="25" t="s">
        <v>430</v>
      </c>
      <c r="BJ275" s="26">
        <v>472.09312717669002</v>
      </c>
      <c r="BK275" s="26">
        <v>685.31778218329498</v>
      </c>
      <c r="BL275" s="39"/>
      <c r="BO275" s="25"/>
      <c r="CA275" s="25" t="s">
        <v>13</v>
      </c>
      <c r="CC275" s="25" t="s">
        <v>13</v>
      </c>
    </row>
    <row r="276" spans="1:81">
      <c r="A276" s="6" t="s">
        <v>259</v>
      </c>
      <c r="B276" s="26" t="s">
        <v>260</v>
      </c>
      <c r="C276" s="62">
        <v>200.58</v>
      </c>
      <c r="D276" s="62"/>
      <c r="E276" s="62"/>
      <c r="F276" s="23">
        <f t="shared" si="107"/>
        <v>1696.6666666666667</v>
      </c>
      <c r="G276" s="23" t="s">
        <v>389</v>
      </c>
      <c r="H276" s="23">
        <f t="shared" si="91"/>
        <v>848.33333333333337</v>
      </c>
      <c r="I276" s="23">
        <f t="shared" si="103"/>
        <v>3393.3333333333335</v>
      </c>
      <c r="J276" s="23" t="s">
        <v>480</v>
      </c>
      <c r="K276" s="23" t="s">
        <v>400</v>
      </c>
      <c r="L276" s="26">
        <v>2545</v>
      </c>
      <c r="M276" s="26">
        <f>L276-848</f>
        <v>1697</v>
      </c>
      <c r="N276" s="26">
        <f>L276+848</f>
        <v>3393</v>
      </c>
      <c r="O276" s="26">
        <v>3000</v>
      </c>
      <c r="P276" s="26">
        <f t="shared" si="102"/>
        <v>2000</v>
      </c>
      <c r="Q276" s="26" t="s">
        <v>391</v>
      </c>
      <c r="R276" s="26" t="s">
        <v>13</v>
      </c>
      <c r="S276" s="6" t="s">
        <v>639</v>
      </c>
      <c r="T276" s="44" t="s">
        <v>640</v>
      </c>
      <c r="U276" s="62">
        <v>21.280605316162109</v>
      </c>
      <c r="X276" s="26">
        <v>374.48380453060827</v>
      </c>
      <c r="Y276" s="26" t="s">
        <v>389</v>
      </c>
      <c r="Z276" s="26">
        <f t="shared" si="106"/>
        <v>329.45339999999999</v>
      </c>
      <c r="AA276" s="26">
        <f t="shared" si="106"/>
        <v>431.10149999999999</v>
      </c>
      <c r="AB276" s="25" t="s">
        <v>542</v>
      </c>
      <c r="AC276" s="77" t="s">
        <v>400</v>
      </c>
      <c r="AD276" s="26">
        <v>329.45339999999999</v>
      </c>
      <c r="AE276" s="26">
        <v>431.10149999999999</v>
      </c>
      <c r="AF276" s="26" t="s">
        <v>641</v>
      </c>
      <c r="AG276" s="25" t="s">
        <v>13</v>
      </c>
      <c r="AH276" s="7" t="s">
        <v>540</v>
      </c>
      <c r="AI276" s="25" t="s">
        <v>566</v>
      </c>
      <c r="AJ276" s="62">
        <v>306.8</v>
      </c>
      <c r="AK276" s="62">
        <f t="shared" si="110"/>
        <v>307.10000000000002</v>
      </c>
      <c r="AL276" s="62">
        <f t="shared" si="111"/>
        <v>306.5</v>
      </c>
      <c r="AM276" s="25">
        <f t="shared" si="104"/>
        <v>358</v>
      </c>
      <c r="AN276" s="25" t="s">
        <v>239</v>
      </c>
      <c r="AO276" s="25">
        <f t="shared" si="112"/>
        <v>247</v>
      </c>
      <c r="AP276" s="39">
        <f t="shared" si="112"/>
        <v>561</v>
      </c>
      <c r="AQ276" s="29" t="s">
        <v>542</v>
      </c>
      <c r="AR276" s="23" t="s">
        <v>400</v>
      </c>
      <c r="AS276" s="29">
        <v>358</v>
      </c>
      <c r="AT276" s="39">
        <v>247</v>
      </c>
      <c r="AU276" s="39">
        <v>561</v>
      </c>
      <c r="AV276" s="39" t="s">
        <v>651</v>
      </c>
      <c r="AW276" s="39"/>
      <c r="AX276" s="29" t="s">
        <v>13</v>
      </c>
      <c r="AY276" s="6" t="s">
        <v>886</v>
      </c>
      <c r="AZ276" s="97"/>
      <c r="BA276" s="72">
        <v>53.942169</v>
      </c>
      <c r="BB276" s="62"/>
      <c r="BC276" s="62"/>
      <c r="BD276" s="26">
        <v>695.33791809627894</v>
      </c>
      <c r="BE276" s="25" t="s">
        <v>239</v>
      </c>
      <c r="BF276" s="26">
        <f t="shared" si="108"/>
        <v>615.733750769116</v>
      </c>
      <c r="BG276" s="26">
        <f t="shared" si="109"/>
        <v>784.28116317601689</v>
      </c>
      <c r="BH276" s="83" t="s">
        <v>738</v>
      </c>
      <c r="BI276" s="25" t="s">
        <v>430</v>
      </c>
      <c r="BJ276" s="26">
        <v>536.12958344195306</v>
      </c>
      <c r="BK276" s="26">
        <v>873.22440825575495</v>
      </c>
      <c r="BL276" s="39"/>
      <c r="BO276" s="25"/>
      <c r="CA276" s="25" t="s">
        <v>13</v>
      </c>
      <c r="CC276" s="25" t="s">
        <v>13</v>
      </c>
    </row>
    <row r="277" spans="1:81">
      <c r="A277" s="6" t="s">
        <v>259</v>
      </c>
      <c r="B277" s="26" t="s">
        <v>260</v>
      </c>
      <c r="C277" s="62">
        <v>200.53</v>
      </c>
      <c r="D277" s="62"/>
      <c r="E277" s="62"/>
      <c r="F277" s="23">
        <f t="shared" si="107"/>
        <v>2997.3333333333335</v>
      </c>
      <c r="G277" s="23" t="s">
        <v>389</v>
      </c>
      <c r="H277" s="23">
        <f t="shared" si="91"/>
        <v>1498.6666666666667</v>
      </c>
      <c r="I277" s="23">
        <f t="shared" si="103"/>
        <v>5994.666666666667</v>
      </c>
      <c r="J277" s="23" t="s">
        <v>480</v>
      </c>
      <c r="K277" s="23" t="s">
        <v>400</v>
      </c>
      <c r="L277" s="26">
        <v>4496</v>
      </c>
      <c r="M277" s="26">
        <f>L277-1499</f>
        <v>2997</v>
      </c>
      <c r="N277" s="26">
        <f>L277+1499</f>
        <v>5995</v>
      </c>
      <c r="O277" s="26">
        <v>3000</v>
      </c>
      <c r="P277" s="26">
        <f t="shared" si="102"/>
        <v>2000</v>
      </c>
      <c r="Q277" s="26" t="s">
        <v>391</v>
      </c>
      <c r="R277" s="26" t="s">
        <v>13</v>
      </c>
      <c r="S277" s="6" t="s">
        <v>639</v>
      </c>
      <c r="T277" s="44" t="s">
        <v>640</v>
      </c>
      <c r="U277" s="62">
        <v>21.326482772827148</v>
      </c>
      <c r="X277" s="26">
        <v>418.61703710125795</v>
      </c>
      <c r="Y277" s="26" t="s">
        <v>389</v>
      </c>
      <c r="Z277" s="26">
        <f t="shared" si="106"/>
        <v>367.76900000000001</v>
      </c>
      <c r="AA277" s="26">
        <f t="shared" si="106"/>
        <v>487.0197</v>
      </c>
      <c r="AB277" s="25" t="s">
        <v>542</v>
      </c>
      <c r="AC277" s="77" t="s">
        <v>400</v>
      </c>
      <c r="AD277" s="26">
        <v>367.76900000000001</v>
      </c>
      <c r="AE277" s="26">
        <v>487.0197</v>
      </c>
      <c r="AF277" s="26" t="s">
        <v>641</v>
      </c>
      <c r="AG277" s="25" t="s">
        <v>13</v>
      </c>
      <c r="AH277" s="7" t="s">
        <v>540</v>
      </c>
      <c r="AI277" s="25" t="s">
        <v>566</v>
      </c>
      <c r="AJ277" s="62">
        <v>307.5</v>
      </c>
      <c r="AK277" s="62">
        <f t="shared" si="110"/>
        <v>307.8</v>
      </c>
      <c r="AL277" s="62">
        <f t="shared" si="111"/>
        <v>307.2</v>
      </c>
      <c r="AM277" s="25">
        <f t="shared" si="104"/>
        <v>536</v>
      </c>
      <c r="AN277" s="25" t="s">
        <v>239</v>
      </c>
      <c r="AO277" s="25">
        <f t="shared" si="112"/>
        <v>376</v>
      </c>
      <c r="AP277" s="39">
        <f t="shared" si="112"/>
        <v>805</v>
      </c>
      <c r="AQ277" s="29" t="s">
        <v>542</v>
      </c>
      <c r="AR277" s="23" t="s">
        <v>400</v>
      </c>
      <c r="AS277" s="29">
        <v>536</v>
      </c>
      <c r="AT277" s="39">
        <v>376</v>
      </c>
      <c r="AU277" s="39">
        <v>805</v>
      </c>
      <c r="AV277" s="39" t="s">
        <v>651</v>
      </c>
      <c r="AW277" s="39"/>
      <c r="AX277" s="29" t="s">
        <v>13</v>
      </c>
      <c r="AY277" s="6" t="s">
        <v>886</v>
      </c>
      <c r="AZ277" s="97"/>
      <c r="BA277" s="72">
        <v>53.952565999999997</v>
      </c>
      <c r="BB277" s="62"/>
      <c r="BC277" s="62"/>
      <c r="BD277" s="26">
        <v>1053.5212527856202</v>
      </c>
      <c r="BE277" s="25" t="s">
        <v>239</v>
      </c>
      <c r="BF277" s="26">
        <f t="shared" si="108"/>
        <v>938.39491478183459</v>
      </c>
      <c r="BG277" s="26">
        <f t="shared" si="109"/>
        <v>1196.1977875050502</v>
      </c>
      <c r="BH277" s="83" t="s">
        <v>887</v>
      </c>
      <c r="BI277" s="25" t="s">
        <v>430</v>
      </c>
      <c r="BJ277" s="26">
        <v>823.26857677804901</v>
      </c>
      <c r="BK277" s="26">
        <v>1338.87432222448</v>
      </c>
      <c r="BL277" s="39"/>
      <c r="BO277" s="25"/>
      <c r="CA277" s="25" t="s">
        <v>13</v>
      </c>
      <c r="CC277" s="25" t="s">
        <v>13</v>
      </c>
    </row>
    <row r="278" spans="1:81">
      <c r="A278" s="6" t="s">
        <v>259</v>
      </c>
      <c r="B278" s="26" t="s">
        <v>260</v>
      </c>
      <c r="C278" s="62">
        <v>200.53</v>
      </c>
      <c r="D278" s="62"/>
      <c r="E278" s="62"/>
      <c r="F278" s="23">
        <f t="shared" si="107"/>
        <v>2750</v>
      </c>
      <c r="G278" s="23" t="s">
        <v>389</v>
      </c>
      <c r="H278" s="23">
        <f t="shared" si="91"/>
        <v>1375</v>
      </c>
      <c r="I278" s="23">
        <f t="shared" si="103"/>
        <v>5500</v>
      </c>
      <c r="J278" s="23" t="s">
        <v>480</v>
      </c>
      <c r="K278" s="23" t="s">
        <v>400</v>
      </c>
      <c r="L278" s="26">
        <v>4125</v>
      </c>
      <c r="M278" s="26">
        <f>L278-1375</f>
        <v>2750</v>
      </c>
      <c r="N278" s="26">
        <f>L278+1375</f>
        <v>5500</v>
      </c>
      <c r="O278" s="26">
        <v>3000</v>
      </c>
      <c r="P278" s="26">
        <f t="shared" si="102"/>
        <v>2000</v>
      </c>
      <c r="Q278" s="26" t="s">
        <v>391</v>
      </c>
      <c r="R278" s="26" t="s">
        <v>13</v>
      </c>
      <c r="S278" s="6" t="s">
        <v>639</v>
      </c>
      <c r="T278" s="44" t="s">
        <v>640</v>
      </c>
      <c r="U278" s="62">
        <v>21.467460632324219</v>
      </c>
      <c r="X278" s="26">
        <v>341.18407945094197</v>
      </c>
      <c r="Y278" s="26" t="s">
        <v>389</v>
      </c>
      <c r="Z278" s="26">
        <f t="shared" si="106"/>
        <v>301.3553</v>
      </c>
      <c r="AA278" s="26">
        <f t="shared" si="106"/>
        <v>390.9538</v>
      </c>
      <c r="AB278" s="25" t="s">
        <v>542</v>
      </c>
      <c r="AC278" s="77" t="s">
        <v>400</v>
      </c>
      <c r="AD278" s="26">
        <v>301.3553</v>
      </c>
      <c r="AE278" s="26">
        <v>390.9538</v>
      </c>
      <c r="AF278" s="26" t="s">
        <v>641</v>
      </c>
      <c r="AG278" s="25" t="s">
        <v>13</v>
      </c>
      <c r="AH278" s="7" t="s">
        <v>540</v>
      </c>
      <c r="AI278" s="25" t="s">
        <v>566</v>
      </c>
      <c r="AJ278" s="62">
        <v>307.5</v>
      </c>
      <c r="AK278" s="62">
        <f t="shared" si="110"/>
        <v>307.8</v>
      </c>
      <c r="AL278" s="62">
        <f t="shared" si="111"/>
        <v>307.2</v>
      </c>
      <c r="AM278" s="25">
        <f t="shared" si="104"/>
        <v>527</v>
      </c>
      <c r="AN278" s="26" t="s">
        <v>239</v>
      </c>
      <c r="AO278" s="25">
        <f t="shared" si="112"/>
        <v>371</v>
      </c>
      <c r="AP278" s="39">
        <f t="shared" si="112"/>
        <v>795</v>
      </c>
      <c r="AQ278" s="29" t="s">
        <v>542</v>
      </c>
      <c r="AR278" s="23" t="s">
        <v>400</v>
      </c>
      <c r="AS278" s="29">
        <v>527</v>
      </c>
      <c r="AT278" s="29">
        <v>371</v>
      </c>
      <c r="AU278" s="29">
        <v>795</v>
      </c>
      <c r="AV278" s="39" t="s">
        <v>651</v>
      </c>
      <c r="AW278" s="39"/>
      <c r="AX278" s="29" t="s">
        <v>13</v>
      </c>
      <c r="AY278" s="6" t="s">
        <v>886</v>
      </c>
      <c r="AZ278" s="97"/>
      <c r="BA278" s="72">
        <v>53.963346999999999</v>
      </c>
      <c r="BB278" s="62"/>
      <c r="BC278" s="62"/>
      <c r="BD278" s="26">
        <v>886.88412238078399</v>
      </c>
      <c r="BE278" s="25" t="s">
        <v>239</v>
      </c>
      <c r="BF278" s="26">
        <f t="shared" si="108"/>
        <v>769.50099054185307</v>
      </c>
      <c r="BG278" s="26">
        <f t="shared" si="109"/>
        <v>1041.7077090148571</v>
      </c>
      <c r="BH278" s="83" t="s">
        <v>738</v>
      </c>
      <c r="BI278" s="25" t="s">
        <v>430</v>
      </c>
      <c r="BJ278" s="26">
        <v>652.11785870292204</v>
      </c>
      <c r="BK278" s="26">
        <v>1196.5312956489302</v>
      </c>
      <c r="BL278" s="39"/>
      <c r="BO278" s="25"/>
      <c r="CA278" s="25" t="s">
        <v>13</v>
      </c>
      <c r="CC278" s="25" t="s">
        <v>13</v>
      </c>
    </row>
    <row r="279" spans="1:81">
      <c r="A279" s="6" t="s">
        <v>259</v>
      </c>
      <c r="B279" s="26" t="s">
        <v>260</v>
      </c>
      <c r="C279" s="62">
        <v>200.46</v>
      </c>
      <c r="D279" s="62"/>
      <c r="E279" s="62"/>
      <c r="F279" s="23">
        <f t="shared" si="107"/>
        <v>3394.6666666666665</v>
      </c>
      <c r="G279" s="23" t="s">
        <v>389</v>
      </c>
      <c r="H279" s="23">
        <f t="shared" si="91"/>
        <v>1697.3333333333333</v>
      </c>
      <c r="I279" s="23">
        <f t="shared" si="103"/>
        <v>6789.333333333333</v>
      </c>
      <c r="J279" s="23" t="s">
        <v>480</v>
      </c>
      <c r="K279" s="23" t="s">
        <v>400</v>
      </c>
      <c r="L279" s="26">
        <v>5092</v>
      </c>
      <c r="M279" s="26">
        <f>L279-1697</f>
        <v>3395</v>
      </c>
      <c r="N279" s="26">
        <f>L279+1697</f>
        <v>6789</v>
      </c>
      <c r="O279" s="26">
        <v>3000</v>
      </c>
      <c r="P279" s="26">
        <f t="shared" si="102"/>
        <v>2000</v>
      </c>
      <c r="Q279" s="26" t="s">
        <v>391</v>
      </c>
      <c r="R279" s="26" t="s">
        <v>13</v>
      </c>
      <c r="S279" s="6" t="s">
        <v>639</v>
      </c>
      <c r="T279" s="44" t="s">
        <v>640</v>
      </c>
      <c r="U279" s="62">
        <v>21.754909515380859</v>
      </c>
      <c r="X279" s="26">
        <v>416.19474353129198</v>
      </c>
      <c r="Y279" s="26" t="s">
        <v>389</v>
      </c>
      <c r="Z279" s="26">
        <f t="shared" si="106"/>
        <v>363.76479999999998</v>
      </c>
      <c r="AA279" s="26">
        <f t="shared" si="106"/>
        <v>482.52510000000001</v>
      </c>
      <c r="AB279" s="25" t="s">
        <v>542</v>
      </c>
      <c r="AC279" s="77" t="s">
        <v>400</v>
      </c>
      <c r="AD279" s="26">
        <v>363.76479999999998</v>
      </c>
      <c r="AE279" s="26">
        <v>482.52510000000001</v>
      </c>
      <c r="AF279" s="26" t="s">
        <v>641</v>
      </c>
      <c r="AG279" s="25" t="s">
        <v>13</v>
      </c>
      <c r="AH279" s="7" t="s">
        <v>540</v>
      </c>
      <c r="AI279" s="25" t="s">
        <v>566</v>
      </c>
      <c r="AJ279" s="62">
        <v>307.5</v>
      </c>
      <c r="AK279" s="62">
        <f t="shared" si="110"/>
        <v>307.8</v>
      </c>
      <c r="AL279" s="62">
        <f t="shared" si="111"/>
        <v>307.2</v>
      </c>
      <c r="AM279" s="25">
        <f t="shared" si="104"/>
        <v>567</v>
      </c>
      <c r="AN279" s="25" t="s">
        <v>239</v>
      </c>
      <c r="AO279" s="25">
        <f t="shared" si="112"/>
        <v>401</v>
      </c>
      <c r="AP279" s="39">
        <f t="shared" si="112"/>
        <v>846</v>
      </c>
      <c r="AQ279" s="29" t="s">
        <v>542</v>
      </c>
      <c r="AR279" s="23" t="s">
        <v>400</v>
      </c>
      <c r="AS279" s="29">
        <v>567</v>
      </c>
      <c r="AT279" s="39">
        <v>401</v>
      </c>
      <c r="AU279" s="39">
        <v>846</v>
      </c>
      <c r="AV279" s="39" t="s">
        <v>651</v>
      </c>
      <c r="AW279" s="39"/>
      <c r="AX279" s="29" t="s">
        <v>13</v>
      </c>
      <c r="AY279" s="6" t="s">
        <v>886</v>
      </c>
      <c r="AZ279" s="97"/>
      <c r="BA279" s="72">
        <v>53.974128</v>
      </c>
      <c r="BB279" s="62"/>
      <c r="BC279" s="62"/>
      <c r="BD279" s="26">
        <v>1002.1904564469901</v>
      </c>
      <c r="BE279" s="25" t="s">
        <v>239</v>
      </c>
      <c r="BF279" s="26">
        <f t="shared" si="108"/>
        <v>830.39439161611654</v>
      </c>
      <c r="BG279" s="26">
        <f t="shared" si="109"/>
        <v>1277.27957067539</v>
      </c>
      <c r="BH279" s="83" t="s">
        <v>887</v>
      </c>
      <c r="BI279" s="25" t="s">
        <v>430</v>
      </c>
      <c r="BJ279" s="26">
        <v>658.59832678524299</v>
      </c>
      <c r="BK279" s="26">
        <v>1552.3686849037902</v>
      </c>
      <c r="BL279" s="39"/>
      <c r="BO279" s="25"/>
      <c r="CA279" s="25" t="s">
        <v>13</v>
      </c>
      <c r="CC279" s="25" t="s">
        <v>13</v>
      </c>
    </row>
    <row r="280" spans="1:81">
      <c r="A280" s="6" t="s">
        <v>259</v>
      </c>
      <c r="B280" s="26" t="s">
        <v>260</v>
      </c>
      <c r="C280" s="62">
        <v>200.44</v>
      </c>
      <c r="D280" s="62"/>
      <c r="E280" s="62"/>
      <c r="F280" s="23">
        <f t="shared" si="107"/>
        <v>1921.3333333333333</v>
      </c>
      <c r="G280" s="23" t="s">
        <v>389</v>
      </c>
      <c r="H280" s="23">
        <f t="shared" si="91"/>
        <v>960.66666666666663</v>
      </c>
      <c r="I280" s="23">
        <f t="shared" si="103"/>
        <v>3842.6666666666665</v>
      </c>
      <c r="J280" s="23" t="s">
        <v>480</v>
      </c>
      <c r="K280" s="23" t="s">
        <v>400</v>
      </c>
      <c r="L280" s="26">
        <v>2882</v>
      </c>
      <c r="M280" s="26">
        <f>L280-961</f>
        <v>1921</v>
      </c>
      <c r="N280" s="26">
        <f>L280+961</f>
        <v>3843</v>
      </c>
      <c r="O280" s="26">
        <v>3000</v>
      </c>
      <c r="P280" s="26">
        <f t="shared" si="102"/>
        <v>2000</v>
      </c>
      <c r="Q280" s="26" t="s">
        <v>391</v>
      </c>
      <c r="R280" s="26" t="s">
        <v>13</v>
      </c>
      <c r="S280" s="6" t="s">
        <v>639</v>
      </c>
      <c r="T280" s="44" t="s">
        <v>640</v>
      </c>
      <c r="U280" s="62">
        <v>23.084491729736328</v>
      </c>
      <c r="X280" s="26">
        <v>559.2624379957</v>
      </c>
      <c r="Y280" s="26" t="s">
        <v>389</v>
      </c>
      <c r="Z280" s="26">
        <f t="shared" si="106"/>
        <v>481.28800000000001</v>
      </c>
      <c r="AA280" s="26">
        <f t="shared" si="106"/>
        <v>663.13699999999994</v>
      </c>
      <c r="AB280" s="25" t="s">
        <v>542</v>
      </c>
      <c r="AC280" s="77" t="s">
        <v>400</v>
      </c>
      <c r="AD280" s="26">
        <v>481.28800000000001</v>
      </c>
      <c r="AE280" s="26">
        <v>663.13699999999994</v>
      </c>
      <c r="AF280" s="26" t="s">
        <v>641</v>
      </c>
      <c r="AG280" s="25" t="s">
        <v>13</v>
      </c>
      <c r="AH280" s="7" t="s">
        <v>540</v>
      </c>
      <c r="AI280" s="25" t="s">
        <v>566</v>
      </c>
      <c r="AJ280" s="62">
        <v>307.5</v>
      </c>
      <c r="AK280" s="62">
        <f t="shared" si="110"/>
        <v>307.8</v>
      </c>
      <c r="AL280" s="62">
        <f t="shared" si="111"/>
        <v>307.2</v>
      </c>
      <c r="AM280" s="25">
        <f t="shared" si="104"/>
        <v>388</v>
      </c>
      <c r="AN280" s="26" t="s">
        <v>239</v>
      </c>
      <c r="AO280" s="25">
        <f t="shared" si="112"/>
        <v>266</v>
      </c>
      <c r="AP280" s="39">
        <f t="shared" si="112"/>
        <v>615</v>
      </c>
      <c r="AQ280" s="29" t="s">
        <v>542</v>
      </c>
      <c r="AR280" s="23" t="s">
        <v>400</v>
      </c>
      <c r="AS280" s="29">
        <v>388</v>
      </c>
      <c r="AT280" s="29">
        <v>266</v>
      </c>
      <c r="AU280" s="29">
        <v>615</v>
      </c>
      <c r="AV280" s="39" t="s">
        <v>651</v>
      </c>
      <c r="AW280" s="39"/>
      <c r="AX280" s="29" t="s">
        <v>13</v>
      </c>
      <c r="AY280" s="6" t="s">
        <v>886</v>
      </c>
      <c r="AZ280" s="97"/>
      <c r="BA280" s="72">
        <v>53.986575999999999</v>
      </c>
      <c r="BB280" s="62"/>
      <c r="BC280" s="62"/>
      <c r="BD280" s="26">
        <v>1089.96428720464</v>
      </c>
      <c r="BE280" s="25" t="s">
        <v>239</v>
      </c>
      <c r="BF280" s="26">
        <f t="shared" si="108"/>
        <v>933.37784602522242</v>
      </c>
      <c r="BG280" s="26">
        <f t="shared" si="109"/>
        <v>1297.7672077202801</v>
      </c>
      <c r="BH280" s="83" t="s">
        <v>887</v>
      </c>
      <c r="BI280" s="25" t="s">
        <v>430</v>
      </c>
      <c r="BJ280" s="26">
        <v>776.791404845805</v>
      </c>
      <c r="BK280" s="26">
        <v>1505.57012823592</v>
      </c>
      <c r="BL280" s="39"/>
      <c r="BO280" s="25"/>
      <c r="CA280" s="25" t="s">
        <v>13</v>
      </c>
      <c r="CC280" s="25" t="s">
        <v>13</v>
      </c>
    </row>
    <row r="281" spans="1:81">
      <c r="A281" s="6" t="s">
        <v>259</v>
      </c>
      <c r="B281" s="26" t="s">
        <v>260</v>
      </c>
      <c r="C281" s="62">
        <v>200.39</v>
      </c>
      <c r="D281" s="62"/>
      <c r="E281" s="62"/>
      <c r="F281" s="23">
        <f t="shared" si="107"/>
        <v>2002</v>
      </c>
      <c r="G281" s="23" t="s">
        <v>389</v>
      </c>
      <c r="H281" s="23">
        <f t="shared" si="91"/>
        <v>1001</v>
      </c>
      <c r="I281" s="23">
        <f t="shared" si="103"/>
        <v>4004</v>
      </c>
      <c r="J281" s="23" t="s">
        <v>480</v>
      </c>
      <c r="K281" s="23" t="s">
        <v>400</v>
      </c>
      <c r="L281" s="26">
        <v>3003</v>
      </c>
      <c r="M281" s="26">
        <f>L281-1001</f>
        <v>2002</v>
      </c>
      <c r="N281" s="26">
        <f>L281+1001</f>
        <v>4004</v>
      </c>
      <c r="O281" s="26">
        <v>3000</v>
      </c>
      <c r="P281" s="26">
        <f t="shared" si="102"/>
        <v>2000</v>
      </c>
      <c r="Q281" s="26" t="s">
        <v>391</v>
      </c>
      <c r="R281" s="26" t="s">
        <v>13</v>
      </c>
      <c r="S281" s="6" t="s">
        <v>639</v>
      </c>
      <c r="T281" s="44" t="s">
        <v>640</v>
      </c>
      <c r="U281" s="62">
        <v>23.568431854248047</v>
      </c>
      <c r="X281" s="26">
        <v>375.32835305270203</v>
      </c>
      <c r="Y281" s="26" t="s">
        <v>389</v>
      </c>
      <c r="Z281" s="26">
        <f t="shared" si="106"/>
        <v>330.36419999999998</v>
      </c>
      <c r="AA281" s="26">
        <f t="shared" si="106"/>
        <v>430.92939999999999</v>
      </c>
      <c r="AB281" s="25" t="s">
        <v>542</v>
      </c>
      <c r="AC281" s="77" t="s">
        <v>400</v>
      </c>
      <c r="AD281" s="26">
        <v>330.36419999999998</v>
      </c>
      <c r="AE281" s="26">
        <v>430.92939999999999</v>
      </c>
      <c r="AF281" s="26" t="s">
        <v>641</v>
      </c>
      <c r="AG281" s="25" t="s">
        <v>13</v>
      </c>
      <c r="AH281" s="7" t="s">
        <v>540</v>
      </c>
      <c r="AI281" s="25" t="s">
        <v>566</v>
      </c>
      <c r="AJ281" s="62">
        <v>308.3</v>
      </c>
      <c r="AK281" s="62">
        <f t="shared" si="110"/>
        <v>308.60000000000002</v>
      </c>
      <c r="AL281" s="62">
        <f t="shared" si="111"/>
        <v>308</v>
      </c>
      <c r="AM281" s="25">
        <f t="shared" si="104"/>
        <v>611</v>
      </c>
      <c r="AN281" s="26" t="s">
        <v>239</v>
      </c>
      <c r="AO281" s="25">
        <f t="shared" si="112"/>
        <v>434</v>
      </c>
      <c r="AP281" s="39">
        <f t="shared" si="112"/>
        <v>898</v>
      </c>
      <c r="AQ281" s="29" t="s">
        <v>542</v>
      </c>
      <c r="AR281" s="23" t="s">
        <v>400</v>
      </c>
      <c r="AS281" s="29">
        <v>611</v>
      </c>
      <c r="AT281" s="29">
        <v>434</v>
      </c>
      <c r="AU281" s="29">
        <v>898</v>
      </c>
      <c r="AV281" s="39" t="s">
        <v>651</v>
      </c>
      <c r="AW281" s="39"/>
      <c r="AX281" s="29" t="s">
        <v>13</v>
      </c>
      <c r="AY281" s="6" t="s">
        <v>886</v>
      </c>
      <c r="AZ281" s="97"/>
      <c r="BA281" s="72">
        <v>54.017394000000003</v>
      </c>
      <c r="BB281" s="62"/>
      <c r="BC281" s="62"/>
      <c r="BD281" s="26">
        <v>1305.17473549897</v>
      </c>
      <c r="BE281" s="25" t="s">
        <v>239</v>
      </c>
      <c r="BF281" s="26">
        <f t="shared" si="108"/>
        <v>1132.3454234180231</v>
      </c>
      <c r="BG281" s="26">
        <f t="shared" si="109"/>
        <v>1541.935397638355</v>
      </c>
      <c r="BH281" s="83" t="s">
        <v>738</v>
      </c>
      <c r="BI281" s="25" t="s">
        <v>430</v>
      </c>
      <c r="BJ281" s="26">
        <v>959.51611133707604</v>
      </c>
      <c r="BK281" s="26">
        <v>1778.6960597777399</v>
      </c>
      <c r="BL281" s="39"/>
      <c r="BO281" s="25"/>
      <c r="CA281" s="25" t="s">
        <v>13</v>
      </c>
      <c r="CC281" s="25" t="s">
        <v>13</v>
      </c>
    </row>
    <row r="282" spans="1:81">
      <c r="A282" s="6" t="s">
        <v>259</v>
      </c>
      <c r="B282" s="26" t="s">
        <v>260</v>
      </c>
      <c r="C282" s="62">
        <v>200.37</v>
      </c>
      <c r="D282" s="62"/>
      <c r="E282" s="62"/>
      <c r="F282" s="23">
        <f t="shared" si="107"/>
        <v>997.33333333333337</v>
      </c>
      <c r="G282" s="23" t="s">
        <v>389</v>
      </c>
      <c r="H282" s="23">
        <f t="shared" si="91"/>
        <v>498.66666666666669</v>
      </c>
      <c r="I282" s="23">
        <f t="shared" si="103"/>
        <v>1994.6666666666667</v>
      </c>
      <c r="J282" s="23" t="s">
        <v>480</v>
      </c>
      <c r="K282" s="23" t="s">
        <v>400</v>
      </c>
      <c r="L282" s="26">
        <v>1496</v>
      </c>
      <c r="M282" s="26">
        <f>L282-499</f>
        <v>997</v>
      </c>
      <c r="N282" s="26">
        <f>L282+499</f>
        <v>1995</v>
      </c>
      <c r="O282" s="26">
        <v>3000</v>
      </c>
      <c r="P282" s="26">
        <f t="shared" si="102"/>
        <v>2000</v>
      </c>
      <c r="Q282" s="26" t="s">
        <v>391</v>
      </c>
      <c r="R282" s="26" t="s">
        <v>13</v>
      </c>
      <c r="S282" s="6" t="s">
        <v>1131</v>
      </c>
      <c r="T282" s="44" t="s">
        <v>1132</v>
      </c>
      <c r="U282" s="62">
        <v>0.1</v>
      </c>
      <c r="V282" s="62">
        <v>0.3</v>
      </c>
      <c r="W282" s="62">
        <v>0</v>
      </c>
      <c r="X282" s="26">
        <v>359.18648829997392</v>
      </c>
      <c r="Y282" s="26" t="s">
        <v>389</v>
      </c>
      <c r="Z282" s="26">
        <f>X282*0.7</f>
        <v>251.43054180998172</v>
      </c>
      <c r="AA282" s="26">
        <f>X282*1.5</f>
        <v>538.77973244996087</v>
      </c>
      <c r="AB282" s="25" t="s">
        <v>1191</v>
      </c>
      <c r="AC282" s="77" t="s">
        <v>400</v>
      </c>
      <c r="AF282" s="26" t="s">
        <v>1192</v>
      </c>
      <c r="AG282" s="25" t="s">
        <v>13</v>
      </c>
      <c r="AH282" s="7" t="s">
        <v>540</v>
      </c>
      <c r="AI282" s="25" t="s">
        <v>566</v>
      </c>
      <c r="AJ282" s="62">
        <v>309.10000000000002</v>
      </c>
      <c r="AK282" s="62">
        <f t="shared" si="110"/>
        <v>309.40000000000003</v>
      </c>
      <c r="AL282" s="62">
        <f t="shared" si="111"/>
        <v>308.8</v>
      </c>
      <c r="AM282" s="25">
        <f t="shared" si="104"/>
        <v>484</v>
      </c>
      <c r="AN282" s="25" t="s">
        <v>239</v>
      </c>
      <c r="AO282" s="25">
        <f t="shared" si="112"/>
        <v>336</v>
      </c>
      <c r="AP282" s="39">
        <f t="shared" si="112"/>
        <v>734</v>
      </c>
      <c r="AQ282" s="29" t="s">
        <v>542</v>
      </c>
      <c r="AR282" s="23" t="s">
        <v>400</v>
      </c>
      <c r="AS282" s="29">
        <v>484</v>
      </c>
      <c r="AT282" s="39">
        <v>336</v>
      </c>
      <c r="AU282" s="39">
        <v>734</v>
      </c>
      <c r="AV282" s="39" t="s">
        <v>651</v>
      </c>
      <c r="AW282" s="39"/>
      <c r="AX282" s="29" t="s">
        <v>13</v>
      </c>
      <c r="AY282" s="6" t="s">
        <v>886</v>
      </c>
      <c r="AZ282" s="97"/>
      <c r="BA282" s="72">
        <v>54.026845000000002</v>
      </c>
      <c r="BB282" s="62"/>
      <c r="BC282" s="62"/>
      <c r="BD282" s="26">
        <v>1498.2414597634199</v>
      </c>
      <c r="BE282" s="25" t="s">
        <v>239</v>
      </c>
      <c r="BF282" s="26">
        <f t="shared" si="108"/>
        <v>1325.6424148122851</v>
      </c>
      <c r="BG282" s="26">
        <f t="shared" si="109"/>
        <v>1699.8904688141151</v>
      </c>
      <c r="BH282" s="83" t="s">
        <v>887</v>
      </c>
      <c r="BI282" s="25" t="s">
        <v>430</v>
      </c>
      <c r="BJ282" s="26">
        <v>1153.04336986115</v>
      </c>
      <c r="BK282" s="26">
        <v>1901.5394778648101</v>
      </c>
      <c r="BL282" s="39"/>
      <c r="BO282" s="25"/>
      <c r="CA282" s="25" t="s">
        <v>13</v>
      </c>
      <c r="CC282" s="25" t="s">
        <v>13</v>
      </c>
    </row>
    <row r="283" spans="1:81">
      <c r="A283" s="6" t="s">
        <v>259</v>
      </c>
      <c r="B283" s="26" t="s">
        <v>260</v>
      </c>
      <c r="C283" s="62">
        <v>200.35</v>
      </c>
      <c r="D283" s="62"/>
      <c r="E283" s="62"/>
      <c r="F283" s="23">
        <f t="shared" si="107"/>
        <v>1411.3333333333333</v>
      </c>
      <c r="G283" s="23" t="s">
        <v>389</v>
      </c>
      <c r="H283" s="23">
        <f t="shared" ref="H283:H299" si="113">F283*0.5</f>
        <v>705.66666666666663</v>
      </c>
      <c r="I283" s="23">
        <f t="shared" si="103"/>
        <v>2822.6666666666665</v>
      </c>
      <c r="J283" s="23" t="s">
        <v>480</v>
      </c>
      <c r="K283" s="23" t="s">
        <v>400</v>
      </c>
      <c r="L283" s="26">
        <v>2117</v>
      </c>
      <c r="M283" s="26">
        <f>L283-706</f>
        <v>1411</v>
      </c>
      <c r="N283" s="26">
        <f>L283+706</f>
        <v>2823</v>
      </c>
      <c r="O283" s="26">
        <v>3000</v>
      </c>
      <c r="P283" s="26">
        <f t="shared" si="102"/>
        <v>2000</v>
      </c>
      <c r="Q283" s="26" t="s">
        <v>391</v>
      </c>
      <c r="R283" s="26" t="s">
        <v>13</v>
      </c>
      <c r="S283" s="6" t="s">
        <v>1131</v>
      </c>
      <c r="T283" s="44" t="s">
        <v>1132</v>
      </c>
      <c r="U283" s="62">
        <v>0.5</v>
      </c>
      <c r="V283" s="62">
        <v>1</v>
      </c>
      <c r="W283" s="62">
        <v>0</v>
      </c>
      <c r="X283" s="26">
        <v>249.63427185715767</v>
      </c>
      <c r="Y283" s="26" t="s">
        <v>389</v>
      </c>
      <c r="Z283" s="26">
        <f t="shared" ref="Z283:Z346" si="114">X283*0.7</f>
        <v>174.74399030001035</v>
      </c>
      <c r="AA283" s="26">
        <f t="shared" ref="AA283:AA346" si="115">X283*1.5</f>
        <v>374.45140778573648</v>
      </c>
      <c r="AB283" s="25" t="s">
        <v>1191</v>
      </c>
      <c r="AC283" s="77" t="s">
        <v>400</v>
      </c>
      <c r="AF283" s="26" t="s">
        <v>1193</v>
      </c>
      <c r="AG283" s="25" t="s">
        <v>13</v>
      </c>
      <c r="AH283" s="7" t="s">
        <v>540</v>
      </c>
      <c r="AI283" s="25" t="s">
        <v>566</v>
      </c>
      <c r="AJ283" s="62">
        <v>311.39999999999998</v>
      </c>
      <c r="AK283" s="62">
        <f t="shared" si="110"/>
        <v>311.7</v>
      </c>
      <c r="AL283" s="62">
        <f t="shared" si="111"/>
        <v>311.09999999999997</v>
      </c>
      <c r="AM283" s="25">
        <f t="shared" si="104"/>
        <v>494</v>
      </c>
      <c r="AN283" s="26" t="s">
        <v>239</v>
      </c>
      <c r="AO283" s="25">
        <f t="shared" si="112"/>
        <v>350</v>
      </c>
      <c r="AP283" s="39">
        <f t="shared" si="112"/>
        <v>735</v>
      </c>
      <c r="AQ283" s="29" t="s">
        <v>542</v>
      </c>
      <c r="AR283" s="23" t="s">
        <v>400</v>
      </c>
      <c r="AS283" s="29">
        <v>494</v>
      </c>
      <c r="AT283" s="29">
        <v>350</v>
      </c>
      <c r="AU283" s="29">
        <v>735</v>
      </c>
      <c r="AV283" s="39" t="s">
        <v>651</v>
      </c>
      <c r="AW283" s="39"/>
      <c r="AX283" s="29" t="s">
        <v>13</v>
      </c>
      <c r="AY283" s="6" t="s">
        <v>886</v>
      </c>
      <c r="AZ283" s="97"/>
      <c r="BA283" s="72">
        <v>54.038981999999997</v>
      </c>
      <c r="BB283" s="62"/>
      <c r="BC283" s="62"/>
      <c r="BD283" s="26">
        <v>875.37559594397999</v>
      </c>
      <c r="BE283" s="25" t="s">
        <v>239</v>
      </c>
      <c r="BF283" s="26">
        <f t="shared" si="108"/>
        <v>770.09636315245257</v>
      </c>
      <c r="BG283" s="26">
        <f t="shared" si="109"/>
        <v>983.07948007665493</v>
      </c>
      <c r="BH283" s="83" t="s">
        <v>887</v>
      </c>
      <c r="BI283" s="25" t="s">
        <v>430</v>
      </c>
      <c r="BJ283" s="26">
        <v>664.81713036092503</v>
      </c>
      <c r="BK283" s="26">
        <v>1090.7833642093299</v>
      </c>
      <c r="BL283" s="39"/>
      <c r="BO283" s="25"/>
      <c r="CA283" s="25" t="s">
        <v>13</v>
      </c>
      <c r="CC283" s="25" t="s">
        <v>13</v>
      </c>
    </row>
    <row r="284" spans="1:81">
      <c r="A284" s="6" t="s">
        <v>259</v>
      </c>
      <c r="B284" s="26" t="s">
        <v>260</v>
      </c>
      <c r="C284" s="62">
        <v>200.33</v>
      </c>
      <c r="D284" s="62"/>
      <c r="E284" s="62"/>
      <c r="F284" s="23">
        <f t="shared" si="107"/>
        <v>1766</v>
      </c>
      <c r="G284" s="23" t="s">
        <v>389</v>
      </c>
      <c r="H284" s="23">
        <f t="shared" si="113"/>
        <v>883</v>
      </c>
      <c r="I284" s="23">
        <f t="shared" si="103"/>
        <v>3532</v>
      </c>
      <c r="J284" s="23" t="s">
        <v>480</v>
      </c>
      <c r="K284" s="23" t="s">
        <v>400</v>
      </c>
      <c r="L284" s="26">
        <v>2649</v>
      </c>
      <c r="M284" s="26">
        <f>L284-883</f>
        <v>1766</v>
      </c>
      <c r="N284" s="26">
        <f>L284+883</f>
        <v>3532</v>
      </c>
      <c r="O284" s="26">
        <v>3000</v>
      </c>
      <c r="P284" s="26">
        <f t="shared" si="102"/>
        <v>2000</v>
      </c>
      <c r="Q284" s="26" t="s">
        <v>391</v>
      </c>
      <c r="R284" s="26" t="s">
        <v>13</v>
      </c>
      <c r="S284" s="6" t="s">
        <v>1131</v>
      </c>
      <c r="T284" s="44" t="s">
        <v>1132</v>
      </c>
      <c r="U284" s="62">
        <v>0.8</v>
      </c>
      <c r="V284" s="62">
        <v>1</v>
      </c>
      <c r="W284" s="62">
        <v>0.5</v>
      </c>
      <c r="X284" s="26">
        <v>284.38558919270849</v>
      </c>
      <c r="Y284" s="26" t="s">
        <v>389</v>
      </c>
      <c r="Z284" s="26">
        <f t="shared" si="114"/>
        <v>199.06991243489594</v>
      </c>
      <c r="AA284" s="26">
        <f t="shared" si="115"/>
        <v>426.57838378906274</v>
      </c>
      <c r="AB284" s="25" t="s">
        <v>1191</v>
      </c>
      <c r="AC284" s="77" t="s">
        <v>400</v>
      </c>
      <c r="AF284" s="26" t="s">
        <v>1194</v>
      </c>
      <c r="AG284" s="25" t="s">
        <v>13</v>
      </c>
      <c r="AH284" s="7" t="s">
        <v>540</v>
      </c>
      <c r="AI284" s="25" t="s">
        <v>566</v>
      </c>
      <c r="AJ284" s="62">
        <v>311.5</v>
      </c>
      <c r="AK284" s="62">
        <f t="shared" si="110"/>
        <v>311.8</v>
      </c>
      <c r="AL284" s="62">
        <f t="shared" si="111"/>
        <v>311.2</v>
      </c>
      <c r="AM284" s="25">
        <f t="shared" si="104"/>
        <v>475</v>
      </c>
      <c r="AN284" s="25" t="s">
        <v>239</v>
      </c>
      <c r="AO284" s="25">
        <f t="shared" si="112"/>
        <v>335</v>
      </c>
      <c r="AP284" s="39">
        <f t="shared" si="112"/>
        <v>712</v>
      </c>
      <c r="AQ284" s="29" t="s">
        <v>542</v>
      </c>
      <c r="AR284" s="23" t="s">
        <v>400</v>
      </c>
      <c r="AS284" s="29">
        <v>475</v>
      </c>
      <c r="AT284" s="39">
        <v>335</v>
      </c>
      <c r="AU284" s="39">
        <v>712</v>
      </c>
      <c r="AV284" s="39" t="s">
        <v>651</v>
      </c>
      <c r="AW284" s="39"/>
      <c r="AX284" s="29" t="s">
        <v>13</v>
      </c>
      <c r="AY284" s="6" t="s">
        <v>886</v>
      </c>
      <c r="AZ284" s="97"/>
      <c r="BA284" s="72">
        <v>54.046892</v>
      </c>
      <c r="BB284" s="62"/>
      <c r="BC284" s="62"/>
      <c r="BD284" s="26">
        <v>488.18404020497098</v>
      </c>
      <c r="BE284" s="25" t="s">
        <v>239</v>
      </c>
      <c r="BF284" s="26">
        <f t="shared" si="108"/>
        <v>417.22614557368547</v>
      </c>
      <c r="BG284" s="26">
        <f t="shared" si="109"/>
        <v>581.03154572087146</v>
      </c>
      <c r="BH284" s="83" t="s">
        <v>738</v>
      </c>
      <c r="BI284" s="25" t="s">
        <v>430</v>
      </c>
      <c r="BJ284" s="26">
        <v>346.26825094240002</v>
      </c>
      <c r="BK284" s="26">
        <v>673.87905123677206</v>
      </c>
      <c r="BL284" s="39"/>
      <c r="BO284" s="25"/>
      <c r="CA284" s="25" t="s">
        <v>13</v>
      </c>
      <c r="CC284" s="25" t="s">
        <v>13</v>
      </c>
    </row>
    <row r="285" spans="1:81">
      <c r="A285" s="6" t="s">
        <v>259</v>
      </c>
      <c r="B285" s="26" t="s">
        <v>260</v>
      </c>
      <c r="C285" s="62">
        <v>200.31</v>
      </c>
      <c r="D285" s="62"/>
      <c r="E285" s="62"/>
      <c r="F285" s="23">
        <f t="shared" si="107"/>
        <v>1810.6666666666667</v>
      </c>
      <c r="G285" s="23" t="s">
        <v>389</v>
      </c>
      <c r="H285" s="23">
        <f t="shared" si="113"/>
        <v>905.33333333333337</v>
      </c>
      <c r="I285" s="23">
        <f t="shared" si="103"/>
        <v>3621.3333333333335</v>
      </c>
      <c r="J285" s="23" t="s">
        <v>480</v>
      </c>
      <c r="K285" s="23" t="s">
        <v>400</v>
      </c>
      <c r="L285" s="26">
        <v>2716</v>
      </c>
      <c r="M285" s="26">
        <f>L285-905</f>
        <v>1811</v>
      </c>
      <c r="N285" s="26">
        <f>L285+905</f>
        <v>3621</v>
      </c>
      <c r="O285" s="26">
        <v>3000</v>
      </c>
      <c r="P285" s="26">
        <f t="shared" si="102"/>
        <v>2000</v>
      </c>
      <c r="Q285" s="26" t="s">
        <v>391</v>
      </c>
      <c r="R285" s="26" t="s">
        <v>13</v>
      </c>
      <c r="S285" s="6" t="s">
        <v>1131</v>
      </c>
      <c r="T285" s="44" t="s">
        <v>91</v>
      </c>
      <c r="U285" s="62">
        <v>1.8</v>
      </c>
      <c r="V285" s="62">
        <v>2</v>
      </c>
      <c r="W285" s="62">
        <v>1.5</v>
      </c>
      <c r="X285" s="26">
        <v>276.16018957609555</v>
      </c>
      <c r="Y285" s="26" t="s">
        <v>389</v>
      </c>
      <c r="Z285" s="26">
        <f t="shared" si="114"/>
        <v>193.31213270326688</v>
      </c>
      <c r="AA285" s="26">
        <f t="shared" si="115"/>
        <v>414.24028436414335</v>
      </c>
      <c r="AB285" s="25" t="s">
        <v>1191</v>
      </c>
      <c r="AC285" s="77" t="s">
        <v>400</v>
      </c>
      <c r="AF285" s="26" t="s">
        <v>1195</v>
      </c>
      <c r="AG285" s="25" t="s">
        <v>13</v>
      </c>
      <c r="AH285" s="7" t="s">
        <v>540</v>
      </c>
      <c r="AI285" s="25" t="s">
        <v>566</v>
      </c>
      <c r="AJ285" s="62">
        <v>311.5</v>
      </c>
      <c r="AK285" s="62">
        <f t="shared" si="110"/>
        <v>311.8</v>
      </c>
      <c r="AL285" s="62">
        <f t="shared" si="111"/>
        <v>311.2</v>
      </c>
      <c r="AM285" s="25">
        <f t="shared" si="104"/>
        <v>469</v>
      </c>
      <c r="AN285" s="26" t="s">
        <v>239</v>
      </c>
      <c r="AO285" s="25">
        <f t="shared" si="112"/>
        <v>330</v>
      </c>
      <c r="AP285" s="39">
        <f t="shared" si="112"/>
        <v>703</v>
      </c>
      <c r="AQ285" s="29" t="s">
        <v>542</v>
      </c>
      <c r="AR285" s="23" t="s">
        <v>400</v>
      </c>
      <c r="AS285" s="29">
        <v>469</v>
      </c>
      <c r="AT285" s="29">
        <v>330</v>
      </c>
      <c r="AU285" s="29">
        <v>703</v>
      </c>
      <c r="AV285" s="39" t="s">
        <v>651</v>
      </c>
      <c r="AW285" s="39"/>
      <c r="AX285" s="29" t="s">
        <v>13</v>
      </c>
      <c r="AY285" s="6" t="s">
        <v>886</v>
      </c>
      <c r="AZ285" s="97"/>
      <c r="BA285" s="72">
        <v>54.047175000000003</v>
      </c>
      <c r="BB285" s="62"/>
      <c r="BC285" s="62"/>
      <c r="BD285" s="26">
        <v>606.56728107833101</v>
      </c>
      <c r="BE285" s="25" t="s">
        <v>239</v>
      </c>
      <c r="BF285" s="26">
        <f t="shared" si="108"/>
        <v>515.87094527218449</v>
      </c>
      <c r="BG285" s="26">
        <f t="shared" si="109"/>
        <v>742.71405771494153</v>
      </c>
      <c r="BH285" s="83" t="s">
        <v>887</v>
      </c>
      <c r="BI285" s="25" t="s">
        <v>430</v>
      </c>
      <c r="BJ285" s="26">
        <v>425.17460946603802</v>
      </c>
      <c r="BK285" s="26">
        <v>878.86083435155206</v>
      </c>
      <c r="BL285" s="39"/>
      <c r="BO285" s="25"/>
      <c r="CA285" s="25" t="s">
        <v>13</v>
      </c>
      <c r="CC285" s="25" t="s">
        <v>13</v>
      </c>
    </row>
    <row r="286" spans="1:81">
      <c r="A286" s="6" t="s">
        <v>259</v>
      </c>
      <c r="B286" s="26" t="s">
        <v>260</v>
      </c>
      <c r="C286" s="62">
        <v>200.23</v>
      </c>
      <c r="D286" s="62"/>
      <c r="E286" s="62"/>
      <c r="F286" s="23">
        <f t="shared" si="107"/>
        <v>1018.6666666666666</v>
      </c>
      <c r="G286" s="23" t="s">
        <v>389</v>
      </c>
      <c r="H286" s="23">
        <f t="shared" si="113"/>
        <v>509.33333333333331</v>
      </c>
      <c r="I286" s="23">
        <f t="shared" si="103"/>
        <v>2037.3333333333333</v>
      </c>
      <c r="J286" s="23" t="s">
        <v>480</v>
      </c>
      <c r="K286" s="23" t="s">
        <v>400</v>
      </c>
      <c r="L286" s="26">
        <v>1528</v>
      </c>
      <c r="M286" s="26">
        <f>L286-509</f>
        <v>1019</v>
      </c>
      <c r="N286" s="26">
        <f>L286+509</f>
        <v>2037</v>
      </c>
      <c r="O286" s="26">
        <v>3000</v>
      </c>
      <c r="P286" s="26">
        <f t="shared" si="102"/>
        <v>2000</v>
      </c>
      <c r="Q286" s="26" t="s">
        <v>391</v>
      </c>
      <c r="R286" s="26" t="s">
        <v>13</v>
      </c>
      <c r="S286" s="6" t="s">
        <v>1131</v>
      </c>
      <c r="T286" s="44" t="s">
        <v>91</v>
      </c>
      <c r="U286" s="62">
        <v>2.1</v>
      </c>
      <c r="V286" s="62">
        <v>2.2999999999999998</v>
      </c>
      <c r="W286" s="62">
        <v>2</v>
      </c>
      <c r="X286" s="26">
        <v>309.09935555187735</v>
      </c>
      <c r="Y286" s="26" t="s">
        <v>389</v>
      </c>
      <c r="Z286" s="26">
        <f t="shared" si="114"/>
        <v>216.36954888631413</v>
      </c>
      <c r="AA286" s="26">
        <f t="shared" si="115"/>
        <v>463.64903332781603</v>
      </c>
      <c r="AB286" s="25" t="s">
        <v>1191</v>
      </c>
      <c r="AC286" s="77" t="s">
        <v>400</v>
      </c>
      <c r="AF286" s="26" t="s">
        <v>1196</v>
      </c>
      <c r="AG286" s="25" t="s">
        <v>13</v>
      </c>
      <c r="AH286" s="7" t="s">
        <v>540</v>
      </c>
      <c r="AI286" s="25" t="s">
        <v>566</v>
      </c>
      <c r="AJ286" s="62">
        <v>312.2</v>
      </c>
      <c r="AK286" s="62">
        <f t="shared" si="110"/>
        <v>312.5</v>
      </c>
      <c r="AL286" s="62">
        <f t="shared" si="111"/>
        <v>311.89999999999998</v>
      </c>
      <c r="AM286" s="25">
        <f t="shared" si="104"/>
        <v>604</v>
      </c>
      <c r="AN286" s="25" t="s">
        <v>239</v>
      </c>
      <c r="AO286" s="25">
        <f t="shared" si="112"/>
        <v>427</v>
      </c>
      <c r="AP286" s="39">
        <f t="shared" si="112"/>
        <v>881</v>
      </c>
      <c r="AQ286" s="29" t="s">
        <v>542</v>
      </c>
      <c r="AR286" s="23" t="s">
        <v>400</v>
      </c>
      <c r="AS286" s="29">
        <v>604</v>
      </c>
      <c r="AT286" s="39">
        <v>427</v>
      </c>
      <c r="AU286" s="39">
        <v>881</v>
      </c>
      <c r="AV286" s="39" t="s">
        <v>651</v>
      </c>
      <c r="AW286" s="39"/>
      <c r="AX286" s="29" t="s">
        <v>13</v>
      </c>
      <c r="AY286" s="6" t="s">
        <v>886</v>
      </c>
      <c r="AZ286" s="97"/>
      <c r="BA286" s="72">
        <v>54.049011</v>
      </c>
      <c r="BB286" s="62"/>
      <c r="BC286" s="62"/>
      <c r="BD286" s="26">
        <v>2335.39126805674</v>
      </c>
      <c r="BE286" s="25" t="s">
        <v>239</v>
      </c>
      <c r="BF286" s="26">
        <f t="shared" si="108"/>
        <v>1924.2282364626899</v>
      </c>
      <c r="BG286" s="26">
        <f t="shared" si="109"/>
        <v>3187.749348000435</v>
      </c>
      <c r="BH286" s="83" t="s">
        <v>738</v>
      </c>
      <c r="BI286" s="25" t="s">
        <v>430</v>
      </c>
      <c r="BJ286" s="26">
        <v>1513.06520486864</v>
      </c>
      <c r="BK286" s="26">
        <v>4040.10742794413</v>
      </c>
      <c r="BL286" s="39"/>
      <c r="BO286" s="25"/>
      <c r="CA286" s="25" t="s">
        <v>13</v>
      </c>
      <c r="CC286" s="25" t="s">
        <v>13</v>
      </c>
    </row>
    <row r="287" spans="1:81">
      <c r="A287" s="6" t="s">
        <v>259</v>
      </c>
      <c r="B287" s="26" t="s">
        <v>260</v>
      </c>
      <c r="C287" s="62">
        <v>200.15</v>
      </c>
      <c r="D287" s="62"/>
      <c r="E287" s="62"/>
      <c r="F287" s="23">
        <f t="shared" si="107"/>
        <v>610</v>
      </c>
      <c r="G287" s="23" t="s">
        <v>389</v>
      </c>
      <c r="H287" s="23">
        <f t="shared" si="113"/>
        <v>305</v>
      </c>
      <c r="I287" s="23">
        <f t="shared" si="103"/>
        <v>1220</v>
      </c>
      <c r="J287" s="23" t="s">
        <v>480</v>
      </c>
      <c r="K287" s="23" t="s">
        <v>400</v>
      </c>
      <c r="L287" s="26">
        <v>915</v>
      </c>
      <c r="M287" s="26">
        <f>L287-305</f>
        <v>610</v>
      </c>
      <c r="N287" s="26">
        <f>L287+305</f>
        <v>1220</v>
      </c>
      <c r="O287" s="26">
        <v>3000</v>
      </c>
      <c r="P287" s="26">
        <f t="shared" si="102"/>
        <v>2000</v>
      </c>
      <c r="Q287" s="26" t="s">
        <v>391</v>
      </c>
      <c r="R287" s="26" t="s">
        <v>13</v>
      </c>
      <c r="S287" s="6" t="s">
        <v>1131</v>
      </c>
      <c r="T287" s="44" t="s">
        <v>91</v>
      </c>
      <c r="U287" s="62">
        <v>2.2999999999999998</v>
      </c>
      <c r="V287" s="62">
        <v>2.5</v>
      </c>
      <c r="W287" s="62">
        <v>2</v>
      </c>
      <c r="X287" s="26">
        <v>345.98893398290187</v>
      </c>
      <c r="Y287" s="26" t="s">
        <v>389</v>
      </c>
      <c r="Z287" s="26">
        <f t="shared" si="114"/>
        <v>242.19225378803128</v>
      </c>
      <c r="AA287" s="26">
        <f t="shared" si="115"/>
        <v>518.98340097435278</v>
      </c>
      <c r="AB287" s="25" t="s">
        <v>1191</v>
      </c>
      <c r="AC287" s="77" t="s">
        <v>400</v>
      </c>
      <c r="AF287" s="26" t="s">
        <v>1197</v>
      </c>
      <c r="AG287" s="25" t="s">
        <v>13</v>
      </c>
      <c r="AH287" s="7" t="s">
        <v>540</v>
      </c>
      <c r="AI287" s="25" t="s">
        <v>566</v>
      </c>
      <c r="AJ287" s="62">
        <v>303.5</v>
      </c>
      <c r="AK287" s="62">
        <f t="shared" si="110"/>
        <v>303.8</v>
      </c>
      <c r="AL287" s="62">
        <f t="shared" si="111"/>
        <v>303.2</v>
      </c>
      <c r="AM287" s="25">
        <v>495</v>
      </c>
      <c r="AN287" s="25" t="s">
        <v>389</v>
      </c>
      <c r="AO287" s="26">
        <f t="shared" ref="AO287:AO311" si="116">AM287-(AM287-AT287)/2</f>
        <v>474.5</v>
      </c>
      <c r="AP287" s="29">
        <f t="shared" ref="AP287:AP311" si="117">AM287*2</f>
        <v>990</v>
      </c>
      <c r="AQ287" s="29" t="s">
        <v>569</v>
      </c>
      <c r="AR287" s="26" t="s">
        <v>422</v>
      </c>
      <c r="AS287" s="29">
        <f t="shared" ref="AS287:AS311" si="118">AM287</f>
        <v>495</v>
      </c>
      <c r="AT287" s="29">
        <f>AM287-41</f>
        <v>454</v>
      </c>
      <c r="AU287" s="29">
        <f>AM287+41</f>
        <v>536</v>
      </c>
      <c r="AV287" s="39" t="s">
        <v>60</v>
      </c>
      <c r="AW287" s="39"/>
      <c r="AX287" s="29" t="s">
        <v>13</v>
      </c>
      <c r="AY287" s="6" t="s">
        <v>886</v>
      </c>
      <c r="AZ287" s="97"/>
      <c r="BA287" s="72">
        <v>54.049717000000001</v>
      </c>
      <c r="BB287" s="62"/>
      <c r="BC287" s="62"/>
      <c r="BD287" s="26">
        <v>1213.4622398075201</v>
      </c>
      <c r="BE287" s="25" t="s">
        <v>239</v>
      </c>
      <c r="BF287" s="26">
        <f t="shared" si="108"/>
        <v>1069.0767182583959</v>
      </c>
      <c r="BG287" s="26">
        <f t="shared" si="109"/>
        <v>1399.2775307813699</v>
      </c>
      <c r="BH287" s="83" t="s">
        <v>887</v>
      </c>
      <c r="BI287" s="25" t="s">
        <v>430</v>
      </c>
      <c r="BJ287" s="26">
        <v>924.69119670927194</v>
      </c>
      <c r="BK287" s="26">
        <v>1585.09282175522</v>
      </c>
      <c r="BL287" s="39"/>
      <c r="BO287" s="25"/>
      <c r="CA287" s="25" t="s">
        <v>13</v>
      </c>
      <c r="CC287" s="25" t="s">
        <v>13</v>
      </c>
    </row>
    <row r="288" spans="1:81">
      <c r="A288" s="6" t="s">
        <v>259</v>
      </c>
      <c r="B288" s="26" t="s">
        <v>260</v>
      </c>
      <c r="C288" s="62">
        <v>199.79</v>
      </c>
      <c r="D288" s="62"/>
      <c r="E288" s="62"/>
      <c r="F288" s="23">
        <f t="shared" si="107"/>
        <v>523.33333333333337</v>
      </c>
      <c r="G288" s="23" t="s">
        <v>389</v>
      </c>
      <c r="H288" s="23">
        <f t="shared" si="113"/>
        <v>261.66666666666669</v>
      </c>
      <c r="I288" s="23">
        <f t="shared" si="103"/>
        <v>1046.6666666666667</v>
      </c>
      <c r="J288" s="23" t="s">
        <v>480</v>
      </c>
      <c r="K288" s="23" t="s">
        <v>400</v>
      </c>
      <c r="L288" s="26">
        <v>785</v>
      </c>
      <c r="M288" s="26">
        <f>L288-262</f>
        <v>523</v>
      </c>
      <c r="N288" s="26">
        <f>L288+262</f>
        <v>1047</v>
      </c>
      <c r="O288" s="26">
        <v>3000</v>
      </c>
      <c r="P288" s="26">
        <f t="shared" si="102"/>
        <v>2000</v>
      </c>
      <c r="Q288" s="26" t="s">
        <v>391</v>
      </c>
      <c r="R288" s="26" t="s">
        <v>13</v>
      </c>
      <c r="S288" s="6" t="s">
        <v>1131</v>
      </c>
      <c r="T288" s="44" t="s">
        <v>91</v>
      </c>
      <c r="U288" s="62">
        <v>2.7</v>
      </c>
      <c r="V288" s="62">
        <v>3</v>
      </c>
      <c r="W288" s="62">
        <v>2.5</v>
      </c>
      <c r="X288" s="26">
        <v>299.81599513714451</v>
      </c>
      <c r="Y288" s="26" t="s">
        <v>389</v>
      </c>
      <c r="Z288" s="26">
        <f t="shared" si="114"/>
        <v>209.87119659600114</v>
      </c>
      <c r="AA288" s="26">
        <f t="shared" si="115"/>
        <v>449.7239927057168</v>
      </c>
      <c r="AB288" s="25" t="s">
        <v>1191</v>
      </c>
      <c r="AC288" s="77" t="s">
        <v>400</v>
      </c>
      <c r="AF288" s="26" t="s">
        <v>1198</v>
      </c>
      <c r="AG288" s="25" t="s">
        <v>13</v>
      </c>
      <c r="AH288" s="7" t="s">
        <v>540</v>
      </c>
      <c r="AI288" s="25" t="s">
        <v>566</v>
      </c>
      <c r="AJ288" s="62">
        <v>303.5</v>
      </c>
      <c r="AK288" s="62">
        <f t="shared" si="110"/>
        <v>303.8</v>
      </c>
      <c r="AL288" s="62">
        <f t="shared" si="111"/>
        <v>303.2</v>
      </c>
      <c r="AM288" s="26">
        <v>458</v>
      </c>
      <c r="AN288" s="25" t="s">
        <v>389</v>
      </c>
      <c r="AO288" s="26">
        <f t="shared" si="116"/>
        <v>449.5</v>
      </c>
      <c r="AP288" s="29">
        <f t="shared" si="117"/>
        <v>916</v>
      </c>
      <c r="AQ288" s="29" t="s">
        <v>569</v>
      </c>
      <c r="AR288" s="26" t="s">
        <v>422</v>
      </c>
      <c r="AS288" s="29">
        <f t="shared" si="118"/>
        <v>458</v>
      </c>
      <c r="AT288" s="29">
        <f>AM288-17</f>
        <v>441</v>
      </c>
      <c r="AU288" s="29">
        <f>AM288+17</f>
        <v>475</v>
      </c>
      <c r="AV288" s="39" t="s">
        <v>60</v>
      </c>
      <c r="AW288" s="39"/>
      <c r="AX288" s="29" t="s">
        <v>13</v>
      </c>
      <c r="AY288" s="6" t="s">
        <v>886</v>
      </c>
      <c r="AZ288" s="97"/>
      <c r="BA288" s="72">
        <v>54.049717000000001</v>
      </c>
      <c r="BB288" s="62"/>
      <c r="BC288" s="62"/>
      <c r="BD288" s="26">
        <v>995.53070533850496</v>
      </c>
      <c r="BE288" s="25" t="s">
        <v>239</v>
      </c>
      <c r="BF288" s="26">
        <f t="shared" si="108"/>
        <v>812.44816236082397</v>
      </c>
      <c r="BG288" s="26">
        <f t="shared" si="109"/>
        <v>1273.9975209085424</v>
      </c>
      <c r="BH288" s="83" t="s">
        <v>738</v>
      </c>
      <c r="BI288" s="25" t="s">
        <v>430</v>
      </c>
      <c r="BJ288" s="26">
        <v>629.36561938314298</v>
      </c>
      <c r="BK288" s="26">
        <v>1552.46433647858</v>
      </c>
      <c r="BL288" s="39"/>
      <c r="BO288" s="25"/>
      <c r="CA288" s="25" t="s">
        <v>13</v>
      </c>
      <c r="CC288" s="25" t="s">
        <v>13</v>
      </c>
    </row>
    <row r="289" spans="1:81">
      <c r="A289" s="6" t="s">
        <v>259</v>
      </c>
      <c r="B289" s="26" t="s">
        <v>260</v>
      </c>
      <c r="C289" s="62">
        <v>198.99</v>
      </c>
      <c r="D289" s="62"/>
      <c r="E289" s="62"/>
      <c r="F289" s="23">
        <f t="shared" si="107"/>
        <v>1178.6666666666667</v>
      </c>
      <c r="G289" s="23" t="s">
        <v>389</v>
      </c>
      <c r="H289" s="23">
        <f t="shared" si="113"/>
        <v>589.33333333333337</v>
      </c>
      <c r="I289" s="23">
        <f t="shared" si="103"/>
        <v>2357.3333333333335</v>
      </c>
      <c r="J289" s="23" t="s">
        <v>480</v>
      </c>
      <c r="K289" s="23" t="s">
        <v>400</v>
      </c>
      <c r="L289" s="26">
        <v>1768</v>
      </c>
      <c r="M289" s="26">
        <f>L289-589</f>
        <v>1179</v>
      </c>
      <c r="N289" s="26">
        <f>L289+589</f>
        <v>2357</v>
      </c>
      <c r="O289" s="26">
        <v>3000</v>
      </c>
      <c r="P289" s="26">
        <f t="shared" si="102"/>
        <v>2000</v>
      </c>
      <c r="Q289" s="26" t="s">
        <v>391</v>
      </c>
      <c r="R289" s="26" t="s">
        <v>13</v>
      </c>
      <c r="S289" s="6" t="s">
        <v>1131</v>
      </c>
      <c r="T289" s="44" t="s">
        <v>91</v>
      </c>
      <c r="U289" s="62">
        <v>3.2</v>
      </c>
      <c r="V289" s="62">
        <v>3.5</v>
      </c>
      <c r="W289" s="62">
        <v>3</v>
      </c>
      <c r="X289" s="26">
        <v>341.85892687974723</v>
      </c>
      <c r="Y289" s="26" t="s">
        <v>389</v>
      </c>
      <c r="Z289" s="26">
        <f t="shared" si="114"/>
        <v>239.30124881582304</v>
      </c>
      <c r="AA289" s="26">
        <f t="shared" si="115"/>
        <v>512.78839031962082</v>
      </c>
      <c r="AB289" s="25" t="s">
        <v>1191</v>
      </c>
      <c r="AC289" s="77" t="s">
        <v>400</v>
      </c>
      <c r="AF289" s="26" t="s">
        <v>1199</v>
      </c>
      <c r="AG289" s="25" t="s">
        <v>13</v>
      </c>
      <c r="AH289" s="7" t="s">
        <v>540</v>
      </c>
      <c r="AI289" s="25" t="s">
        <v>566</v>
      </c>
      <c r="AJ289" s="62">
        <v>304</v>
      </c>
      <c r="AK289" s="62">
        <f t="shared" si="110"/>
        <v>304.3</v>
      </c>
      <c r="AL289" s="62">
        <f t="shared" si="111"/>
        <v>303.7</v>
      </c>
      <c r="AM289" s="26">
        <v>322</v>
      </c>
      <c r="AN289" s="25" t="s">
        <v>389</v>
      </c>
      <c r="AO289" s="26">
        <f t="shared" si="116"/>
        <v>311.5</v>
      </c>
      <c r="AP289" s="29">
        <f t="shared" si="117"/>
        <v>644</v>
      </c>
      <c r="AQ289" s="29" t="s">
        <v>569</v>
      </c>
      <c r="AR289" s="26" t="s">
        <v>422</v>
      </c>
      <c r="AS289" s="29">
        <f t="shared" si="118"/>
        <v>322</v>
      </c>
      <c r="AT289" s="29">
        <f>AM289-21</f>
        <v>301</v>
      </c>
      <c r="AU289" s="29">
        <f>AM289+21</f>
        <v>343</v>
      </c>
      <c r="AV289" s="39" t="s">
        <v>60</v>
      </c>
      <c r="AW289" s="39"/>
      <c r="AX289" s="29" t="s">
        <v>13</v>
      </c>
      <c r="AY289" s="6" t="s">
        <v>886</v>
      </c>
      <c r="AZ289" s="97"/>
      <c r="BA289" s="72">
        <v>54.050150000000002</v>
      </c>
      <c r="BB289" s="62"/>
      <c r="BC289" s="62"/>
      <c r="BD289" s="26">
        <v>1025.16378982885</v>
      </c>
      <c r="BE289" s="25" t="s">
        <v>239</v>
      </c>
      <c r="BF289" s="26">
        <f t="shared" si="108"/>
        <v>816.06436495024548</v>
      </c>
      <c r="BG289" s="26">
        <f t="shared" si="109"/>
        <v>1420.808881094945</v>
      </c>
      <c r="BH289" s="83" t="s">
        <v>887</v>
      </c>
      <c r="BI289" s="25" t="s">
        <v>430</v>
      </c>
      <c r="BJ289" s="26">
        <v>606.96494007164097</v>
      </c>
      <c r="BK289" s="26">
        <v>1816.4539723610401</v>
      </c>
      <c r="BL289" s="39"/>
      <c r="BO289" s="25"/>
      <c r="CA289" s="25" t="s">
        <v>13</v>
      </c>
      <c r="CC289" s="25" t="s">
        <v>13</v>
      </c>
    </row>
    <row r="290" spans="1:81">
      <c r="A290" s="6" t="s">
        <v>80</v>
      </c>
      <c r="B290" s="26" t="s">
        <v>154</v>
      </c>
      <c r="C290" s="68">
        <f>AVERAGE(D290:E290)</f>
        <v>127.85</v>
      </c>
      <c r="D290" s="62">
        <v>129.4</v>
      </c>
      <c r="E290" s="62">
        <v>126.3</v>
      </c>
      <c r="F290" s="23">
        <f t="shared" si="107"/>
        <v>392.52854812398044</v>
      </c>
      <c r="G290" s="23" t="s">
        <v>389</v>
      </c>
      <c r="H290" s="23">
        <f t="shared" ref="H290:I292" si="119">M290*$P290/$O290</f>
        <v>234.03588907014682</v>
      </c>
      <c r="I290" s="23">
        <f t="shared" si="119"/>
        <v>551.02120717781406</v>
      </c>
      <c r="J290" s="83" t="s">
        <v>403</v>
      </c>
      <c r="K290" s="23" t="s">
        <v>400</v>
      </c>
      <c r="L290" s="25">
        <v>530</v>
      </c>
      <c r="M290" s="25">
        <f>L290-214</f>
        <v>316</v>
      </c>
      <c r="N290" s="25">
        <f>L290+214</f>
        <v>744</v>
      </c>
      <c r="O290" s="26">
        <f>AVERAGE(1301,2156,1301,1372)</f>
        <v>1532.5</v>
      </c>
      <c r="P290" s="26">
        <v>1135</v>
      </c>
      <c r="Q290" s="25" t="s">
        <v>392</v>
      </c>
      <c r="R290" s="26" t="s">
        <v>13</v>
      </c>
      <c r="S290" s="6" t="s">
        <v>1131</v>
      </c>
      <c r="T290" s="44" t="s">
        <v>91</v>
      </c>
      <c r="U290" s="62">
        <v>3.8</v>
      </c>
      <c r="V290" s="62">
        <v>4</v>
      </c>
      <c r="W290" s="62">
        <v>3.5</v>
      </c>
      <c r="X290" s="26">
        <v>353.22577535922034</v>
      </c>
      <c r="Y290" s="26" t="s">
        <v>389</v>
      </c>
      <c r="Z290" s="26">
        <f t="shared" si="114"/>
        <v>247.25804275145421</v>
      </c>
      <c r="AA290" s="26">
        <f t="shared" si="115"/>
        <v>529.83866303883053</v>
      </c>
      <c r="AB290" s="25" t="s">
        <v>1191</v>
      </c>
      <c r="AC290" s="77" t="s">
        <v>400</v>
      </c>
      <c r="AF290" s="26" t="s">
        <v>1199</v>
      </c>
      <c r="AG290" s="25" t="s">
        <v>13</v>
      </c>
      <c r="AH290" s="7" t="s">
        <v>540</v>
      </c>
      <c r="AI290" s="25" t="s">
        <v>566</v>
      </c>
      <c r="AJ290" s="62">
        <v>304.3</v>
      </c>
      <c r="AK290" s="62">
        <f t="shared" si="110"/>
        <v>304.60000000000002</v>
      </c>
      <c r="AL290" s="62">
        <f t="shared" si="111"/>
        <v>304</v>
      </c>
      <c r="AM290" s="26">
        <v>475</v>
      </c>
      <c r="AN290" s="25" t="s">
        <v>389</v>
      </c>
      <c r="AO290" s="26">
        <f t="shared" si="116"/>
        <v>449</v>
      </c>
      <c r="AP290" s="29">
        <f t="shared" si="117"/>
        <v>950</v>
      </c>
      <c r="AQ290" s="29" t="s">
        <v>569</v>
      </c>
      <c r="AR290" s="26" t="s">
        <v>422</v>
      </c>
      <c r="AS290" s="29">
        <f t="shared" si="118"/>
        <v>475</v>
      </c>
      <c r="AT290" s="29">
        <f>AM290-52</f>
        <v>423</v>
      </c>
      <c r="AU290" s="29">
        <f>AM290+52</f>
        <v>527</v>
      </c>
      <c r="AV290" s="39" t="s">
        <v>60</v>
      </c>
      <c r="AW290" s="39"/>
      <c r="AX290" s="29" t="s">
        <v>13</v>
      </c>
      <c r="AY290" s="6" t="s">
        <v>886</v>
      </c>
      <c r="AZ290" s="97"/>
      <c r="BA290" s="72">
        <v>54.051352999999999</v>
      </c>
      <c r="BB290" s="62"/>
      <c r="BC290" s="62"/>
      <c r="BD290" s="26">
        <v>1389.1321325174899</v>
      </c>
      <c r="BE290" s="25" t="s">
        <v>239</v>
      </c>
      <c r="BF290" s="26">
        <f t="shared" si="108"/>
        <v>1168.1024662892096</v>
      </c>
      <c r="BG290" s="26">
        <f t="shared" si="109"/>
        <v>1750.6663726715351</v>
      </c>
      <c r="BH290" s="83" t="s">
        <v>738</v>
      </c>
      <c r="BI290" s="25" t="s">
        <v>430</v>
      </c>
      <c r="BJ290" s="26">
        <v>947.07280006092901</v>
      </c>
      <c r="BK290" s="26">
        <v>2112.2006128255803</v>
      </c>
      <c r="BL290" s="39"/>
      <c r="BO290" s="25"/>
      <c r="CA290" s="25" t="s">
        <v>13</v>
      </c>
      <c r="CC290" s="25" t="s">
        <v>13</v>
      </c>
    </row>
    <row r="291" spans="1:81">
      <c r="A291" s="6" t="s">
        <v>80</v>
      </c>
      <c r="B291" s="26" t="s">
        <v>155</v>
      </c>
      <c r="C291" s="68">
        <f>AVERAGE(D291:E291)</f>
        <v>137.9</v>
      </c>
      <c r="D291" s="62">
        <v>139.4</v>
      </c>
      <c r="E291" s="62">
        <v>136.4</v>
      </c>
      <c r="F291" s="23">
        <f t="shared" si="107"/>
        <v>173.73571212579378</v>
      </c>
      <c r="G291" s="23" t="s">
        <v>389</v>
      </c>
      <c r="H291" s="23">
        <f t="shared" si="119"/>
        <v>75.693982461445415</v>
      </c>
      <c r="I291" s="23">
        <f t="shared" si="119"/>
        <v>271.77744179014212</v>
      </c>
      <c r="J291" s="83" t="s">
        <v>403</v>
      </c>
      <c r="K291" s="23" t="s">
        <v>400</v>
      </c>
      <c r="L291" s="25">
        <v>241</v>
      </c>
      <c r="M291" s="25">
        <f>L291-136</f>
        <v>105</v>
      </c>
      <c r="N291" s="25">
        <f>L291+136</f>
        <v>377</v>
      </c>
      <c r="O291" s="26">
        <f>AVERAGE(1344,1963)</f>
        <v>1653.5</v>
      </c>
      <c r="P291" s="26">
        <v>1192</v>
      </c>
      <c r="Q291" s="25" t="s">
        <v>392</v>
      </c>
      <c r="R291" s="26" t="s">
        <v>13</v>
      </c>
      <c r="S291" s="6" t="s">
        <v>1131</v>
      </c>
      <c r="T291" s="44" t="s">
        <v>91</v>
      </c>
      <c r="U291" s="62">
        <v>4</v>
      </c>
      <c r="V291" s="62">
        <v>4.2</v>
      </c>
      <c r="W291" s="62">
        <v>3.8</v>
      </c>
      <c r="X291" s="26">
        <v>365.79662663805385</v>
      </c>
      <c r="Y291" s="26" t="s">
        <v>389</v>
      </c>
      <c r="Z291" s="26">
        <f t="shared" si="114"/>
        <v>256.05763864663766</v>
      </c>
      <c r="AA291" s="26">
        <f t="shared" si="115"/>
        <v>548.69493995708081</v>
      </c>
      <c r="AB291" s="25" t="s">
        <v>1191</v>
      </c>
      <c r="AC291" s="77" t="s">
        <v>400</v>
      </c>
      <c r="AF291" s="26" t="s">
        <v>1200</v>
      </c>
      <c r="AG291" s="25" t="s">
        <v>13</v>
      </c>
      <c r="AH291" s="7" t="s">
        <v>540</v>
      </c>
      <c r="AI291" s="25" t="s">
        <v>566</v>
      </c>
      <c r="AJ291" s="62">
        <v>305.5</v>
      </c>
      <c r="AK291" s="62">
        <f t="shared" si="110"/>
        <v>305.8</v>
      </c>
      <c r="AL291" s="62">
        <f t="shared" si="111"/>
        <v>305.2</v>
      </c>
      <c r="AM291" s="26">
        <v>354</v>
      </c>
      <c r="AN291" s="25" t="s">
        <v>389</v>
      </c>
      <c r="AO291" s="26">
        <f t="shared" si="116"/>
        <v>344.5</v>
      </c>
      <c r="AP291" s="29">
        <f t="shared" si="117"/>
        <v>708</v>
      </c>
      <c r="AQ291" s="29" t="s">
        <v>569</v>
      </c>
      <c r="AR291" s="26" t="s">
        <v>422</v>
      </c>
      <c r="AS291" s="29">
        <f t="shared" si="118"/>
        <v>354</v>
      </c>
      <c r="AT291" s="29">
        <f>AM291-19</f>
        <v>335</v>
      </c>
      <c r="AU291" s="29">
        <f>AM291+19</f>
        <v>373</v>
      </c>
      <c r="AV291" s="39" t="s">
        <v>60</v>
      </c>
      <c r="AW291" s="39"/>
      <c r="AX291" s="29" t="s">
        <v>13</v>
      </c>
      <c r="AY291" s="6" t="s">
        <v>886</v>
      </c>
      <c r="AZ291" s="97"/>
      <c r="BA291" s="72">
        <v>54.054510000000001</v>
      </c>
      <c r="BB291" s="62"/>
      <c r="BC291" s="62"/>
      <c r="BD291" s="26">
        <v>578.76896596384609</v>
      </c>
      <c r="BE291" s="25" t="s">
        <v>239</v>
      </c>
      <c r="BF291" s="26">
        <f t="shared" si="108"/>
        <v>503.29971724986501</v>
      </c>
      <c r="BG291" s="26">
        <f t="shared" si="109"/>
        <v>685.1531851119471</v>
      </c>
      <c r="BH291" s="83" t="s">
        <v>887</v>
      </c>
      <c r="BI291" s="25" t="s">
        <v>430</v>
      </c>
      <c r="BJ291" s="26">
        <v>427.83046853588399</v>
      </c>
      <c r="BK291" s="26">
        <v>791.53740426004799</v>
      </c>
      <c r="BL291" s="39"/>
      <c r="BO291" s="25"/>
      <c r="CA291" s="25" t="s">
        <v>13</v>
      </c>
      <c r="CC291" s="25" t="s">
        <v>13</v>
      </c>
    </row>
    <row r="292" spans="1:81">
      <c r="A292" s="6" t="s">
        <v>80</v>
      </c>
      <c r="B292" s="26" t="s">
        <v>156</v>
      </c>
      <c r="C292" s="68">
        <f>AVERAGE(D292:E292)</f>
        <v>143.5</v>
      </c>
      <c r="D292" s="62">
        <v>145</v>
      </c>
      <c r="E292" s="62">
        <v>142</v>
      </c>
      <c r="F292" s="23">
        <f t="shared" si="107"/>
        <v>232.35986607625014</v>
      </c>
      <c r="G292" s="23" t="s">
        <v>389</v>
      </c>
      <c r="H292" s="23">
        <f t="shared" si="119"/>
        <v>92.270439572308021</v>
      </c>
      <c r="I292" s="23">
        <f t="shared" si="119"/>
        <v>372.44929258019226</v>
      </c>
      <c r="J292" s="83" t="s">
        <v>403</v>
      </c>
      <c r="K292" s="23" t="s">
        <v>400</v>
      </c>
      <c r="L292" s="25">
        <v>345</v>
      </c>
      <c r="M292" s="25">
        <f>L292-208</f>
        <v>137</v>
      </c>
      <c r="N292" s="25">
        <f>L292+208</f>
        <v>553</v>
      </c>
      <c r="O292" s="26">
        <f>AVERAGE(1279,2660,2660,2660)</f>
        <v>2314.75</v>
      </c>
      <c r="P292" s="26">
        <v>1559</v>
      </c>
      <c r="Q292" s="25" t="s">
        <v>392</v>
      </c>
      <c r="R292" s="26" t="s">
        <v>13</v>
      </c>
      <c r="S292" s="6" t="s">
        <v>1131</v>
      </c>
      <c r="T292" s="44" t="s">
        <v>1133</v>
      </c>
      <c r="U292" s="62">
        <v>5</v>
      </c>
      <c r="V292" s="62">
        <v>5.2</v>
      </c>
      <c r="W292" s="62">
        <v>4.8</v>
      </c>
      <c r="X292" s="26">
        <v>354.75745270472146</v>
      </c>
      <c r="Y292" s="26" t="s">
        <v>389</v>
      </c>
      <c r="Z292" s="26">
        <f t="shared" si="114"/>
        <v>248.33021689330499</v>
      </c>
      <c r="AA292" s="26">
        <f t="shared" si="115"/>
        <v>532.13617905708224</v>
      </c>
      <c r="AB292" s="25" t="s">
        <v>1191</v>
      </c>
      <c r="AC292" s="77" t="s">
        <v>400</v>
      </c>
      <c r="AF292" s="26" t="s">
        <v>1201</v>
      </c>
      <c r="AG292" s="25" t="s">
        <v>13</v>
      </c>
      <c r="AH292" s="7" t="s">
        <v>540</v>
      </c>
      <c r="AI292" s="25" t="s">
        <v>566</v>
      </c>
      <c r="AJ292" s="62">
        <v>305.5</v>
      </c>
      <c r="AK292" s="62">
        <f t="shared" si="110"/>
        <v>305.8</v>
      </c>
      <c r="AL292" s="62">
        <f t="shared" si="111"/>
        <v>305.2</v>
      </c>
      <c r="AM292" s="26">
        <v>368</v>
      </c>
      <c r="AN292" s="25" t="s">
        <v>389</v>
      </c>
      <c r="AO292" s="26">
        <f t="shared" si="116"/>
        <v>359.5</v>
      </c>
      <c r="AP292" s="29">
        <f t="shared" si="117"/>
        <v>736</v>
      </c>
      <c r="AQ292" s="29" t="s">
        <v>569</v>
      </c>
      <c r="AR292" s="26" t="s">
        <v>422</v>
      </c>
      <c r="AS292" s="29">
        <f t="shared" si="118"/>
        <v>368</v>
      </c>
      <c r="AT292" s="29">
        <f>AM292-17</f>
        <v>351</v>
      </c>
      <c r="AU292" s="29">
        <f>AM292+17</f>
        <v>385</v>
      </c>
      <c r="AV292" s="39" t="s">
        <v>60</v>
      </c>
      <c r="AW292" s="39"/>
      <c r="AX292" s="29" t="s">
        <v>13</v>
      </c>
      <c r="AY292" s="6" t="s">
        <v>886</v>
      </c>
      <c r="AZ292" s="97"/>
      <c r="BA292" s="72">
        <v>54.064746</v>
      </c>
      <c r="BB292" s="62"/>
      <c r="BC292" s="62"/>
      <c r="BD292" s="26">
        <v>482.77647525841303</v>
      </c>
      <c r="BE292" s="25" t="s">
        <v>239</v>
      </c>
      <c r="BF292" s="26">
        <f t="shared" si="108"/>
        <v>419.7079706111025</v>
      </c>
      <c r="BG292" s="26">
        <f t="shared" si="109"/>
        <v>554.98958288264203</v>
      </c>
      <c r="BH292" s="83" t="s">
        <v>738</v>
      </c>
      <c r="BI292" s="25" t="s">
        <v>430</v>
      </c>
      <c r="BJ292" s="26">
        <v>356.63946596379196</v>
      </c>
      <c r="BK292" s="26">
        <v>627.20269050687091</v>
      </c>
      <c r="BL292" s="39"/>
      <c r="BO292" s="25"/>
      <c r="CA292" s="25" t="s">
        <v>13</v>
      </c>
      <c r="CC292" s="25" t="s">
        <v>13</v>
      </c>
    </row>
    <row r="293" spans="1:81">
      <c r="A293" s="6" t="s">
        <v>297</v>
      </c>
      <c r="B293" s="26" t="s">
        <v>99</v>
      </c>
      <c r="C293" s="62">
        <v>83</v>
      </c>
      <c r="D293" s="62"/>
      <c r="E293" s="62"/>
      <c r="F293" s="23">
        <f t="shared" si="107"/>
        <v>1522</v>
      </c>
      <c r="G293" s="23" t="s">
        <v>389</v>
      </c>
      <c r="H293" s="23">
        <f t="shared" si="113"/>
        <v>761</v>
      </c>
      <c r="I293" s="23">
        <f t="shared" ref="I293:I299" si="120">F293*2</f>
        <v>3044</v>
      </c>
      <c r="J293" s="23" t="s">
        <v>480</v>
      </c>
      <c r="K293" s="23" t="s">
        <v>400</v>
      </c>
      <c r="L293" s="25">
        <v>1522</v>
      </c>
      <c r="M293" s="25">
        <f>L293-173</f>
        <v>1349</v>
      </c>
      <c r="N293" s="25">
        <f>L293+173</f>
        <v>1695</v>
      </c>
      <c r="O293" s="25">
        <v>1500</v>
      </c>
      <c r="P293" s="26">
        <f t="shared" ref="P293:P298" si="121">O293</f>
        <v>1500</v>
      </c>
      <c r="R293" s="26" t="s">
        <v>13</v>
      </c>
      <c r="S293" s="6" t="s">
        <v>1131</v>
      </c>
      <c r="T293" s="44" t="s">
        <v>1134</v>
      </c>
      <c r="U293" s="62">
        <v>5.5</v>
      </c>
      <c r="V293" s="62">
        <v>5.6</v>
      </c>
      <c r="W293" s="62">
        <v>5.4</v>
      </c>
      <c r="X293" s="26">
        <v>378.92345013627465</v>
      </c>
      <c r="Y293" s="26" t="s">
        <v>389</v>
      </c>
      <c r="Z293" s="26">
        <f t="shared" si="114"/>
        <v>265.24641509539225</v>
      </c>
      <c r="AA293" s="26">
        <f t="shared" si="115"/>
        <v>568.38517520441201</v>
      </c>
      <c r="AB293" s="25" t="s">
        <v>1191</v>
      </c>
      <c r="AC293" s="77" t="s">
        <v>400</v>
      </c>
      <c r="AF293" s="26" t="s">
        <v>1202</v>
      </c>
      <c r="AG293" s="25" t="s">
        <v>13</v>
      </c>
      <c r="AH293" s="7" t="s">
        <v>540</v>
      </c>
      <c r="AI293" s="25" t="s">
        <v>566</v>
      </c>
      <c r="AJ293" s="62">
        <v>305.89999999999998</v>
      </c>
      <c r="AK293" s="62">
        <f t="shared" si="110"/>
        <v>306.2</v>
      </c>
      <c r="AL293" s="62">
        <f t="shared" si="111"/>
        <v>305.59999999999997</v>
      </c>
      <c r="AM293" s="26">
        <v>477</v>
      </c>
      <c r="AN293" s="25" t="s">
        <v>389</v>
      </c>
      <c r="AO293" s="26">
        <f t="shared" si="116"/>
        <v>464</v>
      </c>
      <c r="AP293" s="29">
        <f t="shared" si="117"/>
        <v>954</v>
      </c>
      <c r="AQ293" s="29" t="s">
        <v>569</v>
      </c>
      <c r="AR293" s="26" t="s">
        <v>422</v>
      </c>
      <c r="AS293" s="29">
        <f t="shared" si="118"/>
        <v>477</v>
      </c>
      <c r="AT293" s="29">
        <f>AM293-26</f>
        <v>451</v>
      </c>
      <c r="AU293" s="29">
        <f>AM293+26</f>
        <v>503</v>
      </c>
      <c r="AV293" s="39" t="s">
        <v>60</v>
      </c>
      <c r="AW293" s="39"/>
      <c r="AX293" s="29" t="s">
        <v>13</v>
      </c>
      <c r="AY293" s="6" t="s">
        <v>886</v>
      </c>
      <c r="AZ293" s="97"/>
      <c r="BA293" s="72">
        <v>54.074537999999997</v>
      </c>
      <c r="BB293" s="62"/>
      <c r="BC293" s="62"/>
      <c r="BD293" s="26">
        <v>547.75343319574995</v>
      </c>
      <c r="BE293" s="25" t="s">
        <v>239</v>
      </c>
      <c r="BF293" s="26">
        <f t="shared" si="108"/>
        <v>482.60693782808448</v>
      </c>
      <c r="BG293" s="26">
        <f t="shared" si="109"/>
        <v>631.79406891099052</v>
      </c>
      <c r="BH293" s="83" t="s">
        <v>887</v>
      </c>
      <c r="BI293" s="25" t="s">
        <v>430</v>
      </c>
      <c r="BJ293" s="26">
        <v>417.46044246041896</v>
      </c>
      <c r="BK293" s="26">
        <v>715.83470462623097</v>
      </c>
      <c r="BL293" s="39"/>
      <c r="BO293" s="25"/>
      <c r="CA293" s="25" t="s">
        <v>13</v>
      </c>
      <c r="CC293" s="25" t="s">
        <v>13</v>
      </c>
    </row>
    <row r="294" spans="1:81">
      <c r="A294" s="6" t="s">
        <v>297</v>
      </c>
      <c r="B294" s="26" t="s">
        <v>157</v>
      </c>
      <c r="C294" s="62">
        <v>98</v>
      </c>
      <c r="D294" s="62"/>
      <c r="E294" s="62"/>
      <c r="F294" s="23">
        <f t="shared" si="107"/>
        <v>1520</v>
      </c>
      <c r="G294" s="23" t="s">
        <v>389</v>
      </c>
      <c r="H294" s="23">
        <f t="shared" si="113"/>
        <v>760</v>
      </c>
      <c r="I294" s="23">
        <f t="shared" si="120"/>
        <v>3040</v>
      </c>
      <c r="J294" s="23" t="s">
        <v>480</v>
      </c>
      <c r="K294" s="23" t="s">
        <v>400</v>
      </c>
      <c r="L294" s="25">
        <v>1520</v>
      </c>
      <c r="M294" s="25">
        <f>L294-228</f>
        <v>1292</v>
      </c>
      <c r="N294" s="25">
        <f>L294+228</f>
        <v>1748</v>
      </c>
      <c r="O294" s="25">
        <v>2000</v>
      </c>
      <c r="P294" s="26">
        <f t="shared" si="121"/>
        <v>2000</v>
      </c>
      <c r="R294" s="26" t="s">
        <v>13</v>
      </c>
      <c r="S294" s="6" t="s">
        <v>1131</v>
      </c>
      <c r="T294" s="44" t="s">
        <v>1134</v>
      </c>
      <c r="U294" s="62">
        <v>6</v>
      </c>
      <c r="V294" s="62">
        <v>6.2</v>
      </c>
      <c r="W294" s="62">
        <v>5.8</v>
      </c>
      <c r="X294" s="26">
        <v>376.6902959677621</v>
      </c>
      <c r="Y294" s="26" t="s">
        <v>389</v>
      </c>
      <c r="Z294" s="26">
        <f t="shared" si="114"/>
        <v>263.68320717743347</v>
      </c>
      <c r="AA294" s="26">
        <f t="shared" si="115"/>
        <v>565.03544395164317</v>
      </c>
      <c r="AB294" s="25" t="s">
        <v>1191</v>
      </c>
      <c r="AC294" s="77" t="s">
        <v>400</v>
      </c>
      <c r="AF294" s="26" t="s">
        <v>1203</v>
      </c>
      <c r="AG294" s="25" t="s">
        <v>13</v>
      </c>
      <c r="AH294" s="7" t="s">
        <v>540</v>
      </c>
      <c r="AI294" s="25" t="s">
        <v>566</v>
      </c>
      <c r="AJ294" s="62">
        <v>306.7</v>
      </c>
      <c r="AK294" s="62">
        <f t="shared" si="110"/>
        <v>307</v>
      </c>
      <c r="AL294" s="62">
        <f t="shared" si="111"/>
        <v>306.39999999999998</v>
      </c>
      <c r="AM294" s="26">
        <v>551</v>
      </c>
      <c r="AN294" s="25" t="s">
        <v>389</v>
      </c>
      <c r="AO294" s="26">
        <f t="shared" si="116"/>
        <v>545.5</v>
      </c>
      <c r="AP294" s="29">
        <f t="shared" si="117"/>
        <v>1102</v>
      </c>
      <c r="AQ294" s="29" t="s">
        <v>569</v>
      </c>
      <c r="AR294" s="26" t="s">
        <v>422</v>
      </c>
      <c r="AS294" s="29">
        <f t="shared" si="118"/>
        <v>551</v>
      </c>
      <c r="AT294" s="29">
        <f>AM294-11</f>
        <v>540</v>
      </c>
      <c r="AU294" s="29">
        <f>AM294+11</f>
        <v>562</v>
      </c>
      <c r="AV294" s="39" t="s">
        <v>60</v>
      </c>
      <c r="AW294" s="39"/>
      <c r="AX294" s="29" t="s">
        <v>13</v>
      </c>
      <c r="AY294" s="6" t="s">
        <v>886</v>
      </c>
      <c r="AZ294" s="97"/>
      <c r="BA294" s="72">
        <v>54.088008000000002</v>
      </c>
      <c r="BB294" s="62"/>
      <c r="BC294" s="62"/>
      <c r="BD294" s="26">
        <v>527.38080535207689</v>
      </c>
      <c r="BE294" s="25" t="s">
        <v>239</v>
      </c>
      <c r="BF294" s="26">
        <f t="shared" si="108"/>
        <v>435.67126011619195</v>
      </c>
      <c r="BG294" s="26">
        <f t="shared" si="109"/>
        <v>708.48798674638044</v>
      </c>
      <c r="BH294" s="83" t="s">
        <v>738</v>
      </c>
      <c r="BI294" s="25" t="s">
        <v>430</v>
      </c>
      <c r="BJ294" s="26">
        <v>343.961714880307</v>
      </c>
      <c r="BK294" s="26">
        <v>889.595168140684</v>
      </c>
      <c r="BL294" s="39"/>
      <c r="BO294" s="25"/>
      <c r="CA294" s="25" t="s">
        <v>13</v>
      </c>
      <c r="CC294" s="25" t="s">
        <v>13</v>
      </c>
    </row>
    <row r="295" spans="1:81">
      <c r="A295" s="6" t="s">
        <v>297</v>
      </c>
      <c r="B295" s="26" t="s">
        <v>157</v>
      </c>
      <c r="C295" s="62">
        <v>100.5</v>
      </c>
      <c r="D295" s="62"/>
      <c r="E295" s="62"/>
      <c r="F295" s="23">
        <f t="shared" si="107"/>
        <v>1368</v>
      </c>
      <c r="G295" s="23" t="s">
        <v>389</v>
      </c>
      <c r="H295" s="23">
        <f t="shared" si="113"/>
        <v>684</v>
      </c>
      <c r="I295" s="23">
        <f t="shared" si="120"/>
        <v>2736</v>
      </c>
      <c r="J295" s="23" t="s">
        <v>480</v>
      </c>
      <c r="K295" s="23" t="s">
        <v>400</v>
      </c>
      <c r="L295" s="25">
        <v>1368</v>
      </c>
      <c r="M295" s="25">
        <f>L295-68</f>
        <v>1300</v>
      </c>
      <c r="N295" s="25">
        <f>L295+68</f>
        <v>1436</v>
      </c>
      <c r="O295" s="25">
        <v>2000</v>
      </c>
      <c r="P295" s="26">
        <f t="shared" si="121"/>
        <v>2000</v>
      </c>
      <c r="R295" s="26" t="s">
        <v>13</v>
      </c>
      <c r="S295" s="6" t="s">
        <v>1131</v>
      </c>
      <c r="T295" s="44" t="s">
        <v>1134</v>
      </c>
      <c r="U295" s="62">
        <v>6.25</v>
      </c>
      <c r="V295" s="62">
        <v>6.5</v>
      </c>
      <c r="W295" s="62">
        <v>6</v>
      </c>
      <c r="X295" s="26">
        <v>381.10319150933572</v>
      </c>
      <c r="Y295" s="26" t="s">
        <v>389</v>
      </c>
      <c r="Z295" s="26">
        <f t="shared" si="114"/>
        <v>266.77223405653501</v>
      </c>
      <c r="AA295" s="26">
        <f t="shared" si="115"/>
        <v>571.65478726400352</v>
      </c>
      <c r="AB295" s="25" t="s">
        <v>1191</v>
      </c>
      <c r="AC295" s="77" t="s">
        <v>400</v>
      </c>
      <c r="AF295" s="26" t="s">
        <v>1204</v>
      </c>
      <c r="AG295" s="25" t="s">
        <v>13</v>
      </c>
      <c r="AH295" s="7" t="s">
        <v>540</v>
      </c>
      <c r="AI295" s="25" t="s">
        <v>566</v>
      </c>
      <c r="AJ295" s="62">
        <v>306.8</v>
      </c>
      <c r="AK295" s="62">
        <f t="shared" si="110"/>
        <v>307.10000000000002</v>
      </c>
      <c r="AL295" s="62">
        <f t="shared" si="111"/>
        <v>306.5</v>
      </c>
      <c r="AM295" s="26">
        <v>492</v>
      </c>
      <c r="AN295" s="25" t="s">
        <v>389</v>
      </c>
      <c r="AO295" s="26">
        <f t="shared" si="116"/>
        <v>475</v>
      </c>
      <c r="AP295" s="29">
        <f t="shared" si="117"/>
        <v>984</v>
      </c>
      <c r="AQ295" s="29" t="s">
        <v>569</v>
      </c>
      <c r="AR295" s="26" t="s">
        <v>422</v>
      </c>
      <c r="AS295" s="29">
        <f t="shared" si="118"/>
        <v>492</v>
      </c>
      <c r="AT295" s="29">
        <f>AM295-34</f>
        <v>458</v>
      </c>
      <c r="AU295" s="29">
        <f>AM295+34</f>
        <v>526</v>
      </c>
      <c r="AV295" s="39" t="s">
        <v>60</v>
      </c>
      <c r="AW295" s="39"/>
      <c r="AX295" s="29" t="s">
        <v>13</v>
      </c>
      <c r="AY295" s="6" t="s">
        <v>886</v>
      </c>
      <c r="AZ295" s="97"/>
      <c r="BA295" s="72">
        <v>56.065999999999995</v>
      </c>
      <c r="BB295" s="62"/>
      <c r="BC295" s="62"/>
      <c r="BD295" s="26">
        <v>946.36372627661694</v>
      </c>
      <c r="BE295" s="25" t="s">
        <v>239</v>
      </c>
      <c r="BF295" s="26">
        <f t="shared" si="108"/>
        <v>862.92492176654741</v>
      </c>
      <c r="BG295" s="26">
        <f t="shared" si="109"/>
        <v>1041.9325654846734</v>
      </c>
      <c r="BH295" s="83" t="s">
        <v>887</v>
      </c>
      <c r="BI295" s="25" t="s">
        <v>430</v>
      </c>
      <c r="BJ295" s="26">
        <v>779.486117256478</v>
      </c>
      <c r="BK295" s="26">
        <v>1137.5014046927299</v>
      </c>
      <c r="BL295" s="39"/>
      <c r="BO295" s="25"/>
      <c r="CA295" s="25" t="s">
        <v>13</v>
      </c>
      <c r="CC295" s="25" t="s">
        <v>13</v>
      </c>
    </row>
    <row r="296" spans="1:81">
      <c r="A296" s="6" t="s">
        <v>297</v>
      </c>
      <c r="B296" s="26" t="s">
        <v>157</v>
      </c>
      <c r="C296" s="62">
        <v>102</v>
      </c>
      <c r="D296" s="62"/>
      <c r="E296" s="62"/>
      <c r="F296" s="23">
        <f t="shared" si="107"/>
        <v>1428</v>
      </c>
      <c r="G296" s="23" t="s">
        <v>389</v>
      </c>
      <c r="H296" s="23">
        <f t="shared" si="113"/>
        <v>714</v>
      </c>
      <c r="I296" s="23">
        <f t="shared" si="120"/>
        <v>2856</v>
      </c>
      <c r="J296" s="23" t="s">
        <v>480</v>
      </c>
      <c r="K296" s="23" t="s">
        <v>400</v>
      </c>
      <c r="L296" s="25">
        <v>1428</v>
      </c>
      <c r="M296" s="25">
        <f>L296-128</f>
        <v>1300</v>
      </c>
      <c r="N296" s="25">
        <f>L296+128</f>
        <v>1556</v>
      </c>
      <c r="O296" s="25">
        <v>2000</v>
      </c>
      <c r="P296" s="26">
        <f t="shared" si="121"/>
        <v>2000</v>
      </c>
      <c r="R296" s="26" t="s">
        <v>13</v>
      </c>
      <c r="S296" s="6" t="s">
        <v>1131</v>
      </c>
      <c r="T296" s="44" t="s">
        <v>1134</v>
      </c>
      <c r="U296" s="62">
        <v>7.25</v>
      </c>
      <c r="V296" s="62">
        <v>7.5</v>
      </c>
      <c r="W296" s="62">
        <v>7</v>
      </c>
      <c r="X296" s="26">
        <v>354.31009834108283</v>
      </c>
      <c r="Y296" s="26" t="s">
        <v>389</v>
      </c>
      <c r="Z296" s="26">
        <f t="shared" si="114"/>
        <v>248.01706883875798</v>
      </c>
      <c r="AA296" s="26">
        <f t="shared" si="115"/>
        <v>531.46514751162431</v>
      </c>
      <c r="AB296" s="25" t="s">
        <v>1191</v>
      </c>
      <c r="AC296" s="77" t="s">
        <v>400</v>
      </c>
      <c r="AF296" s="26" t="s">
        <v>1205</v>
      </c>
      <c r="AG296" s="25" t="s">
        <v>13</v>
      </c>
      <c r="AH296" s="7" t="s">
        <v>540</v>
      </c>
      <c r="AI296" s="25" t="s">
        <v>566</v>
      </c>
      <c r="AJ296" s="62">
        <v>306.8</v>
      </c>
      <c r="AK296" s="62">
        <f t="shared" si="110"/>
        <v>307.10000000000002</v>
      </c>
      <c r="AL296" s="62">
        <f t="shared" si="111"/>
        <v>306.5</v>
      </c>
      <c r="AM296" s="26">
        <v>473</v>
      </c>
      <c r="AN296" s="25" t="s">
        <v>389</v>
      </c>
      <c r="AO296" s="26">
        <f t="shared" si="116"/>
        <v>448</v>
      </c>
      <c r="AP296" s="29">
        <f t="shared" si="117"/>
        <v>946</v>
      </c>
      <c r="AQ296" s="29" t="s">
        <v>569</v>
      </c>
      <c r="AR296" s="26" t="s">
        <v>422</v>
      </c>
      <c r="AS296" s="29">
        <f t="shared" si="118"/>
        <v>473</v>
      </c>
      <c r="AT296" s="29">
        <f>AM296-50</f>
        <v>423</v>
      </c>
      <c r="AU296" s="29">
        <f>AM296+50</f>
        <v>523</v>
      </c>
      <c r="AV296" s="39" t="s">
        <v>60</v>
      </c>
      <c r="AW296" s="39"/>
      <c r="AX296" s="29" t="s">
        <v>13</v>
      </c>
      <c r="AY296" s="6" t="s">
        <v>886</v>
      </c>
      <c r="AZ296" s="97"/>
      <c r="BA296" s="72">
        <v>55.929000000000002</v>
      </c>
      <c r="BB296" s="62"/>
      <c r="BC296" s="62"/>
      <c r="BD296" s="26">
        <v>684.83299336502296</v>
      </c>
      <c r="BE296" s="25" t="s">
        <v>239</v>
      </c>
      <c r="BF296" s="26">
        <f t="shared" si="108"/>
        <v>621.38222597026697</v>
      </c>
      <c r="BG296" s="26">
        <f t="shared" si="109"/>
        <v>770.60172084186593</v>
      </c>
      <c r="BH296" s="83" t="s">
        <v>738</v>
      </c>
      <c r="BI296" s="25" t="s">
        <v>430</v>
      </c>
      <c r="BJ296" s="26">
        <v>557.93145857551099</v>
      </c>
      <c r="BK296" s="26">
        <v>856.37044831870901</v>
      </c>
      <c r="BL296" s="39"/>
      <c r="BO296" s="25"/>
      <c r="CA296" s="25" t="s">
        <v>13</v>
      </c>
      <c r="CC296" s="25" t="s">
        <v>13</v>
      </c>
    </row>
    <row r="297" spans="1:81">
      <c r="A297" s="6" t="s">
        <v>297</v>
      </c>
      <c r="B297" s="26" t="s">
        <v>157</v>
      </c>
      <c r="C297" s="62">
        <v>103.5</v>
      </c>
      <c r="D297" s="62"/>
      <c r="E297" s="62"/>
      <c r="F297" s="23">
        <f t="shared" si="107"/>
        <v>1060</v>
      </c>
      <c r="G297" s="23" t="s">
        <v>389</v>
      </c>
      <c r="H297" s="23">
        <f t="shared" si="113"/>
        <v>530</v>
      </c>
      <c r="I297" s="23">
        <f t="shared" si="120"/>
        <v>2120</v>
      </c>
      <c r="J297" s="23" t="s">
        <v>480</v>
      </c>
      <c r="K297" s="23" t="s">
        <v>400</v>
      </c>
      <c r="L297" s="25">
        <v>1060</v>
      </c>
      <c r="M297" s="25">
        <f>L297-76</f>
        <v>984</v>
      </c>
      <c r="N297" s="25">
        <f>L297+76</f>
        <v>1136</v>
      </c>
      <c r="O297" s="25">
        <v>2000</v>
      </c>
      <c r="P297" s="26">
        <f t="shared" si="121"/>
        <v>2000</v>
      </c>
      <c r="R297" s="26" t="s">
        <v>13</v>
      </c>
      <c r="S297" s="6" t="s">
        <v>1131</v>
      </c>
      <c r="T297" s="44" t="s">
        <v>1134</v>
      </c>
      <c r="U297" s="62">
        <v>7.75</v>
      </c>
      <c r="V297" s="62">
        <v>8</v>
      </c>
      <c r="W297" s="62">
        <v>7.5</v>
      </c>
      <c r="X297" s="26">
        <v>371.21963642462322</v>
      </c>
      <c r="Y297" s="26" t="s">
        <v>389</v>
      </c>
      <c r="Z297" s="26">
        <f t="shared" si="114"/>
        <v>259.85374549723622</v>
      </c>
      <c r="AA297" s="26">
        <f t="shared" si="115"/>
        <v>556.82945463693477</v>
      </c>
      <c r="AB297" s="25" t="s">
        <v>1191</v>
      </c>
      <c r="AC297" s="77" t="s">
        <v>400</v>
      </c>
      <c r="AF297" s="26" t="s">
        <v>1206</v>
      </c>
      <c r="AG297" s="25" t="s">
        <v>13</v>
      </c>
      <c r="AH297" s="7" t="s">
        <v>540</v>
      </c>
      <c r="AI297" s="25" t="s">
        <v>566</v>
      </c>
      <c r="AJ297" s="62">
        <v>306.8</v>
      </c>
      <c r="AK297" s="62">
        <f t="shared" si="110"/>
        <v>307.10000000000002</v>
      </c>
      <c r="AL297" s="62">
        <f t="shared" si="111"/>
        <v>306.5</v>
      </c>
      <c r="AM297" s="26">
        <v>429</v>
      </c>
      <c r="AN297" s="25" t="s">
        <v>389</v>
      </c>
      <c r="AO297" s="26">
        <f t="shared" si="116"/>
        <v>409</v>
      </c>
      <c r="AP297" s="29">
        <f t="shared" si="117"/>
        <v>858</v>
      </c>
      <c r="AQ297" s="29" t="s">
        <v>569</v>
      </c>
      <c r="AR297" s="26" t="s">
        <v>422</v>
      </c>
      <c r="AS297" s="29">
        <f t="shared" si="118"/>
        <v>429</v>
      </c>
      <c r="AT297" s="29">
        <f>AM297-40</f>
        <v>389</v>
      </c>
      <c r="AU297" s="29">
        <f>AM297+40</f>
        <v>469</v>
      </c>
      <c r="AV297" s="39" t="s">
        <v>60</v>
      </c>
      <c r="AW297" s="39"/>
      <c r="AX297" s="29" t="s">
        <v>13</v>
      </c>
      <c r="AY297" s="6" t="s">
        <v>886</v>
      </c>
      <c r="AZ297" s="97"/>
      <c r="BA297" s="72">
        <v>55.918999999999997</v>
      </c>
      <c r="BB297" s="62"/>
      <c r="BC297" s="62"/>
      <c r="BD297" s="26">
        <v>1091.1220986073999</v>
      </c>
      <c r="BE297" s="25" t="s">
        <v>239</v>
      </c>
      <c r="BF297" s="26">
        <f t="shared" si="108"/>
        <v>996.77906878501449</v>
      </c>
      <c r="BG297" s="26">
        <f t="shared" si="109"/>
        <v>1198.398188715915</v>
      </c>
      <c r="BH297" s="83" t="s">
        <v>887</v>
      </c>
      <c r="BI297" s="25" t="s">
        <v>430</v>
      </c>
      <c r="BJ297" s="26">
        <v>902.43603896262903</v>
      </c>
      <c r="BK297" s="26">
        <v>1305.6742788244301</v>
      </c>
      <c r="BL297" s="39"/>
      <c r="BO297" s="25"/>
      <c r="CA297" s="25" t="s">
        <v>13</v>
      </c>
      <c r="CC297" s="25" t="s">
        <v>13</v>
      </c>
    </row>
    <row r="298" spans="1:81">
      <c r="A298" s="6" t="s">
        <v>297</v>
      </c>
      <c r="B298" s="26" t="s">
        <v>157</v>
      </c>
      <c r="C298" s="62">
        <v>113.5</v>
      </c>
      <c r="D298" s="62"/>
      <c r="E298" s="62"/>
      <c r="F298" s="23">
        <f t="shared" si="107"/>
        <v>449</v>
      </c>
      <c r="G298" s="23" t="s">
        <v>389</v>
      </c>
      <c r="H298" s="23">
        <f t="shared" si="113"/>
        <v>224.5</v>
      </c>
      <c r="I298" s="23">
        <f t="shared" si="120"/>
        <v>898</v>
      </c>
      <c r="J298" s="23" t="s">
        <v>480</v>
      </c>
      <c r="K298" s="23" t="s">
        <v>400</v>
      </c>
      <c r="L298" s="25">
        <v>449</v>
      </c>
      <c r="M298" s="25">
        <f>L298-140</f>
        <v>309</v>
      </c>
      <c r="N298" s="25">
        <f>L298+140</f>
        <v>589</v>
      </c>
      <c r="O298" s="25">
        <v>2500</v>
      </c>
      <c r="P298" s="26">
        <f t="shared" si="121"/>
        <v>2500</v>
      </c>
      <c r="R298" s="26" t="s">
        <v>13</v>
      </c>
      <c r="S298" s="6" t="s">
        <v>1131</v>
      </c>
      <c r="T298" s="44" t="s">
        <v>1135</v>
      </c>
      <c r="U298" s="62">
        <v>8</v>
      </c>
      <c r="V298" s="62">
        <v>11.62</v>
      </c>
      <c r="W298" s="62">
        <v>5.3330000000000002</v>
      </c>
      <c r="X298" s="26">
        <v>321.72048726453085</v>
      </c>
      <c r="Y298" s="26" t="s">
        <v>389</v>
      </c>
      <c r="Z298" s="26">
        <f t="shared" si="114"/>
        <v>225.20434108517156</v>
      </c>
      <c r="AA298" s="26">
        <f t="shared" si="115"/>
        <v>482.58073089679624</v>
      </c>
      <c r="AB298" s="25" t="s">
        <v>1191</v>
      </c>
      <c r="AC298" s="77" t="s">
        <v>400</v>
      </c>
      <c r="AF298" s="26" t="s">
        <v>1207</v>
      </c>
      <c r="AG298" s="25" t="s">
        <v>13</v>
      </c>
      <c r="AH298" s="7" t="s">
        <v>540</v>
      </c>
      <c r="AI298" s="25" t="s">
        <v>566</v>
      </c>
      <c r="AJ298" s="62">
        <v>306.8</v>
      </c>
      <c r="AK298" s="62">
        <f t="shared" si="110"/>
        <v>307.10000000000002</v>
      </c>
      <c r="AL298" s="62">
        <f t="shared" si="111"/>
        <v>306.5</v>
      </c>
      <c r="AM298" s="26">
        <v>458</v>
      </c>
      <c r="AN298" s="25" t="s">
        <v>389</v>
      </c>
      <c r="AO298" s="26">
        <f t="shared" si="116"/>
        <v>435</v>
      </c>
      <c r="AP298" s="29">
        <f t="shared" si="117"/>
        <v>916</v>
      </c>
      <c r="AQ298" s="29" t="s">
        <v>569</v>
      </c>
      <c r="AR298" s="26" t="s">
        <v>422</v>
      </c>
      <c r="AS298" s="29">
        <f t="shared" si="118"/>
        <v>458</v>
      </c>
      <c r="AT298" s="29">
        <f>AM298-46</f>
        <v>412</v>
      </c>
      <c r="AU298" s="29">
        <f>AM298+46</f>
        <v>504</v>
      </c>
      <c r="AV298" s="39" t="s">
        <v>60</v>
      </c>
      <c r="AW298" s="39"/>
      <c r="AX298" s="29" t="s">
        <v>13</v>
      </c>
      <c r="AY298" s="6" t="s">
        <v>886</v>
      </c>
      <c r="AZ298" s="97"/>
      <c r="BA298" s="72">
        <v>55.882692307692309</v>
      </c>
      <c r="BB298" s="62"/>
      <c r="BC298" s="62"/>
      <c r="BD298" s="26">
        <v>1731.83587681109</v>
      </c>
      <c r="BE298" s="25" t="s">
        <v>239</v>
      </c>
      <c r="BF298" s="26">
        <f t="shared" si="108"/>
        <v>1538.154286732635</v>
      </c>
      <c r="BG298" s="26">
        <f t="shared" si="109"/>
        <v>1976.4648557580299</v>
      </c>
      <c r="BH298" s="83" t="s">
        <v>738</v>
      </c>
      <c r="BI298" s="25" t="s">
        <v>430</v>
      </c>
      <c r="BJ298" s="26">
        <v>1344.47269665418</v>
      </c>
      <c r="BK298" s="26">
        <v>2221.09383470497</v>
      </c>
      <c r="BL298" s="39"/>
      <c r="BO298" s="25"/>
      <c r="CA298" s="25" t="s">
        <v>13</v>
      </c>
      <c r="CC298" s="25" t="s">
        <v>13</v>
      </c>
    </row>
    <row r="299" spans="1:81">
      <c r="A299" s="6" t="s">
        <v>161</v>
      </c>
      <c r="B299" s="26" t="s">
        <v>159</v>
      </c>
      <c r="C299" s="68">
        <f>AVERAGE(D299:E299)</f>
        <v>157.80000000000001</v>
      </c>
      <c r="D299" s="62">
        <v>163.5</v>
      </c>
      <c r="E299" s="62">
        <v>152.1</v>
      </c>
      <c r="F299" s="23">
        <f t="shared" si="107"/>
        <v>557.66666666666663</v>
      </c>
      <c r="G299" s="23" t="s">
        <v>389</v>
      </c>
      <c r="H299" s="23">
        <f t="shared" si="113"/>
        <v>278.83333333333331</v>
      </c>
      <c r="I299" s="23">
        <f t="shared" si="120"/>
        <v>1115.3333333333333</v>
      </c>
      <c r="J299" s="23" t="s">
        <v>480</v>
      </c>
      <c r="K299" s="23" t="s">
        <v>400</v>
      </c>
      <c r="L299" s="25">
        <v>1673</v>
      </c>
      <c r="M299" s="25">
        <f>L299-338</f>
        <v>1335</v>
      </c>
      <c r="N299" s="25">
        <f>L299+338</f>
        <v>2011</v>
      </c>
      <c r="O299" s="25">
        <v>6000</v>
      </c>
      <c r="P299" s="26">
        <v>2000</v>
      </c>
      <c r="Q299" s="26" t="s">
        <v>331</v>
      </c>
      <c r="R299" s="26" t="s">
        <v>13</v>
      </c>
      <c r="S299" s="6" t="s">
        <v>1131</v>
      </c>
      <c r="T299" s="44" t="s">
        <v>1134</v>
      </c>
      <c r="U299" s="62">
        <v>8.25</v>
      </c>
      <c r="V299" s="62">
        <v>8.5</v>
      </c>
      <c r="W299" s="62">
        <v>8</v>
      </c>
      <c r="X299" s="26">
        <v>362.23801149021006</v>
      </c>
      <c r="Y299" s="26" t="s">
        <v>389</v>
      </c>
      <c r="Z299" s="26">
        <f t="shared" si="114"/>
        <v>253.56660804314703</v>
      </c>
      <c r="AA299" s="26">
        <f t="shared" si="115"/>
        <v>543.35701723531508</v>
      </c>
      <c r="AB299" s="25" t="s">
        <v>1191</v>
      </c>
      <c r="AC299" s="77" t="s">
        <v>400</v>
      </c>
      <c r="AF299" s="26" t="s">
        <v>1208</v>
      </c>
      <c r="AG299" s="25" t="s">
        <v>13</v>
      </c>
      <c r="AH299" s="7" t="s">
        <v>540</v>
      </c>
      <c r="AI299" s="25" t="s">
        <v>566</v>
      </c>
      <c r="AJ299" s="62">
        <v>306.8</v>
      </c>
      <c r="AK299" s="62">
        <f t="shared" si="110"/>
        <v>307.10000000000002</v>
      </c>
      <c r="AL299" s="62">
        <f t="shared" si="111"/>
        <v>306.5</v>
      </c>
      <c r="AM299" s="26">
        <v>409</v>
      </c>
      <c r="AN299" s="25" t="s">
        <v>389</v>
      </c>
      <c r="AO299" s="26">
        <f t="shared" si="116"/>
        <v>398</v>
      </c>
      <c r="AP299" s="29">
        <f t="shared" si="117"/>
        <v>818</v>
      </c>
      <c r="AQ299" s="29" t="s">
        <v>569</v>
      </c>
      <c r="AR299" s="26" t="s">
        <v>422</v>
      </c>
      <c r="AS299" s="29">
        <f t="shared" si="118"/>
        <v>409</v>
      </c>
      <c r="AT299" s="29">
        <f>AM299-22</f>
        <v>387</v>
      </c>
      <c r="AU299" s="29">
        <f>AM299+22</f>
        <v>431</v>
      </c>
      <c r="AV299" s="39" t="s">
        <v>60</v>
      </c>
      <c r="AW299" s="39"/>
      <c r="AX299" s="29" t="s">
        <v>13</v>
      </c>
      <c r="AY299" s="6" t="s">
        <v>886</v>
      </c>
      <c r="AZ299" s="97"/>
      <c r="BA299" s="72">
        <v>55.83645833333334</v>
      </c>
      <c r="BB299" s="62"/>
      <c r="BC299" s="62"/>
      <c r="BD299" s="26">
        <v>1932.70403330318</v>
      </c>
      <c r="BE299" s="25" t="s">
        <v>239</v>
      </c>
      <c r="BF299" s="26">
        <f t="shared" si="108"/>
        <v>1735.0739391587249</v>
      </c>
      <c r="BG299" s="26">
        <f t="shared" si="109"/>
        <v>2202.845965787405</v>
      </c>
      <c r="BH299" s="83" t="s">
        <v>887</v>
      </c>
      <c r="BI299" s="25" t="s">
        <v>430</v>
      </c>
      <c r="BJ299" s="26">
        <v>1537.44384501427</v>
      </c>
      <c r="BK299" s="26">
        <v>2472.98789827163</v>
      </c>
      <c r="BL299" s="39"/>
      <c r="BO299" s="25"/>
      <c r="CA299" s="25" t="s">
        <v>13</v>
      </c>
      <c r="CC299" s="25" t="s">
        <v>13</v>
      </c>
    </row>
    <row r="300" spans="1:81">
      <c r="A300" s="6" t="s">
        <v>385</v>
      </c>
      <c r="B300" s="26" t="s">
        <v>160</v>
      </c>
      <c r="C300" s="62">
        <f>AVERAGE(D300:E300)</f>
        <v>5.5</v>
      </c>
      <c r="D300" s="62">
        <v>6.1</v>
      </c>
      <c r="E300" s="62">
        <v>4.9000000000000004</v>
      </c>
      <c r="F300" s="23">
        <f t="shared" si="107"/>
        <v>222</v>
      </c>
      <c r="G300" s="23" t="s">
        <v>239</v>
      </c>
      <c r="H300" s="23">
        <f>M300*$P300/$O300</f>
        <v>112</v>
      </c>
      <c r="I300" s="23">
        <f>N300*$P300/$O300</f>
        <v>524</v>
      </c>
      <c r="J300" s="23" t="s">
        <v>405</v>
      </c>
      <c r="K300" s="23" t="s">
        <v>404</v>
      </c>
      <c r="L300" s="25">
        <v>222</v>
      </c>
      <c r="M300" s="25">
        <v>112</v>
      </c>
      <c r="N300" s="25">
        <v>524</v>
      </c>
      <c r="O300" s="26">
        <v>440</v>
      </c>
      <c r="P300" s="25">
        <v>440</v>
      </c>
      <c r="Q300" s="25" t="s">
        <v>330</v>
      </c>
      <c r="R300" s="26" t="s">
        <v>13</v>
      </c>
      <c r="S300" s="6" t="s">
        <v>1131</v>
      </c>
      <c r="T300" s="44" t="s">
        <v>1134</v>
      </c>
      <c r="U300" s="62">
        <v>9.25</v>
      </c>
      <c r="V300" s="62">
        <v>9.5</v>
      </c>
      <c r="W300" s="62">
        <v>9</v>
      </c>
      <c r="X300" s="26">
        <v>353.81771768204857</v>
      </c>
      <c r="Y300" s="26" t="s">
        <v>389</v>
      </c>
      <c r="Z300" s="26">
        <f t="shared" si="114"/>
        <v>247.67240237743397</v>
      </c>
      <c r="AA300" s="26">
        <f t="shared" si="115"/>
        <v>530.72657652307282</v>
      </c>
      <c r="AB300" s="25" t="s">
        <v>1191</v>
      </c>
      <c r="AC300" s="77" t="s">
        <v>400</v>
      </c>
      <c r="AF300" s="26" t="s">
        <v>1209</v>
      </c>
      <c r="AG300" s="25" t="s">
        <v>13</v>
      </c>
      <c r="AH300" s="7" t="s">
        <v>540</v>
      </c>
      <c r="AI300" s="25" t="s">
        <v>566</v>
      </c>
      <c r="AJ300" s="62">
        <v>306.8</v>
      </c>
      <c r="AK300" s="62">
        <f t="shared" si="110"/>
        <v>307.10000000000002</v>
      </c>
      <c r="AL300" s="62">
        <f t="shared" si="111"/>
        <v>306.5</v>
      </c>
      <c r="AM300" s="26">
        <v>509</v>
      </c>
      <c r="AN300" s="25" t="s">
        <v>389</v>
      </c>
      <c r="AO300" s="26">
        <f t="shared" si="116"/>
        <v>484</v>
      </c>
      <c r="AP300" s="29">
        <f t="shared" si="117"/>
        <v>1018</v>
      </c>
      <c r="AQ300" s="29" t="s">
        <v>569</v>
      </c>
      <c r="AR300" s="26" t="s">
        <v>422</v>
      </c>
      <c r="AS300" s="29">
        <f t="shared" si="118"/>
        <v>509</v>
      </c>
      <c r="AT300" s="29">
        <f>AM300-50</f>
        <v>459</v>
      </c>
      <c r="AU300" s="29">
        <f>AM300+50</f>
        <v>559</v>
      </c>
      <c r="AV300" s="39" t="s">
        <v>60</v>
      </c>
      <c r="AW300" s="39"/>
      <c r="AX300" s="29" t="s">
        <v>13</v>
      </c>
      <c r="AY300" s="6" t="s">
        <v>886</v>
      </c>
      <c r="AZ300" s="97"/>
      <c r="BA300" s="72">
        <v>55.797499999999999</v>
      </c>
      <c r="BB300" s="62"/>
      <c r="BC300" s="62"/>
      <c r="BD300" s="26">
        <v>2037.3836024364798</v>
      </c>
      <c r="BE300" s="25" t="s">
        <v>239</v>
      </c>
      <c r="BF300" s="26">
        <f t="shared" si="108"/>
        <v>1818.8693883554599</v>
      </c>
      <c r="BG300" s="26">
        <f t="shared" si="109"/>
        <v>2336.3658113398351</v>
      </c>
      <c r="BH300" s="83" t="s">
        <v>738</v>
      </c>
      <c r="BI300" s="25" t="s">
        <v>430</v>
      </c>
      <c r="BJ300" s="26">
        <v>1600.3551742744401</v>
      </c>
      <c r="BK300" s="26">
        <v>2635.3480202431901</v>
      </c>
      <c r="BL300" s="39"/>
      <c r="BO300" s="25"/>
      <c r="CA300" s="25" t="s">
        <v>13</v>
      </c>
      <c r="CC300" s="25" t="s">
        <v>13</v>
      </c>
    </row>
    <row r="301" spans="1:81">
      <c r="A301" s="6" t="s">
        <v>249</v>
      </c>
      <c r="B301" s="25" t="s">
        <v>271</v>
      </c>
      <c r="C301" s="62">
        <v>50.4846</v>
      </c>
      <c r="D301" s="62">
        <f t="shared" ref="D301:D310" si="122">C301+0.05</f>
        <v>50.534599999999998</v>
      </c>
      <c r="E301" s="62">
        <f t="shared" ref="E301:E310" si="123">C301-0.05</f>
        <v>50.434600000000003</v>
      </c>
      <c r="F301" s="26">
        <f t="shared" ref="F301:F310" si="124">L301</f>
        <v>683.76099999999997</v>
      </c>
      <c r="G301" s="23" t="s">
        <v>389</v>
      </c>
      <c r="H301" s="26">
        <f>M301</f>
        <v>574.35900000000004</v>
      </c>
      <c r="I301" s="26">
        <f>N301</f>
        <v>806.83799999999997</v>
      </c>
      <c r="J301" s="83" t="s">
        <v>403</v>
      </c>
      <c r="K301" s="23" t="s">
        <v>400</v>
      </c>
      <c r="L301" s="26">
        <v>683.76099999999997</v>
      </c>
      <c r="M301" s="26">
        <v>574.35900000000004</v>
      </c>
      <c r="N301" s="26">
        <v>806.83799999999997</v>
      </c>
      <c r="Q301" s="25" t="s">
        <v>386</v>
      </c>
      <c r="R301" s="26" t="s">
        <v>13</v>
      </c>
      <c r="S301" s="6" t="s">
        <v>1131</v>
      </c>
      <c r="T301" s="44" t="s">
        <v>1134</v>
      </c>
      <c r="U301" s="62">
        <v>9.3000000000000007</v>
      </c>
      <c r="V301" s="62">
        <v>9.5</v>
      </c>
      <c r="W301" s="62">
        <v>9</v>
      </c>
      <c r="X301" s="26">
        <v>365.6539990728561</v>
      </c>
      <c r="Y301" s="26" t="s">
        <v>389</v>
      </c>
      <c r="Z301" s="26">
        <f t="shared" si="114"/>
        <v>255.95779935099924</v>
      </c>
      <c r="AA301" s="26">
        <f t="shared" si="115"/>
        <v>548.48099860928414</v>
      </c>
      <c r="AB301" s="25" t="s">
        <v>1191</v>
      </c>
      <c r="AC301" s="77" t="s">
        <v>400</v>
      </c>
      <c r="AF301" s="26" t="s">
        <v>1210</v>
      </c>
      <c r="AG301" s="25" t="s">
        <v>13</v>
      </c>
      <c r="AH301" s="7" t="s">
        <v>540</v>
      </c>
      <c r="AI301" s="25" t="s">
        <v>566</v>
      </c>
      <c r="AJ301" s="62">
        <v>307.5</v>
      </c>
      <c r="AK301" s="62">
        <f t="shared" si="110"/>
        <v>307.8</v>
      </c>
      <c r="AL301" s="62">
        <f t="shared" si="111"/>
        <v>307.2</v>
      </c>
      <c r="AM301" s="26">
        <v>522</v>
      </c>
      <c r="AN301" s="25" t="s">
        <v>389</v>
      </c>
      <c r="AO301" s="26">
        <f t="shared" si="116"/>
        <v>504.5</v>
      </c>
      <c r="AP301" s="29">
        <f t="shared" si="117"/>
        <v>1044</v>
      </c>
      <c r="AQ301" s="29" t="s">
        <v>569</v>
      </c>
      <c r="AR301" s="26" t="s">
        <v>422</v>
      </c>
      <c r="AS301" s="29">
        <f t="shared" si="118"/>
        <v>522</v>
      </c>
      <c r="AT301" s="29">
        <f>AM301-35</f>
        <v>487</v>
      </c>
      <c r="AU301" s="29">
        <f>AM301+35</f>
        <v>557</v>
      </c>
      <c r="AV301" s="39" t="s">
        <v>60</v>
      </c>
      <c r="AW301" s="39"/>
      <c r="AX301" s="29" t="s">
        <v>13</v>
      </c>
      <c r="AY301" s="6" t="s">
        <v>886</v>
      </c>
      <c r="AZ301" s="97"/>
      <c r="BA301" s="72">
        <v>55.683837209302325</v>
      </c>
      <c r="BB301" s="62"/>
      <c r="BC301" s="62"/>
      <c r="BD301" s="26">
        <v>1068.5009432220002</v>
      </c>
      <c r="BE301" s="25" t="s">
        <v>239</v>
      </c>
      <c r="BF301" s="26">
        <f t="shared" si="108"/>
        <v>979.20234935362464</v>
      </c>
      <c r="BG301" s="26">
        <f t="shared" si="109"/>
        <v>1175.299562302695</v>
      </c>
      <c r="BH301" s="83" t="s">
        <v>887</v>
      </c>
      <c r="BI301" s="25" t="s">
        <v>430</v>
      </c>
      <c r="BJ301" s="26">
        <v>889.90375548524901</v>
      </c>
      <c r="BK301" s="26">
        <v>1282.0981813833901</v>
      </c>
      <c r="BL301" s="39"/>
      <c r="BO301" s="25"/>
      <c r="CA301" s="25" t="s">
        <v>13</v>
      </c>
      <c r="CC301" s="25" t="s">
        <v>13</v>
      </c>
    </row>
    <row r="302" spans="1:81">
      <c r="A302" s="6" t="s">
        <v>249</v>
      </c>
      <c r="B302" s="25" t="s">
        <v>271</v>
      </c>
      <c r="C302" s="62">
        <v>50.731299999999997</v>
      </c>
      <c r="D302" s="62">
        <f t="shared" si="122"/>
        <v>50.781299999999995</v>
      </c>
      <c r="E302" s="62">
        <f t="shared" si="123"/>
        <v>50.6813</v>
      </c>
      <c r="F302" s="26">
        <f t="shared" si="124"/>
        <v>396.58100000000002</v>
      </c>
      <c r="G302" s="23" t="s">
        <v>389</v>
      </c>
      <c r="H302" s="26">
        <f t="shared" ref="H302:I310" si="125">M302</f>
        <v>246</v>
      </c>
      <c r="I302" s="26">
        <f t="shared" si="125"/>
        <v>533.33299999999997</v>
      </c>
      <c r="J302" s="83" t="s">
        <v>403</v>
      </c>
      <c r="K302" s="23" t="s">
        <v>400</v>
      </c>
      <c r="L302" s="26">
        <v>396.58100000000002</v>
      </c>
      <c r="M302" s="26">
        <v>246</v>
      </c>
      <c r="N302" s="26">
        <v>533.33299999999997</v>
      </c>
      <c r="Q302" s="25" t="s">
        <v>386</v>
      </c>
      <c r="R302" s="26" t="s">
        <v>13</v>
      </c>
      <c r="S302" s="6" t="s">
        <v>1131</v>
      </c>
      <c r="T302" s="44" t="s">
        <v>1134</v>
      </c>
      <c r="U302" s="62">
        <v>10.5</v>
      </c>
      <c r="V302" s="62">
        <v>10.7</v>
      </c>
      <c r="W302" s="62">
        <v>10.199999999999999</v>
      </c>
      <c r="X302" s="26">
        <v>373.23101207007147</v>
      </c>
      <c r="Y302" s="26" t="s">
        <v>389</v>
      </c>
      <c r="Z302" s="26">
        <f t="shared" si="114"/>
        <v>261.26170844904999</v>
      </c>
      <c r="AA302" s="26">
        <f t="shared" si="115"/>
        <v>559.84651810510718</v>
      </c>
      <c r="AB302" s="25" t="s">
        <v>1191</v>
      </c>
      <c r="AC302" s="77" t="s">
        <v>400</v>
      </c>
      <c r="AF302" s="26" t="s">
        <v>1211</v>
      </c>
      <c r="AG302" s="25" t="s">
        <v>13</v>
      </c>
      <c r="AH302" s="7" t="s">
        <v>540</v>
      </c>
      <c r="AI302" s="25" t="s">
        <v>566</v>
      </c>
      <c r="AJ302" s="62">
        <v>307.5</v>
      </c>
      <c r="AK302" s="62">
        <f t="shared" si="110"/>
        <v>307.8</v>
      </c>
      <c r="AL302" s="62">
        <f t="shared" si="111"/>
        <v>307.2</v>
      </c>
      <c r="AM302" s="26">
        <v>485</v>
      </c>
      <c r="AN302" s="25" t="s">
        <v>389</v>
      </c>
      <c r="AO302" s="26">
        <f t="shared" si="116"/>
        <v>470</v>
      </c>
      <c r="AP302" s="29">
        <f t="shared" si="117"/>
        <v>970</v>
      </c>
      <c r="AQ302" s="29" t="s">
        <v>569</v>
      </c>
      <c r="AR302" s="26" t="s">
        <v>422</v>
      </c>
      <c r="AS302" s="29">
        <f t="shared" si="118"/>
        <v>485</v>
      </c>
      <c r="AT302" s="29">
        <f>AM302-30</f>
        <v>455</v>
      </c>
      <c r="AU302" s="29">
        <f>AM302+30</f>
        <v>515</v>
      </c>
      <c r="AV302" s="39" t="s">
        <v>60</v>
      </c>
      <c r="AW302" s="39"/>
      <c r="AX302" s="29" t="s">
        <v>13</v>
      </c>
      <c r="AY302" s="6" t="s">
        <v>670</v>
      </c>
      <c r="AZ302" s="97" t="s">
        <v>13</v>
      </c>
      <c r="BA302" s="62">
        <v>21.167320749999998</v>
      </c>
      <c r="BD302" s="26">
        <v>335.94209999999998</v>
      </c>
      <c r="BE302" s="25" t="s">
        <v>239</v>
      </c>
      <c r="BF302" s="26">
        <f>BJ302</f>
        <v>254.9485</v>
      </c>
      <c r="BG302" s="26">
        <f>BK302</f>
        <v>437.98759999999999</v>
      </c>
      <c r="BH302" s="83" t="s">
        <v>542</v>
      </c>
      <c r="BI302" s="25" t="s">
        <v>671</v>
      </c>
      <c r="BJ302" s="26">
        <v>254.9485</v>
      </c>
      <c r="BK302" s="26">
        <v>437.98759999999999</v>
      </c>
      <c r="BL302" s="26" t="s">
        <v>672</v>
      </c>
      <c r="BM302" s="25" t="s">
        <v>13</v>
      </c>
      <c r="BO302" s="25"/>
      <c r="CA302" s="25" t="s">
        <v>13</v>
      </c>
      <c r="CC302" s="25" t="s">
        <v>13</v>
      </c>
    </row>
    <row r="303" spans="1:81">
      <c r="A303" s="6" t="s">
        <v>249</v>
      </c>
      <c r="B303" s="25" t="s">
        <v>271</v>
      </c>
      <c r="C303" s="62">
        <v>50.889899999999997</v>
      </c>
      <c r="D303" s="62">
        <f t="shared" si="122"/>
        <v>50.939899999999994</v>
      </c>
      <c r="E303" s="62">
        <f t="shared" si="123"/>
        <v>50.8399</v>
      </c>
      <c r="F303" s="26">
        <f t="shared" si="124"/>
        <v>177.77799999999999</v>
      </c>
      <c r="G303" s="23" t="s">
        <v>389</v>
      </c>
      <c r="H303" s="26">
        <f t="shared" si="125"/>
        <v>109.402</v>
      </c>
      <c r="I303" s="26">
        <f t="shared" si="125"/>
        <v>246.154</v>
      </c>
      <c r="J303" s="83" t="s">
        <v>403</v>
      </c>
      <c r="K303" s="23" t="s">
        <v>400</v>
      </c>
      <c r="L303" s="26">
        <v>177.77799999999999</v>
      </c>
      <c r="M303" s="26">
        <v>109.402</v>
      </c>
      <c r="N303" s="26">
        <v>246.154</v>
      </c>
      <c r="Q303" s="25" t="s">
        <v>386</v>
      </c>
      <c r="R303" s="26" t="s">
        <v>13</v>
      </c>
      <c r="S303" s="6" t="s">
        <v>1131</v>
      </c>
      <c r="T303" s="44" t="s">
        <v>1136</v>
      </c>
      <c r="U303" s="62">
        <v>11</v>
      </c>
      <c r="V303" s="62">
        <v>14</v>
      </c>
      <c r="W303" s="62">
        <v>7</v>
      </c>
      <c r="X303" s="26">
        <v>399.99330853977648</v>
      </c>
      <c r="Y303" s="26" t="s">
        <v>389</v>
      </c>
      <c r="Z303" s="26">
        <f t="shared" si="114"/>
        <v>279.99531597784352</v>
      </c>
      <c r="AA303" s="26">
        <f t="shared" si="115"/>
        <v>599.98996280966469</v>
      </c>
      <c r="AB303" s="25" t="s">
        <v>1191</v>
      </c>
      <c r="AC303" s="77" t="s">
        <v>400</v>
      </c>
      <c r="AF303" s="26">
        <v>322050</v>
      </c>
      <c r="AG303" s="25" t="s">
        <v>13</v>
      </c>
      <c r="AH303" s="7" t="s">
        <v>540</v>
      </c>
      <c r="AI303" s="25" t="s">
        <v>566</v>
      </c>
      <c r="AJ303" s="62">
        <v>307.5</v>
      </c>
      <c r="AK303" s="62">
        <f t="shared" si="110"/>
        <v>307.8</v>
      </c>
      <c r="AL303" s="62">
        <f t="shared" si="111"/>
        <v>307.2</v>
      </c>
      <c r="AM303" s="26">
        <v>548</v>
      </c>
      <c r="AN303" s="25" t="s">
        <v>389</v>
      </c>
      <c r="AO303" s="26">
        <f t="shared" si="116"/>
        <v>530.5</v>
      </c>
      <c r="AP303" s="29">
        <f t="shared" si="117"/>
        <v>1096</v>
      </c>
      <c r="AQ303" s="29" t="s">
        <v>569</v>
      </c>
      <c r="AR303" s="26" t="s">
        <v>422</v>
      </c>
      <c r="AS303" s="29">
        <f t="shared" si="118"/>
        <v>548</v>
      </c>
      <c r="AT303" s="29">
        <f>AM303-35</f>
        <v>513</v>
      </c>
      <c r="AU303" s="29">
        <f>AM303+35</f>
        <v>583</v>
      </c>
      <c r="AV303" s="39" t="s">
        <v>60</v>
      </c>
      <c r="AW303" s="39"/>
      <c r="AX303" s="29" t="s">
        <v>13</v>
      </c>
      <c r="AY303" s="6" t="s">
        <v>670</v>
      </c>
      <c r="AZ303" s="97" t="s">
        <v>13</v>
      </c>
      <c r="BA303" s="62">
        <v>21.396075440000001</v>
      </c>
      <c r="BD303" s="26">
        <v>299.9948</v>
      </c>
      <c r="BE303" s="25" t="s">
        <v>239</v>
      </c>
      <c r="BF303" s="26">
        <f t="shared" ref="BF303:BG343" si="126">BJ303</f>
        <v>228.4615</v>
      </c>
      <c r="BG303" s="26">
        <f t="shared" si="126"/>
        <v>388.3304</v>
      </c>
      <c r="BH303" s="83" t="s">
        <v>542</v>
      </c>
      <c r="BI303" s="25" t="s">
        <v>671</v>
      </c>
      <c r="BJ303" s="26">
        <v>228.4615</v>
      </c>
      <c r="BK303" s="26">
        <v>388.3304</v>
      </c>
      <c r="BL303" s="26" t="s">
        <v>673</v>
      </c>
      <c r="BM303" s="25" t="s">
        <v>13</v>
      </c>
      <c r="BO303" s="25"/>
      <c r="CA303" s="25" t="s">
        <v>13</v>
      </c>
      <c r="CC303" s="25" t="s">
        <v>13</v>
      </c>
    </row>
    <row r="304" spans="1:81">
      <c r="A304" s="6" t="s">
        <v>249</v>
      </c>
      <c r="B304" s="25" t="s">
        <v>271</v>
      </c>
      <c r="C304" s="62">
        <v>51.110100000000003</v>
      </c>
      <c r="D304" s="62">
        <f t="shared" si="122"/>
        <v>51.1601</v>
      </c>
      <c r="E304" s="62">
        <f t="shared" si="123"/>
        <v>51.060100000000006</v>
      </c>
      <c r="F304" s="26">
        <f t="shared" si="124"/>
        <v>1285.47</v>
      </c>
      <c r="G304" s="23" t="s">
        <v>389</v>
      </c>
      <c r="H304" s="26">
        <f t="shared" si="125"/>
        <v>1025.6400000000001</v>
      </c>
      <c r="I304" s="26">
        <f t="shared" si="125"/>
        <v>1531.62</v>
      </c>
      <c r="J304" s="83" t="s">
        <v>403</v>
      </c>
      <c r="K304" s="23" t="s">
        <v>400</v>
      </c>
      <c r="L304" s="26">
        <v>1285.47</v>
      </c>
      <c r="M304" s="26">
        <v>1025.6400000000001</v>
      </c>
      <c r="N304" s="26">
        <v>1531.62</v>
      </c>
      <c r="Q304" s="25" t="s">
        <v>386</v>
      </c>
      <c r="R304" s="26" t="s">
        <v>13</v>
      </c>
      <c r="S304" s="6" t="s">
        <v>1131</v>
      </c>
      <c r="T304" s="44" t="s">
        <v>1136</v>
      </c>
      <c r="U304" s="62">
        <v>11</v>
      </c>
      <c r="V304" s="62">
        <v>14</v>
      </c>
      <c r="W304" s="62">
        <v>7</v>
      </c>
      <c r="X304" s="26">
        <v>416.53397440828417</v>
      </c>
      <c r="Y304" s="26" t="s">
        <v>389</v>
      </c>
      <c r="Z304" s="26">
        <f t="shared" si="114"/>
        <v>291.57378208579888</v>
      </c>
      <c r="AA304" s="26">
        <f t="shared" si="115"/>
        <v>624.80096161242625</v>
      </c>
      <c r="AB304" s="25" t="s">
        <v>1191</v>
      </c>
      <c r="AC304" s="77" t="s">
        <v>400</v>
      </c>
      <c r="AF304" s="26">
        <v>322107</v>
      </c>
      <c r="AG304" s="25" t="s">
        <v>13</v>
      </c>
      <c r="AH304" s="7" t="s">
        <v>540</v>
      </c>
      <c r="AI304" s="25" t="s">
        <v>566</v>
      </c>
      <c r="AJ304" s="62">
        <v>307.5</v>
      </c>
      <c r="AK304" s="62">
        <f t="shared" si="110"/>
        <v>307.8</v>
      </c>
      <c r="AL304" s="62">
        <f t="shared" si="111"/>
        <v>307.2</v>
      </c>
      <c r="AM304" s="26">
        <v>487</v>
      </c>
      <c r="AN304" s="25" t="s">
        <v>389</v>
      </c>
      <c r="AO304" s="26">
        <f t="shared" si="116"/>
        <v>475.5</v>
      </c>
      <c r="AP304" s="29">
        <f t="shared" si="117"/>
        <v>974</v>
      </c>
      <c r="AQ304" s="29" t="s">
        <v>569</v>
      </c>
      <c r="AR304" s="26" t="s">
        <v>422</v>
      </c>
      <c r="AS304" s="29">
        <f t="shared" si="118"/>
        <v>487</v>
      </c>
      <c r="AT304" s="29">
        <f>AM304-23</f>
        <v>464</v>
      </c>
      <c r="AU304" s="29">
        <f>AM304+23</f>
        <v>510</v>
      </c>
      <c r="AV304" s="39" t="s">
        <v>60</v>
      </c>
      <c r="AW304" s="39"/>
      <c r="AX304" s="29" t="s">
        <v>13</v>
      </c>
      <c r="AY304" s="6" t="s">
        <v>670</v>
      </c>
      <c r="AZ304" s="97" t="s">
        <v>13</v>
      </c>
      <c r="BA304" s="62">
        <v>21.839695020000001</v>
      </c>
      <c r="BD304" s="26">
        <v>305.8947</v>
      </c>
      <c r="BE304" s="25" t="s">
        <v>239</v>
      </c>
      <c r="BF304" s="26">
        <f t="shared" si="126"/>
        <v>230.73150000000001</v>
      </c>
      <c r="BG304" s="26">
        <f t="shared" si="126"/>
        <v>398.428</v>
      </c>
      <c r="BH304" s="83" t="s">
        <v>542</v>
      </c>
      <c r="BI304" s="25" t="s">
        <v>671</v>
      </c>
      <c r="BJ304" s="26">
        <v>230.73150000000001</v>
      </c>
      <c r="BK304" s="26">
        <v>398.428</v>
      </c>
      <c r="BL304" s="26" t="s">
        <v>674</v>
      </c>
      <c r="BM304" s="25" t="s">
        <v>13</v>
      </c>
      <c r="BO304" s="25"/>
      <c r="CA304" s="25" t="s">
        <v>13</v>
      </c>
      <c r="CC304" s="25" t="s">
        <v>13</v>
      </c>
    </row>
    <row r="305" spans="1:81">
      <c r="A305" s="6" t="s">
        <v>249</v>
      </c>
      <c r="B305" s="25" t="s">
        <v>271</v>
      </c>
      <c r="C305" s="62">
        <v>51.233499999999999</v>
      </c>
      <c r="D305" s="62">
        <f t="shared" si="122"/>
        <v>51.283499999999997</v>
      </c>
      <c r="E305" s="62">
        <f t="shared" si="123"/>
        <v>51.183500000000002</v>
      </c>
      <c r="F305" s="26">
        <f t="shared" si="124"/>
        <v>1353.85</v>
      </c>
      <c r="G305" s="23" t="s">
        <v>389</v>
      </c>
      <c r="H305" s="26">
        <f t="shared" si="125"/>
        <v>1258.1199999999999</v>
      </c>
      <c r="I305" s="26">
        <f t="shared" si="125"/>
        <v>1449.57</v>
      </c>
      <c r="J305" s="83" t="s">
        <v>403</v>
      </c>
      <c r="K305" s="23" t="s">
        <v>400</v>
      </c>
      <c r="L305" s="26">
        <v>1353.85</v>
      </c>
      <c r="M305" s="26">
        <v>1258.1199999999999</v>
      </c>
      <c r="N305" s="26">
        <v>1449.57</v>
      </c>
      <c r="Q305" s="25" t="s">
        <v>386</v>
      </c>
      <c r="R305" s="26" t="s">
        <v>13</v>
      </c>
      <c r="S305" s="6" t="s">
        <v>1131</v>
      </c>
      <c r="T305" s="44" t="s">
        <v>1137</v>
      </c>
      <c r="U305" s="62">
        <v>11.1</v>
      </c>
      <c r="V305" s="62">
        <v>11.1</v>
      </c>
      <c r="W305" s="62">
        <v>11.1</v>
      </c>
      <c r="X305" s="26">
        <v>317.83222250500631</v>
      </c>
      <c r="Y305" s="26" t="s">
        <v>389</v>
      </c>
      <c r="Z305" s="26">
        <f t="shared" si="114"/>
        <v>222.48255575350441</v>
      </c>
      <c r="AA305" s="26">
        <f t="shared" si="115"/>
        <v>476.7483337575095</v>
      </c>
      <c r="AB305" s="25" t="s">
        <v>1191</v>
      </c>
      <c r="AC305" s="77" t="s">
        <v>400</v>
      </c>
      <c r="AF305" s="26" t="s">
        <v>1212</v>
      </c>
      <c r="AG305" s="25" t="s">
        <v>13</v>
      </c>
      <c r="AH305" s="7" t="s">
        <v>540</v>
      </c>
      <c r="AI305" s="25" t="s">
        <v>566</v>
      </c>
      <c r="AJ305" s="62">
        <v>307.5</v>
      </c>
      <c r="AK305" s="62">
        <f t="shared" si="110"/>
        <v>307.8</v>
      </c>
      <c r="AL305" s="62">
        <f t="shared" si="111"/>
        <v>307.2</v>
      </c>
      <c r="AM305" s="26">
        <v>494</v>
      </c>
      <c r="AN305" s="25" t="s">
        <v>389</v>
      </c>
      <c r="AO305" s="26">
        <f t="shared" si="116"/>
        <v>458</v>
      </c>
      <c r="AP305" s="29">
        <f t="shared" si="117"/>
        <v>988</v>
      </c>
      <c r="AQ305" s="29" t="s">
        <v>569</v>
      </c>
      <c r="AR305" s="26" t="s">
        <v>422</v>
      </c>
      <c r="AS305" s="29">
        <f t="shared" si="118"/>
        <v>494</v>
      </c>
      <c r="AT305" s="29">
        <f>AM305-72</f>
        <v>422</v>
      </c>
      <c r="AU305" s="29">
        <f>AM305+72</f>
        <v>566</v>
      </c>
      <c r="AV305" s="39" t="s">
        <v>60</v>
      </c>
      <c r="AW305" s="39"/>
      <c r="AX305" s="29" t="s">
        <v>13</v>
      </c>
      <c r="AY305" s="6" t="s">
        <v>670</v>
      </c>
      <c r="AZ305" s="97" t="s">
        <v>13</v>
      </c>
      <c r="BA305" s="62">
        <v>22.021999999999998</v>
      </c>
      <c r="BD305" s="26">
        <v>277.72219999999999</v>
      </c>
      <c r="BE305" s="25" t="s">
        <v>239</v>
      </c>
      <c r="BF305" s="26">
        <f t="shared" si="126"/>
        <v>209.17160000000001</v>
      </c>
      <c r="BG305" s="26">
        <f t="shared" si="126"/>
        <v>362.40730000000002</v>
      </c>
      <c r="BH305" s="83" t="s">
        <v>542</v>
      </c>
      <c r="BI305" s="25" t="s">
        <v>671</v>
      </c>
      <c r="BJ305" s="26">
        <v>209.17160000000001</v>
      </c>
      <c r="BK305" s="26">
        <v>362.40730000000002</v>
      </c>
      <c r="BL305" s="26" t="s">
        <v>675</v>
      </c>
      <c r="BM305" s="25" t="s">
        <v>13</v>
      </c>
      <c r="BO305" s="25"/>
      <c r="CA305" s="25" t="s">
        <v>13</v>
      </c>
      <c r="CC305" s="25" t="s">
        <v>13</v>
      </c>
    </row>
    <row r="306" spans="1:81">
      <c r="A306" s="6" t="s">
        <v>249</v>
      </c>
      <c r="B306" s="25" t="s">
        <v>271</v>
      </c>
      <c r="C306" s="62">
        <v>51.374400000000001</v>
      </c>
      <c r="D306" s="62">
        <f t="shared" si="122"/>
        <v>51.424399999999999</v>
      </c>
      <c r="E306" s="62">
        <f t="shared" si="123"/>
        <v>51.324400000000004</v>
      </c>
      <c r="F306" s="26">
        <f t="shared" si="124"/>
        <v>970.94</v>
      </c>
      <c r="G306" s="23" t="s">
        <v>389</v>
      </c>
      <c r="H306" s="26">
        <f t="shared" si="125"/>
        <v>834.18799999999999</v>
      </c>
      <c r="I306" s="26">
        <f t="shared" si="125"/>
        <v>1107.69</v>
      </c>
      <c r="J306" s="83" t="s">
        <v>403</v>
      </c>
      <c r="K306" s="23" t="s">
        <v>400</v>
      </c>
      <c r="L306" s="26">
        <v>970.94</v>
      </c>
      <c r="M306" s="26">
        <v>834.18799999999999</v>
      </c>
      <c r="N306" s="26">
        <v>1107.69</v>
      </c>
      <c r="Q306" s="25" t="s">
        <v>386</v>
      </c>
      <c r="R306" s="26" t="s">
        <v>13</v>
      </c>
      <c r="S306" s="6" t="s">
        <v>1131</v>
      </c>
      <c r="T306" s="44" t="s">
        <v>1137</v>
      </c>
      <c r="U306" s="62">
        <v>11.3</v>
      </c>
      <c r="V306" s="62">
        <v>11.3</v>
      </c>
      <c r="W306" s="62">
        <v>11.3</v>
      </c>
      <c r="X306" s="26">
        <v>317.78990612584192</v>
      </c>
      <c r="Y306" s="26" t="s">
        <v>389</v>
      </c>
      <c r="Z306" s="26">
        <f t="shared" si="114"/>
        <v>222.45293428808932</v>
      </c>
      <c r="AA306" s="26">
        <f t="shared" si="115"/>
        <v>476.68485918876286</v>
      </c>
      <c r="AB306" s="25" t="s">
        <v>1191</v>
      </c>
      <c r="AC306" s="77" t="s">
        <v>400</v>
      </c>
      <c r="AF306" s="26" t="s">
        <v>1213</v>
      </c>
      <c r="AG306" s="25" t="s">
        <v>13</v>
      </c>
      <c r="AH306" s="7" t="s">
        <v>540</v>
      </c>
      <c r="AI306" s="25" t="s">
        <v>566</v>
      </c>
      <c r="AJ306" s="62">
        <v>308.3</v>
      </c>
      <c r="AK306" s="62">
        <f t="shared" si="110"/>
        <v>308.60000000000002</v>
      </c>
      <c r="AL306" s="62">
        <f t="shared" si="111"/>
        <v>308</v>
      </c>
      <c r="AM306" s="26">
        <v>691</v>
      </c>
      <c r="AN306" s="25" t="s">
        <v>389</v>
      </c>
      <c r="AO306" s="26">
        <f t="shared" si="116"/>
        <v>670.5</v>
      </c>
      <c r="AP306" s="29">
        <f t="shared" si="117"/>
        <v>1382</v>
      </c>
      <c r="AQ306" s="29" t="s">
        <v>569</v>
      </c>
      <c r="AR306" s="26" t="s">
        <v>422</v>
      </c>
      <c r="AS306" s="29">
        <f t="shared" si="118"/>
        <v>691</v>
      </c>
      <c r="AT306" s="29">
        <f>AM306-41</f>
        <v>650</v>
      </c>
      <c r="AU306" s="29">
        <f>AM306+41</f>
        <v>732</v>
      </c>
      <c r="AV306" s="39" t="s">
        <v>60</v>
      </c>
      <c r="AW306" s="39"/>
      <c r="AX306" s="29" t="s">
        <v>13</v>
      </c>
      <c r="AY306" s="6" t="s">
        <v>670</v>
      </c>
      <c r="AZ306" s="97" t="s">
        <v>13</v>
      </c>
      <c r="BA306" s="62">
        <v>22.161000000000001</v>
      </c>
      <c r="BD306" s="26">
        <v>393.08940000000001</v>
      </c>
      <c r="BE306" s="25" t="s">
        <v>239</v>
      </c>
      <c r="BF306" s="26">
        <f t="shared" si="126"/>
        <v>290.3956</v>
      </c>
      <c r="BG306" s="26">
        <f t="shared" si="126"/>
        <v>528.94579999999996</v>
      </c>
      <c r="BH306" s="83" t="s">
        <v>542</v>
      </c>
      <c r="BI306" s="25" t="s">
        <v>671</v>
      </c>
      <c r="BJ306" s="26">
        <v>290.3956</v>
      </c>
      <c r="BK306" s="26">
        <v>528.94579999999996</v>
      </c>
      <c r="BL306" s="26" t="s">
        <v>676</v>
      </c>
      <c r="BM306" s="25" t="s">
        <v>13</v>
      </c>
      <c r="BO306" s="25"/>
      <c r="CA306" s="25" t="s">
        <v>13</v>
      </c>
      <c r="CC306" s="25" t="s">
        <v>13</v>
      </c>
    </row>
    <row r="307" spans="1:81">
      <c r="A307" s="6" t="s">
        <v>249</v>
      </c>
      <c r="B307" s="25" t="s">
        <v>271</v>
      </c>
      <c r="C307" s="62">
        <v>51.462600000000002</v>
      </c>
      <c r="D307" s="62">
        <f t="shared" si="122"/>
        <v>51.512599999999999</v>
      </c>
      <c r="E307" s="62">
        <f t="shared" si="123"/>
        <v>51.412600000000005</v>
      </c>
      <c r="F307" s="26">
        <f t="shared" si="124"/>
        <v>1709.4</v>
      </c>
      <c r="G307" s="23" t="s">
        <v>389</v>
      </c>
      <c r="H307" s="26">
        <f t="shared" si="125"/>
        <v>1435.9</v>
      </c>
      <c r="I307" s="26">
        <f t="shared" si="125"/>
        <v>2000</v>
      </c>
      <c r="J307" s="83" t="s">
        <v>403</v>
      </c>
      <c r="K307" s="23" t="s">
        <v>400</v>
      </c>
      <c r="L307" s="26">
        <v>1709.4</v>
      </c>
      <c r="M307" s="26">
        <v>1435.9</v>
      </c>
      <c r="N307" s="26">
        <v>2000</v>
      </c>
      <c r="Q307" s="25" t="s">
        <v>386</v>
      </c>
      <c r="R307" s="26" t="s">
        <v>13</v>
      </c>
      <c r="S307" s="6" t="s">
        <v>1131</v>
      </c>
      <c r="T307" s="44" t="s">
        <v>486</v>
      </c>
      <c r="U307" s="62">
        <v>12</v>
      </c>
      <c r="V307" s="62">
        <v>12.2</v>
      </c>
      <c r="W307" s="62">
        <v>11.8</v>
      </c>
      <c r="X307" s="26">
        <v>404.08969827261495</v>
      </c>
      <c r="Y307" s="26" t="s">
        <v>389</v>
      </c>
      <c r="Z307" s="26">
        <f t="shared" si="114"/>
        <v>282.86278879083045</v>
      </c>
      <c r="AA307" s="26">
        <f t="shared" si="115"/>
        <v>606.13454740892246</v>
      </c>
      <c r="AB307" s="25" t="s">
        <v>1191</v>
      </c>
      <c r="AC307" s="77" t="s">
        <v>400</v>
      </c>
      <c r="AF307" s="26" t="s">
        <v>1214</v>
      </c>
      <c r="AG307" s="25" t="s">
        <v>13</v>
      </c>
      <c r="AH307" s="7" t="s">
        <v>540</v>
      </c>
      <c r="AI307" s="25" t="s">
        <v>566</v>
      </c>
      <c r="AJ307" s="62">
        <v>309.10000000000002</v>
      </c>
      <c r="AK307" s="62">
        <f t="shared" si="110"/>
        <v>309.40000000000003</v>
      </c>
      <c r="AL307" s="62">
        <f t="shared" si="111"/>
        <v>308.8</v>
      </c>
      <c r="AM307" s="26">
        <v>493</v>
      </c>
      <c r="AN307" s="25" t="s">
        <v>389</v>
      </c>
      <c r="AO307" s="26">
        <f t="shared" si="116"/>
        <v>479.5</v>
      </c>
      <c r="AP307" s="29">
        <f t="shared" si="117"/>
        <v>986</v>
      </c>
      <c r="AQ307" s="29" t="s">
        <v>569</v>
      </c>
      <c r="AR307" s="26" t="s">
        <v>422</v>
      </c>
      <c r="AS307" s="29">
        <f t="shared" si="118"/>
        <v>493</v>
      </c>
      <c r="AT307" s="29">
        <f>AM307-27</f>
        <v>466</v>
      </c>
      <c r="AU307" s="29">
        <f>AM307+27</f>
        <v>520</v>
      </c>
      <c r="AV307" s="39" t="s">
        <v>60</v>
      </c>
      <c r="AW307" s="39"/>
      <c r="AX307" s="29" t="s">
        <v>13</v>
      </c>
      <c r="AY307" s="6" t="s">
        <v>670</v>
      </c>
      <c r="AZ307" s="97" t="s">
        <v>13</v>
      </c>
      <c r="BA307" s="62">
        <v>22.442</v>
      </c>
      <c r="BD307" s="26">
        <v>380.94779999999997</v>
      </c>
      <c r="BE307" s="25" t="s">
        <v>239</v>
      </c>
      <c r="BF307" s="26">
        <f t="shared" si="126"/>
        <v>282.74779999999998</v>
      </c>
      <c r="BG307" s="26">
        <f t="shared" si="126"/>
        <v>508.113</v>
      </c>
      <c r="BH307" s="83" t="s">
        <v>542</v>
      </c>
      <c r="BI307" s="25" t="s">
        <v>671</v>
      </c>
      <c r="BJ307" s="26">
        <v>282.74779999999998</v>
      </c>
      <c r="BK307" s="26">
        <v>508.113</v>
      </c>
      <c r="BL307" s="26" t="s">
        <v>677</v>
      </c>
      <c r="BM307" s="25" t="s">
        <v>13</v>
      </c>
      <c r="BO307" s="25"/>
      <c r="CA307" s="25" t="s">
        <v>13</v>
      </c>
      <c r="CC307" s="25" t="s">
        <v>13</v>
      </c>
    </row>
    <row r="308" spans="1:81">
      <c r="A308" s="6" t="s">
        <v>249</v>
      </c>
      <c r="B308" s="25" t="s">
        <v>271</v>
      </c>
      <c r="C308" s="62">
        <v>51.5154</v>
      </c>
      <c r="D308" s="62">
        <f t="shared" si="122"/>
        <v>51.565399999999997</v>
      </c>
      <c r="E308" s="62">
        <f t="shared" si="123"/>
        <v>51.465400000000002</v>
      </c>
      <c r="F308" s="26">
        <f t="shared" si="124"/>
        <v>1299.1500000000001</v>
      </c>
      <c r="G308" s="23" t="s">
        <v>389</v>
      </c>
      <c r="H308" s="26">
        <f t="shared" si="125"/>
        <v>1066.67</v>
      </c>
      <c r="I308" s="26">
        <f t="shared" si="125"/>
        <v>1490.6</v>
      </c>
      <c r="J308" s="83" t="s">
        <v>403</v>
      </c>
      <c r="K308" s="23" t="s">
        <v>400</v>
      </c>
      <c r="L308" s="26">
        <v>1299.1500000000001</v>
      </c>
      <c r="M308" s="26">
        <v>1066.67</v>
      </c>
      <c r="N308" s="26">
        <v>1490.6</v>
      </c>
      <c r="Q308" s="25" t="s">
        <v>386</v>
      </c>
      <c r="R308" s="26" t="s">
        <v>13</v>
      </c>
      <c r="S308" s="6" t="s">
        <v>1131</v>
      </c>
      <c r="T308" s="44" t="s">
        <v>486</v>
      </c>
      <c r="U308" s="62">
        <v>12.5</v>
      </c>
      <c r="V308" s="62">
        <v>12.7</v>
      </c>
      <c r="W308" s="62">
        <v>12.2</v>
      </c>
      <c r="X308" s="26">
        <v>393.80460414071979</v>
      </c>
      <c r="Y308" s="26" t="s">
        <v>389</v>
      </c>
      <c r="Z308" s="26">
        <f t="shared" si="114"/>
        <v>275.66322289850382</v>
      </c>
      <c r="AA308" s="26">
        <f t="shared" si="115"/>
        <v>590.70690621107974</v>
      </c>
      <c r="AB308" s="25" t="s">
        <v>1191</v>
      </c>
      <c r="AC308" s="77" t="s">
        <v>400</v>
      </c>
      <c r="AF308" s="26" t="s">
        <v>1215</v>
      </c>
      <c r="AG308" s="25" t="s">
        <v>13</v>
      </c>
      <c r="AH308" s="7" t="s">
        <v>540</v>
      </c>
      <c r="AI308" s="25" t="s">
        <v>566</v>
      </c>
      <c r="AJ308" s="62">
        <v>311.39999999999998</v>
      </c>
      <c r="AK308" s="62">
        <f t="shared" si="110"/>
        <v>311.7</v>
      </c>
      <c r="AL308" s="62">
        <f t="shared" si="111"/>
        <v>311.09999999999997</v>
      </c>
      <c r="AM308" s="26">
        <v>567</v>
      </c>
      <c r="AN308" s="25" t="s">
        <v>389</v>
      </c>
      <c r="AO308" s="26">
        <f t="shared" si="116"/>
        <v>558</v>
      </c>
      <c r="AP308" s="29">
        <f t="shared" si="117"/>
        <v>1134</v>
      </c>
      <c r="AQ308" s="29" t="s">
        <v>569</v>
      </c>
      <c r="AR308" s="26" t="s">
        <v>422</v>
      </c>
      <c r="AS308" s="29">
        <f t="shared" si="118"/>
        <v>567</v>
      </c>
      <c r="AT308" s="29">
        <f>AM308-18</f>
        <v>549</v>
      </c>
      <c r="AU308" s="29">
        <f>AM308+18</f>
        <v>585</v>
      </c>
      <c r="AV308" s="39" t="s">
        <v>60</v>
      </c>
      <c r="AW308" s="39"/>
      <c r="AX308" s="29" t="s">
        <v>13</v>
      </c>
      <c r="AY308" s="6" t="s">
        <v>670</v>
      </c>
      <c r="AZ308" s="97" t="s">
        <v>13</v>
      </c>
      <c r="BA308" s="62">
        <v>22.51</v>
      </c>
      <c r="BD308" s="26">
        <v>315.83769999999998</v>
      </c>
      <c r="BE308" s="25" t="s">
        <v>239</v>
      </c>
      <c r="BF308" s="26">
        <f t="shared" si="126"/>
        <v>237.37719999999999</v>
      </c>
      <c r="BG308" s="26">
        <f t="shared" si="126"/>
        <v>414.64670000000001</v>
      </c>
      <c r="BH308" s="83" t="s">
        <v>542</v>
      </c>
      <c r="BI308" s="25" t="s">
        <v>671</v>
      </c>
      <c r="BJ308" s="26">
        <v>237.37719999999999</v>
      </c>
      <c r="BK308" s="26">
        <v>414.64670000000001</v>
      </c>
      <c r="BL308" s="26" t="s">
        <v>678</v>
      </c>
      <c r="BM308" s="25" t="s">
        <v>13</v>
      </c>
      <c r="BO308" s="25"/>
      <c r="CA308" s="25" t="s">
        <v>13</v>
      </c>
      <c r="CC308" s="25" t="s">
        <v>13</v>
      </c>
    </row>
    <row r="309" spans="1:81">
      <c r="A309" s="6" t="s">
        <v>249</v>
      </c>
      <c r="B309" s="25" t="s">
        <v>271</v>
      </c>
      <c r="C309" s="62">
        <v>51.779699999999998</v>
      </c>
      <c r="D309" s="62">
        <f t="shared" si="122"/>
        <v>51.829699999999995</v>
      </c>
      <c r="E309" s="62">
        <f t="shared" si="123"/>
        <v>51.729700000000001</v>
      </c>
      <c r="F309" s="26">
        <f t="shared" si="124"/>
        <v>902.56399999999996</v>
      </c>
      <c r="G309" s="23" t="s">
        <v>389</v>
      </c>
      <c r="H309" s="26">
        <f t="shared" si="125"/>
        <v>738.46199999999999</v>
      </c>
      <c r="I309" s="26">
        <f t="shared" si="125"/>
        <v>1067</v>
      </c>
      <c r="J309" s="83" t="s">
        <v>403</v>
      </c>
      <c r="K309" s="23" t="s">
        <v>400</v>
      </c>
      <c r="L309" s="26">
        <v>902.56399999999996</v>
      </c>
      <c r="M309" s="26">
        <v>738.46199999999999</v>
      </c>
      <c r="N309" s="26">
        <v>1067</v>
      </c>
      <c r="Q309" s="25" t="s">
        <v>386</v>
      </c>
      <c r="R309" s="26" t="s">
        <v>13</v>
      </c>
      <c r="S309" s="6" t="s">
        <v>1131</v>
      </c>
      <c r="T309" s="44" t="s">
        <v>486</v>
      </c>
      <c r="U309" s="62">
        <v>13</v>
      </c>
      <c r="V309" s="62">
        <v>13.2</v>
      </c>
      <c r="W309" s="62">
        <v>12.8</v>
      </c>
      <c r="X309" s="26">
        <v>407.71582777291525</v>
      </c>
      <c r="Y309" s="26" t="s">
        <v>389</v>
      </c>
      <c r="Z309" s="26">
        <f t="shared" si="114"/>
        <v>285.40107944104068</v>
      </c>
      <c r="AA309" s="26">
        <f t="shared" si="115"/>
        <v>611.5737416593729</v>
      </c>
      <c r="AB309" s="25" t="s">
        <v>1191</v>
      </c>
      <c r="AC309" s="77" t="s">
        <v>400</v>
      </c>
      <c r="AF309" s="26" t="s">
        <v>1216</v>
      </c>
      <c r="AG309" s="25" t="s">
        <v>13</v>
      </c>
      <c r="AH309" s="7" t="s">
        <v>540</v>
      </c>
      <c r="AI309" s="25" t="s">
        <v>566</v>
      </c>
      <c r="AJ309" s="62">
        <v>311.5</v>
      </c>
      <c r="AK309" s="62">
        <f t="shared" si="110"/>
        <v>311.8</v>
      </c>
      <c r="AL309" s="62">
        <f t="shared" si="111"/>
        <v>311.2</v>
      </c>
      <c r="AM309" s="26">
        <v>558</v>
      </c>
      <c r="AN309" s="25" t="s">
        <v>389</v>
      </c>
      <c r="AO309" s="26">
        <f t="shared" si="116"/>
        <v>546</v>
      </c>
      <c r="AP309" s="29">
        <f t="shared" si="117"/>
        <v>1116</v>
      </c>
      <c r="AQ309" s="29" t="s">
        <v>569</v>
      </c>
      <c r="AR309" s="26" t="s">
        <v>422</v>
      </c>
      <c r="AS309" s="29">
        <f t="shared" si="118"/>
        <v>558</v>
      </c>
      <c r="AT309" s="29">
        <f>AM309-24</f>
        <v>534</v>
      </c>
      <c r="AU309" s="29">
        <f>AM309+24</f>
        <v>582</v>
      </c>
      <c r="AV309" s="39" t="s">
        <v>60</v>
      </c>
      <c r="AW309" s="39"/>
      <c r="AX309" s="29" t="s">
        <v>13</v>
      </c>
      <c r="AY309" s="6" t="s">
        <v>670</v>
      </c>
      <c r="AZ309" s="97" t="s">
        <v>13</v>
      </c>
      <c r="BA309" s="62">
        <v>22.521000000000001</v>
      </c>
      <c r="BD309" s="26">
        <v>371.10739999999998</v>
      </c>
      <c r="BE309" s="25" t="s">
        <v>239</v>
      </c>
      <c r="BF309" s="26">
        <f t="shared" si="126"/>
        <v>276.2439</v>
      </c>
      <c r="BG309" s="26">
        <f t="shared" si="126"/>
        <v>494.46550000000002</v>
      </c>
      <c r="BH309" s="83" t="s">
        <v>542</v>
      </c>
      <c r="BI309" s="25" t="s">
        <v>671</v>
      </c>
      <c r="BJ309" s="26">
        <v>276.2439</v>
      </c>
      <c r="BK309" s="26">
        <v>494.46550000000002</v>
      </c>
      <c r="BL309" s="26" t="s">
        <v>679</v>
      </c>
      <c r="BM309" s="25" t="s">
        <v>13</v>
      </c>
      <c r="BO309" s="25"/>
      <c r="CA309" s="25" t="s">
        <v>13</v>
      </c>
      <c r="CC309" s="25" t="s">
        <v>13</v>
      </c>
    </row>
    <row r="310" spans="1:81">
      <c r="A310" s="6" t="s">
        <v>249</v>
      </c>
      <c r="B310" s="25" t="s">
        <v>271</v>
      </c>
      <c r="C310" s="62">
        <v>51.982399999999998</v>
      </c>
      <c r="D310" s="62">
        <f t="shared" si="122"/>
        <v>52.032399999999996</v>
      </c>
      <c r="E310" s="62">
        <f t="shared" si="123"/>
        <v>51.932400000000001</v>
      </c>
      <c r="F310" s="26">
        <f t="shared" si="124"/>
        <v>300.85500000000002</v>
      </c>
      <c r="G310" s="23" t="s">
        <v>389</v>
      </c>
      <c r="H310" s="26">
        <f t="shared" si="125"/>
        <v>218.803</v>
      </c>
      <c r="I310" s="26">
        <f t="shared" si="125"/>
        <v>382.90600000000001</v>
      </c>
      <c r="J310" s="83" t="s">
        <v>403</v>
      </c>
      <c r="K310" s="23" t="s">
        <v>400</v>
      </c>
      <c r="L310" s="26">
        <v>300.85500000000002</v>
      </c>
      <c r="M310" s="26">
        <v>218.803</v>
      </c>
      <c r="N310" s="26">
        <v>382.90600000000001</v>
      </c>
      <c r="Q310" s="25" t="s">
        <v>386</v>
      </c>
      <c r="R310" s="26" t="s">
        <v>13</v>
      </c>
      <c r="S310" s="6" t="s">
        <v>1131</v>
      </c>
      <c r="T310" s="44" t="s">
        <v>1137</v>
      </c>
      <c r="U310" s="62">
        <v>13.1</v>
      </c>
      <c r="V310" s="62">
        <v>13.1</v>
      </c>
      <c r="W310" s="62">
        <v>13.1</v>
      </c>
      <c r="X310" s="26">
        <v>316.85373081627932</v>
      </c>
      <c r="Y310" s="26" t="s">
        <v>389</v>
      </c>
      <c r="Z310" s="26">
        <f t="shared" si="114"/>
        <v>221.79761157139552</v>
      </c>
      <c r="AA310" s="26">
        <f t="shared" si="115"/>
        <v>475.28059622441901</v>
      </c>
      <c r="AB310" s="25" t="s">
        <v>1191</v>
      </c>
      <c r="AC310" s="77" t="s">
        <v>400</v>
      </c>
      <c r="AF310" s="26" t="s">
        <v>1217</v>
      </c>
      <c r="AG310" s="25" t="s">
        <v>13</v>
      </c>
      <c r="AH310" s="7" t="s">
        <v>540</v>
      </c>
      <c r="AI310" s="25" t="s">
        <v>566</v>
      </c>
      <c r="AJ310" s="62">
        <v>311.5</v>
      </c>
      <c r="AK310" s="62">
        <f t="shared" si="110"/>
        <v>311.8</v>
      </c>
      <c r="AL310" s="62">
        <f t="shared" si="111"/>
        <v>311.2</v>
      </c>
      <c r="AM310" s="26">
        <v>507</v>
      </c>
      <c r="AN310" s="25" t="s">
        <v>389</v>
      </c>
      <c r="AO310" s="26">
        <f t="shared" si="116"/>
        <v>475</v>
      </c>
      <c r="AP310" s="29">
        <f t="shared" si="117"/>
        <v>1014</v>
      </c>
      <c r="AQ310" s="29" t="s">
        <v>569</v>
      </c>
      <c r="AR310" s="26" t="s">
        <v>422</v>
      </c>
      <c r="AS310" s="29">
        <f t="shared" si="118"/>
        <v>507</v>
      </c>
      <c r="AT310" s="29">
        <f>AM310-64</f>
        <v>443</v>
      </c>
      <c r="AU310" s="29">
        <f>AM310+64</f>
        <v>571</v>
      </c>
      <c r="AV310" s="39" t="s">
        <v>60</v>
      </c>
      <c r="AW310" s="39"/>
      <c r="AX310" s="29" t="s">
        <v>13</v>
      </c>
      <c r="AY310" s="6" t="s">
        <v>670</v>
      </c>
      <c r="AZ310" s="97" t="s">
        <v>13</v>
      </c>
      <c r="BA310" s="62">
        <v>22.58</v>
      </c>
      <c r="BD310" s="26">
        <v>367.21039999999999</v>
      </c>
      <c r="BE310" s="25" t="s">
        <v>239</v>
      </c>
      <c r="BF310" s="26">
        <f t="shared" si="126"/>
        <v>273.09480000000002</v>
      </c>
      <c r="BG310" s="26">
        <f t="shared" si="126"/>
        <v>487.25900000000001</v>
      </c>
      <c r="BH310" s="83" t="s">
        <v>542</v>
      </c>
      <c r="BI310" s="25" t="s">
        <v>671</v>
      </c>
      <c r="BJ310" s="26">
        <v>273.09480000000002</v>
      </c>
      <c r="BK310" s="26">
        <v>487.25900000000001</v>
      </c>
      <c r="BL310" s="26" t="s">
        <v>680</v>
      </c>
      <c r="BM310" s="25" t="s">
        <v>13</v>
      </c>
      <c r="BO310" s="25"/>
      <c r="CA310" s="25" t="s">
        <v>13</v>
      </c>
      <c r="CC310" s="25" t="s">
        <v>13</v>
      </c>
    </row>
    <row r="311" spans="1:81">
      <c r="A311" s="6" t="s">
        <v>255</v>
      </c>
      <c r="B311" s="25" t="s">
        <v>442</v>
      </c>
      <c r="C311" s="62">
        <f>63.1+0.5</f>
        <v>63.6</v>
      </c>
      <c r="D311" s="62"/>
      <c r="E311" s="62"/>
      <c r="F311" s="26">
        <f t="shared" ref="F311:F321" si="127">L311*$P311/$O311</f>
        <v>234.64821151169244</v>
      </c>
      <c r="G311" s="23" t="s">
        <v>389</v>
      </c>
      <c r="H311" s="26">
        <f>M311*$P311/$O311</f>
        <v>188.18904181388871</v>
      </c>
      <c r="I311" s="26">
        <f>N311*$P311/$O311</f>
        <v>281.10738120949622</v>
      </c>
      <c r="J311" s="83" t="s">
        <v>403</v>
      </c>
      <c r="K311" s="23" t="s">
        <v>400</v>
      </c>
      <c r="L311" s="25">
        <v>399</v>
      </c>
      <c r="M311" s="25">
        <f>L311-79</f>
        <v>320</v>
      </c>
      <c r="N311" s="25">
        <f>L311+79</f>
        <v>478</v>
      </c>
      <c r="O311" s="26">
        <v>4700</v>
      </c>
      <c r="P311" s="26">
        <v>2764.0265516414902</v>
      </c>
      <c r="Q311" s="25" t="s">
        <v>392</v>
      </c>
      <c r="R311" s="26" t="s">
        <v>13</v>
      </c>
      <c r="S311" s="6" t="s">
        <v>1131</v>
      </c>
      <c r="T311" s="44" t="s">
        <v>1137</v>
      </c>
      <c r="U311" s="62">
        <v>13.5</v>
      </c>
      <c r="V311" s="62">
        <v>13.6</v>
      </c>
      <c r="W311" s="62">
        <v>13.4</v>
      </c>
      <c r="X311" s="26">
        <v>460.23169825999628</v>
      </c>
      <c r="Y311" s="26" t="s">
        <v>389</v>
      </c>
      <c r="Z311" s="26">
        <f t="shared" si="114"/>
        <v>322.16218878199737</v>
      </c>
      <c r="AA311" s="26">
        <f t="shared" si="115"/>
        <v>690.34754738999436</v>
      </c>
      <c r="AB311" s="25" t="s">
        <v>1191</v>
      </c>
      <c r="AC311" s="77" t="s">
        <v>400</v>
      </c>
      <c r="AF311" s="26" t="s">
        <v>1218</v>
      </c>
      <c r="AG311" s="25" t="s">
        <v>13</v>
      </c>
      <c r="AH311" s="7" t="s">
        <v>540</v>
      </c>
      <c r="AI311" s="25" t="s">
        <v>566</v>
      </c>
      <c r="AJ311" s="62">
        <v>312.2</v>
      </c>
      <c r="AK311" s="62">
        <f t="shared" si="110"/>
        <v>312.5</v>
      </c>
      <c r="AL311" s="62">
        <f t="shared" si="111"/>
        <v>311.89999999999998</v>
      </c>
      <c r="AM311" s="26">
        <v>650</v>
      </c>
      <c r="AN311" s="25" t="s">
        <v>389</v>
      </c>
      <c r="AO311" s="26">
        <f t="shared" si="116"/>
        <v>634</v>
      </c>
      <c r="AP311" s="29">
        <f t="shared" si="117"/>
        <v>1300</v>
      </c>
      <c r="AQ311" s="29" t="s">
        <v>569</v>
      </c>
      <c r="AR311" s="26" t="s">
        <v>422</v>
      </c>
      <c r="AS311" s="29">
        <f t="shared" si="118"/>
        <v>650</v>
      </c>
      <c r="AT311" s="29">
        <f>AM311-32</f>
        <v>618</v>
      </c>
      <c r="AU311" s="29">
        <f>AM311+32</f>
        <v>682</v>
      </c>
      <c r="AV311" s="39" t="s">
        <v>60</v>
      </c>
      <c r="AW311" s="39"/>
      <c r="AX311" s="29" t="s">
        <v>13</v>
      </c>
      <c r="AY311" s="6" t="s">
        <v>670</v>
      </c>
      <c r="AZ311" s="97" t="s">
        <v>13</v>
      </c>
      <c r="BA311" s="62">
        <v>22.588999999999999</v>
      </c>
      <c r="BD311" s="26">
        <v>291.65019999999998</v>
      </c>
      <c r="BE311" s="25" t="s">
        <v>239</v>
      </c>
      <c r="BF311" s="26">
        <f t="shared" si="126"/>
        <v>219.5463</v>
      </c>
      <c r="BG311" s="26">
        <f t="shared" si="126"/>
        <v>382.05599999999998</v>
      </c>
      <c r="BH311" s="83" t="s">
        <v>542</v>
      </c>
      <c r="BI311" s="25" t="s">
        <v>671</v>
      </c>
      <c r="BJ311" s="26">
        <v>219.5463</v>
      </c>
      <c r="BK311" s="26">
        <v>382.05599999999998</v>
      </c>
      <c r="BL311" s="26" t="s">
        <v>681</v>
      </c>
      <c r="BM311" s="25" t="s">
        <v>13</v>
      </c>
      <c r="BO311" s="25"/>
      <c r="CA311" s="25" t="s">
        <v>13</v>
      </c>
      <c r="CC311" s="25" t="s">
        <v>13</v>
      </c>
    </row>
    <row r="312" spans="1:81">
      <c r="A312" s="6" t="s">
        <v>255</v>
      </c>
      <c r="B312" s="25" t="s">
        <v>442</v>
      </c>
      <c r="C312" s="62">
        <f>63.2+0.5</f>
        <v>63.7</v>
      </c>
      <c r="D312" s="62"/>
      <c r="E312" s="62"/>
      <c r="F312" s="26">
        <f t="shared" si="127"/>
        <v>212.05151649320578</v>
      </c>
      <c r="G312" s="23" t="s">
        <v>389</v>
      </c>
      <c r="H312" s="26">
        <f t="shared" ref="H312:I321" si="128">M312*$P312/$O312</f>
        <v>148.00076517707618</v>
      </c>
      <c r="I312" s="26">
        <f t="shared" si="128"/>
        <v>276.10226780933539</v>
      </c>
      <c r="J312" s="83" t="s">
        <v>403</v>
      </c>
      <c r="K312" s="23" t="s">
        <v>400</v>
      </c>
      <c r="L312" s="25">
        <v>341</v>
      </c>
      <c r="M312" s="25">
        <f>L312-103</f>
        <v>238</v>
      </c>
      <c r="N312" s="25">
        <f>L312+103</f>
        <v>444</v>
      </c>
      <c r="O312" s="26">
        <v>2987</v>
      </c>
      <c r="P312" s="26">
        <v>1857.4717881677586</v>
      </c>
      <c r="Q312" s="25" t="s">
        <v>441</v>
      </c>
      <c r="R312" s="26" t="s">
        <v>13</v>
      </c>
      <c r="S312" s="6" t="s">
        <v>1131</v>
      </c>
      <c r="T312" s="44" t="s">
        <v>486</v>
      </c>
      <c r="U312" s="62">
        <v>13.9</v>
      </c>
      <c r="V312" s="62">
        <v>14.1</v>
      </c>
      <c r="W312" s="62">
        <v>13.7</v>
      </c>
      <c r="X312" s="26">
        <v>421.1161439927011</v>
      </c>
      <c r="Y312" s="26" t="s">
        <v>389</v>
      </c>
      <c r="Z312" s="26">
        <f t="shared" si="114"/>
        <v>294.78130079489074</v>
      </c>
      <c r="AA312" s="26">
        <f t="shared" si="115"/>
        <v>631.67421598905162</v>
      </c>
      <c r="AB312" s="25" t="s">
        <v>1191</v>
      </c>
      <c r="AC312" s="77" t="s">
        <v>400</v>
      </c>
      <c r="AF312" s="26" t="s">
        <v>1219</v>
      </c>
      <c r="AG312" s="25" t="s">
        <v>13</v>
      </c>
      <c r="AH312" s="6" t="s">
        <v>565</v>
      </c>
      <c r="AI312" s="45" t="s">
        <v>538</v>
      </c>
      <c r="AJ312" s="62">
        <f>AVERAGE(AK312:AL312)</f>
        <v>28.465</v>
      </c>
      <c r="AK312" s="62">
        <v>33.9</v>
      </c>
      <c r="AL312" s="62">
        <v>23.03</v>
      </c>
      <c r="AM312" s="26">
        <f>AS312</f>
        <v>390</v>
      </c>
      <c r="AN312" s="26" t="s">
        <v>389</v>
      </c>
      <c r="AO312" s="26">
        <f t="shared" ref="AO312:AP327" si="129">AT312</f>
        <v>264.66666666666669</v>
      </c>
      <c r="AP312" s="29">
        <f t="shared" si="129"/>
        <v>715.33333333333337</v>
      </c>
      <c r="AQ312" s="39" t="s">
        <v>539</v>
      </c>
      <c r="AR312" s="26" t="s">
        <v>422</v>
      </c>
      <c r="AS312" s="29">
        <f>AVERAGE(439,360,371)</f>
        <v>390</v>
      </c>
      <c r="AT312" s="29">
        <f>AVERAGE(263,276,255)</f>
        <v>264.66666666666669</v>
      </c>
      <c r="AU312" s="29">
        <f>AVERAGE(942,596,608)</f>
        <v>715.33333333333337</v>
      </c>
      <c r="AV312" s="39" t="s">
        <v>652</v>
      </c>
      <c r="AW312" s="39" t="s">
        <v>772</v>
      </c>
      <c r="AX312" s="29" t="s">
        <v>13</v>
      </c>
      <c r="AY312" s="6" t="s">
        <v>670</v>
      </c>
      <c r="AZ312" s="97" t="s">
        <v>13</v>
      </c>
      <c r="BA312" s="62">
        <v>22.661000000000001</v>
      </c>
      <c r="BD312" s="26">
        <v>315.91289999999998</v>
      </c>
      <c r="BE312" s="25" t="s">
        <v>239</v>
      </c>
      <c r="BF312" s="26">
        <f t="shared" si="126"/>
        <v>236.19739999999999</v>
      </c>
      <c r="BG312" s="26">
        <f t="shared" si="126"/>
        <v>417.20850000000002</v>
      </c>
      <c r="BH312" s="83" t="s">
        <v>542</v>
      </c>
      <c r="BI312" s="25" t="s">
        <v>671</v>
      </c>
      <c r="BJ312" s="26">
        <v>236.19739999999999</v>
      </c>
      <c r="BK312" s="26">
        <v>417.20850000000002</v>
      </c>
      <c r="BL312" s="26" t="s">
        <v>682</v>
      </c>
      <c r="BM312" s="25" t="s">
        <v>13</v>
      </c>
      <c r="BO312" s="25"/>
      <c r="CA312" s="25" t="s">
        <v>13</v>
      </c>
      <c r="CC312" s="25" t="s">
        <v>13</v>
      </c>
    </row>
    <row r="313" spans="1:81">
      <c r="A313" s="6" t="s">
        <v>255</v>
      </c>
      <c r="B313" s="25" t="s">
        <v>442</v>
      </c>
      <c r="C313" s="62">
        <f>64.1+0.5</f>
        <v>64.599999999999994</v>
      </c>
      <c r="D313" s="62"/>
      <c r="E313" s="62"/>
      <c r="F313" s="26">
        <f t="shared" si="127"/>
        <v>199.59476701156882</v>
      </c>
      <c r="G313" s="23" t="s">
        <v>389</v>
      </c>
      <c r="H313" s="26">
        <f t="shared" si="128"/>
        <v>143.87966333656036</v>
      </c>
      <c r="I313" s="26">
        <f t="shared" si="128"/>
        <v>255.30987068657731</v>
      </c>
      <c r="J313" s="83" t="s">
        <v>403</v>
      </c>
      <c r="K313" s="23" t="s">
        <v>400</v>
      </c>
      <c r="L313" s="25">
        <v>326</v>
      </c>
      <c r="M313" s="25">
        <f>L313-91</f>
        <v>235</v>
      </c>
      <c r="N313" s="25">
        <f>L313+91</f>
        <v>417</v>
      </c>
      <c r="O313" s="26">
        <f>AVERAGE(2649,4024)</f>
        <v>3336.5</v>
      </c>
      <c r="P313" s="26">
        <v>2042.7850924358877</v>
      </c>
      <c r="Q313" s="25" t="s">
        <v>441</v>
      </c>
      <c r="R313" s="26" t="s">
        <v>13</v>
      </c>
      <c r="S313" s="6" t="s">
        <v>1131</v>
      </c>
      <c r="T313" s="44" t="s">
        <v>1137</v>
      </c>
      <c r="U313" s="62">
        <v>14</v>
      </c>
      <c r="V313" s="62">
        <v>23</v>
      </c>
      <c r="W313" s="62">
        <v>5.3</v>
      </c>
      <c r="X313" s="26">
        <v>381.98339336945304</v>
      </c>
      <c r="Y313" s="26" t="s">
        <v>389</v>
      </c>
      <c r="Z313" s="26">
        <f t="shared" si="114"/>
        <v>267.38837535861711</v>
      </c>
      <c r="AA313" s="26">
        <f t="shared" si="115"/>
        <v>572.97509005417953</v>
      </c>
      <c r="AB313" s="25" t="s">
        <v>1191</v>
      </c>
      <c r="AC313" s="77" t="s">
        <v>400</v>
      </c>
      <c r="AF313" s="26">
        <v>52970</v>
      </c>
      <c r="AG313" s="25" t="s">
        <v>13</v>
      </c>
      <c r="AH313" s="6" t="s">
        <v>571</v>
      </c>
      <c r="AI313" s="25" t="s">
        <v>564</v>
      </c>
      <c r="AJ313" s="59">
        <v>21.73</v>
      </c>
      <c r="AK313" s="59">
        <f>AJ313+0.03</f>
        <v>21.76</v>
      </c>
      <c r="AL313" s="59">
        <f>AJ313-0.03</f>
        <v>21.7</v>
      </c>
      <c r="AM313" s="29">
        <v>809</v>
      </c>
      <c r="AN313" s="29" t="s">
        <v>239</v>
      </c>
      <c r="AO313" s="29">
        <f t="shared" si="129"/>
        <v>641</v>
      </c>
      <c r="AP313" s="29">
        <f t="shared" si="129"/>
        <v>1109</v>
      </c>
      <c r="AQ313" s="29" t="s">
        <v>542</v>
      </c>
      <c r="AR313" s="23" t="s">
        <v>400</v>
      </c>
      <c r="AS313" s="23"/>
      <c r="AT313" s="29">
        <v>641</v>
      </c>
      <c r="AU313" s="29">
        <v>1109</v>
      </c>
      <c r="AV313" s="39" t="s">
        <v>651</v>
      </c>
      <c r="AW313" s="39"/>
      <c r="AX313" s="29" t="s">
        <v>13</v>
      </c>
      <c r="AY313" s="6" t="s">
        <v>670</v>
      </c>
      <c r="AZ313" s="97" t="s">
        <v>13</v>
      </c>
      <c r="BA313" s="62">
        <v>22.672999999999998</v>
      </c>
      <c r="BD313" s="26">
        <v>348.8526</v>
      </c>
      <c r="BE313" s="25" t="s">
        <v>239</v>
      </c>
      <c r="BF313" s="26">
        <f t="shared" si="126"/>
        <v>259.17160000000001</v>
      </c>
      <c r="BG313" s="26">
        <f t="shared" si="126"/>
        <v>465.89659999999998</v>
      </c>
      <c r="BH313" s="83" t="s">
        <v>542</v>
      </c>
      <c r="BI313" s="25" t="s">
        <v>671</v>
      </c>
      <c r="BJ313" s="26">
        <v>259.17160000000001</v>
      </c>
      <c r="BK313" s="26">
        <v>465.89659999999998</v>
      </c>
      <c r="BL313" s="26" t="s">
        <v>683</v>
      </c>
      <c r="BM313" s="25" t="s">
        <v>13</v>
      </c>
      <c r="BO313" s="25"/>
      <c r="CA313" s="25" t="s">
        <v>13</v>
      </c>
      <c r="CC313" s="25" t="s">
        <v>13</v>
      </c>
    </row>
    <row r="314" spans="1:81">
      <c r="A314" s="6" t="s">
        <v>255</v>
      </c>
      <c r="B314" s="25" t="s">
        <v>442</v>
      </c>
      <c r="C314" s="62">
        <f>64.2+0.5</f>
        <v>64.7</v>
      </c>
      <c r="D314" s="62"/>
      <c r="E314" s="62"/>
      <c r="F314" s="26">
        <f t="shared" si="127"/>
        <v>288.94127381856879</v>
      </c>
      <c r="G314" s="23" t="s">
        <v>389</v>
      </c>
      <c r="H314" s="26">
        <f t="shared" si="128"/>
        <v>188.19201386867309</v>
      </c>
      <c r="I314" s="26">
        <f t="shared" si="128"/>
        <v>389.69053376846449</v>
      </c>
      <c r="J314" s="83" t="s">
        <v>403</v>
      </c>
      <c r="K314" s="23" t="s">
        <v>400</v>
      </c>
      <c r="L314" s="25">
        <v>456</v>
      </c>
      <c r="M314" s="25">
        <f>L314-159</f>
        <v>297</v>
      </c>
      <c r="N314" s="25">
        <f>L314+159</f>
        <v>615</v>
      </c>
      <c r="O314" s="26">
        <f>AVERAGE(1275,3338,3338)</f>
        <v>2650.3333333333335</v>
      </c>
      <c r="P314" s="26">
        <v>1679.3655468797081</v>
      </c>
      <c r="Q314" s="25" t="s">
        <v>441</v>
      </c>
      <c r="R314" s="26" t="s">
        <v>13</v>
      </c>
      <c r="S314" s="6" t="s">
        <v>1131</v>
      </c>
      <c r="T314" s="44" t="s">
        <v>1137</v>
      </c>
      <c r="U314" s="62">
        <v>14.3</v>
      </c>
      <c r="V314" s="62">
        <v>14.5</v>
      </c>
      <c r="W314" s="62">
        <v>14.2</v>
      </c>
      <c r="X314" s="26">
        <v>517.28454181893915</v>
      </c>
      <c r="Y314" s="26" t="s">
        <v>389</v>
      </c>
      <c r="Z314" s="26">
        <f t="shared" si="114"/>
        <v>362.09917927325739</v>
      </c>
      <c r="AA314" s="26">
        <f t="shared" si="115"/>
        <v>775.92681272840878</v>
      </c>
      <c r="AB314" s="25" t="s">
        <v>1191</v>
      </c>
      <c r="AC314" s="77" t="s">
        <v>400</v>
      </c>
      <c r="AF314" s="26" t="s">
        <v>1218</v>
      </c>
      <c r="AG314" s="25" t="s">
        <v>13</v>
      </c>
      <c r="AH314" s="6" t="s">
        <v>571</v>
      </c>
      <c r="AI314" s="25" t="s">
        <v>564</v>
      </c>
      <c r="AJ314" s="59">
        <v>27.23</v>
      </c>
      <c r="AK314" s="59">
        <f>AJ314+0.03</f>
        <v>27.26</v>
      </c>
      <c r="AL314" s="59">
        <f>AJ314-0.03</f>
        <v>27.2</v>
      </c>
      <c r="AM314" s="29">
        <v>384</v>
      </c>
      <c r="AN314" s="29" t="s">
        <v>239</v>
      </c>
      <c r="AO314" s="29">
        <f t="shared" si="129"/>
        <v>338</v>
      </c>
      <c r="AP314" s="29">
        <f t="shared" si="129"/>
        <v>443</v>
      </c>
      <c r="AQ314" s="29" t="s">
        <v>542</v>
      </c>
      <c r="AR314" s="23" t="s">
        <v>400</v>
      </c>
      <c r="AS314" s="23"/>
      <c r="AT314" s="29">
        <v>338</v>
      </c>
      <c r="AU314" s="29">
        <v>443</v>
      </c>
      <c r="AV314" s="39" t="s">
        <v>651</v>
      </c>
      <c r="AW314" s="39"/>
      <c r="AX314" s="29" t="s">
        <v>13</v>
      </c>
      <c r="AY314" s="6" t="s">
        <v>670</v>
      </c>
      <c r="AZ314" s="97" t="s">
        <v>13</v>
      </c>
      <c r="BA314" s="62">
        <v>22.696000000000002</v>
      </c>
      <c r="BD314" s="26">
        <v>290.13510000000002</v>
      </c>
      <c r="BE314" s="25" t="s">
        <v>239</v>
      </c>
      <c r="BF314" s="26">
        <f t="shared" si="126"/>
        <v>218.13570000000001</v>
      </c>
      <c r="BG314" s="26">
        <f t="shared" si="126"/>
        <v>379.54419999999999</v>
      </c>
      <c r="BH314" s="83" t="s">
        <v>542</v>
      </c>
      <c r="BI314" s="25" t="s">
        <v>671</v>
      </c>
      <c r="BJ314" s="26">
        <v>218.13570000000001</v>
      </c>
      <c r="BK314" s="26">
        <v>379.54419999999999</v>
      </c>
      <c r="BL314" s="26" t="s">
        <v>684</v>
      </c>
      <c r="BM314" s="25" t="s">
        <v>13</v>
      </c>
      <c r="BO314" s="25"/>
      <c r="CA314" s="25" t="s">
        <v>13</v>
      </c>
      <c r="CC314" s="25" t="s">
        <v>13</v>
      </c>
    </row>
    <row r="315" spans="1:81">
      <c r="A315" s="6" t="s">
        <v>255</v>
      </c>
      <c r="B315" s="25" t="s">
        <v>442</v>
      </c>
      <c r="C315" s="62">
        <f>64.4+0.5</f>
        <v>64.900000000000006</v>
      </c>
      <c r="D315" s="62"/>
      <c r="E315" s="62"/>
      <c r="F315" s="26">
        <f t="shared" si="127"/>
        <v>175.13069162365264</v>
      </c>
      <c r="G315" s="23" t="s">
        <v>389</v>
      </c>
      <c r="H315" s="26">
        <f t="shared" si="128"/>
        <v>127.36777572629283</v>
      </c>
      <c r="I315" s="26">
        <f t="shared" si="128"/>
        <v>222.89360752101248</v>
      </c>
      <c r="J315" s="83" t="s">
        <v>403</v>
      </c>
      <c r="K315" s="23" t="s">
        <v>400</v>
      </c>
      <c r="L315" s="25">
        <v>286</v>
      </c>
      <c r="M315" s="25">
        <f>L315-78</f>
        <v>208</v>
      </c>
      <c r="N315" s="25">
        <f>L315+78</f>
        <v>364</v>
      </c>
      <c r="O315" s="26">
        <v>3338</v>
      </c>
      <c r="P315" s="26">
        <v>2044.0078623767572</v>
      </c>
      <c r="Q315" s="25" t="s">
        <v>441</v>
      </c>
      <c r="R315" s="26" t="s">
        <v>13</v>
      </c>
      <c r="S315" s="6" t="s">
        <v>1131</v>
      </c>
      <c r="T315" s="44" t="s">
        <v>1137</v>
      </c>
      <c r="U315" s="62">
        <v>14.5</v>
      </c>
      <c r="V315" s="62">
        <v>14.6</v>
      </c>
      <c r="W315" s="62">
        <v>14.4</v>
      </c>
      <c r="X315" s="26">
        <v>469.62730802744733</v>
      </c>
      <c r="Y315" s="26" t="s">
        <v>389</v>
      </c>
      <c r="Z315" s="26">
        <f t="shared" si="114"/>
        <v>328.73911561921312</v>
      </c>
      <c r="AA315" s="26">
        <f t="shared" si="115"/>
        <v>704.44096204117102</v>
      </c>
      <c r="AB315" s="25" t="s">
        <v>1191</v>
      </c>
      <c r="AC315" s="77" t="s">
        <v>400</v>
      </c>
      <c r="AF315" s="26" t="s">
        <v>1218</v>
      </c>
      <c r="AG315" s="25" t="s">
        <v>13</v>
      </c>
      <c r="AH315" s="6" t="s">
        <v>810</v>
      </c>
      <c r="AI315" s="39" t="s">
        <v>570</v>
      </c>
      <c r="AJ315" s="59">
        <f>AVERAGE(AK315:AL315)</f>
        <v>131.44999999999999</v>
      </c>
      <c r="AK315" s="59">
        <v>132.1</v>
      </c>
      <c r="AL315" s="59">
        <v>130.80000000000001</v>
      </c>
      <c r="AM315" s="29">
        <f>AVERAGE(AO315:AP315)</f>
        <v>799</v>
      </c>
      <c r="AN315" s="39" t="s">
        <v>389</v>
      </c>
      <c r="AO315" s="29">
        <f t="shared" si="129"/>
        <v>520</v>
      </c>
      <c r="AP315" s="29">
        <f t="shared" si="129"/>
        <v>1078</v>
      </c>
      <c r="AQ315" s="29" t="s">
        <v>537</v>
      </c>
      <c r="AR315" s="29" t="s">
        <v>422</v>
      </c>
      <c r="AS315" s="29"/>
      <c r="AT315" s="29">
        <f>595-75</f>
        <v>520</v>
      </c>
      <c r="AU315" s="29">
        <f>957+121</f>
        <v>1078</v>
      </c>
      <c r="AV315" s="39" t="s">
        <v>60</v>
      </c>
      <c r="AW315" s="39"/>
      <c r="AX315" s="29" t="s">
        <v>13</v>
      </c>
      <c r="AY315" s="6" t="s">
        <v>670</v>
      </c>
      <c r="AZ315" s="97" t="s">
        <v>13</v>
      </c>
      <c r="BA315" s="62">
        <v>22.728000000000002</v>
      </c>
      <c r="BD315" s="26">
        <v>229.1653</v>
      </c>
      <c r="BE315" s="25" t="s">
        <v>239</v>
      </c>
      <c r="BF315" s="26">
        <f t="shared" si="126"/>
        <v>173.61009999999999</v>
      </c>
      <c r="BG315" s="26">
        <f t="shared" si="126"/>
        <v>296.76409999999998</v>
      </c>
      <c r="BH315" s="83" t="s">
        <v>542</v>
      </c>
      <c r="BI315" s="25" t="s">
        <v>671</v>
      </c>
      <c r="BJ315" s="26">
        <v>173.61009999999999</v>
      </c>
      <c r="BK315" s="26">
        <v>296.76409999999998</v>
      </c>
      <c r="BL315" s="26" t="s">
        <v>685</v>
      </c>
      <c r="BM315" s="25" t="s">
        <v>13</v>
      </c>
      <c r="BO315" s="25"/>
      <c r="CA315" s="25" t="s">
        <v>13</v>
      </c>
      <c r="CC315" s="25" t="s">
        <v>13</v>
      </c>
    </row>
    <row r="316" spans="1:81">
      <c r="A316" s="6" t="s">
        <v>255</v>
      </c>
      <c r="B316" s="25" t="s">
        <v>442</v>
      </c>
      <c r="C316" s="62">
        <f>64.5+0.5</f>
        <v>65</v>
      </c>
      <c r="D316" s="62"/>
      <c r="E316" s="62"/>
      <c r="F316" s="26">
        <f t="shared" si="127"/>
        <v>357.49301786748816</v>
      </c>
      <c r="G316" s="23" t="s">
        <v>389</v>
      </c>
      <c r="H316" s="26">
        <f t="shared" si="128"/>
        <v>260.16187087959327</v>
      </c>
      <c r="I316" s="26">
        <f t="shared" si="128"/>
        <v>454.82416485538306</v>
      </c>
      <c r="J316" s="83" t="s">
        <v>403</v>
      </c>
      <c r="K316" s="23" t="s">
        <v>400</v>
      </c>
      <c r="L316" s="25">
        <v>584</v>
      </c>
      <c r="M316" s="25">
        <f>L316-159</f>
        <v>425</v>
      </c>
      <c r="N316" s="25">
        <f>L316+159</f>
        <v>743</v>
      </c>
      <c r="O316" s="26">
        <v>3340</v>
      </c>
      <c r="P316" s="26">
        <v>2044.566232324333</v>
      </c>
      <c r="Q316" s="25" t="s">
        <v>441</v>
      </c>
      <c r="R316" s="26" t="s">
        <v>13</v>
      </c>
      <c r="S316" s="6" t="s">
        <v>1131</v>
      </c>
      <c r="T316" s="44" t="s">
        <v>1137</v>
      </c>
      <c r="U316" s="62">
        <v>14.5</v>
      </c>
      <c r="V316" s="62">
        <v>14.6</v>
      </c>
      <c r="W316" s="62">
        <v>14.4</v>
      </c>
      <c r="X316" s="26">
        <v>475.11698295664274</v>
      </c>
      <c r="Y316" s="26" t="s">
        <v>389</v>
      </c>
      <c r="Z316" s="26">
        <f t="shared" si="114"/>
        <v>332.58188806964989</v>
      </c>
      <c r="AA316" s="26">
        <f t="shared" si="115"/>
        <v>712.67547443496414</v>
      </c>
      <c r="AB316" s="25" t="s">
        <v>1191</v>
      </c>
      <c r="AC316" s="77" t="s">
        <v>400</v>
      </c>
      <c r="AF316" s="26" t="s">
        <v>1218</v>
      </c>
      <c r="AG316" s="25" t="s">
        <v>13</v>
      </c>
      <c r="AH316" s="6" t="s">
        <v>810</v>
      </c>
      <c r="AI316" s="39" t="s">
        <v>564</v>
      </c>
      <c r="AJ316" s="59">
        <v>103</v>
      </c>
      <c r="AK316" s="59">
        <v>105</v>
      </c>
      <c r="AL316" s="59">
        <v>101</v>
      </c>
      <c r="AM316" s="29">
        <f>AVERAGE(AO316:AP316)</f>
        <v>1071</v>
      </c>
      <c r="AN316" s="29" t="s">
        <v>389</v>
      </c>
      <c r="AO316" s="29">
        <f t="shared" si="129"/>
        <v>730</v>
      </c>
      <c r="AP316" s="29">
        <f t="shared" si="129"/>
        <v>1412</v>
      </c>
      <c r="AQ316" s="29" t="s">
        <v>537</v>
      </c>
      <c r="AR316" s="29" t="s">
        <v>422</v>
      </c>
      <c r="AS316" s="29"/>
      <c r="AT316" s="29">
        <f>805-75</f>
        <v>730</v>
      </c>
      <c r="AU316" s="29">
        <f>1292+120</f>
        <v>1412</v>
      </c>
      <c r="AV316" s="39" t="s">
        <v>60</v>
      </c>
      <c r="AW316" s="39"/>
      <c r="AX316" s="29" t="s">
        <v>13</v>
      </c>
      <c r="AY316" s="6" t="s">
        <v>670</v>
      </c>
      <c r="AZ316" s="97" t="s">
        <v>13</v>
      </c>
      <c r="BA316" s="62">
        <v>22.736000000000001</v>
      </c>
      <c r="BD316" s="26">
        <v>271.62270000000001</v>
      </c>
      <c r="BE316" s="25" t="s">
        <v>239</v>
      </c>
      <c r="BF316" s="26">
        <f t="shared" si="126"/>
        <v>204.83179999999999</v>
      </c>
      <c r="BG316" s="26">
        <f t="shared" si="126"/>
        <v>353.89909999999998</v>
      </c>
      <c r="BH316" s="83" t="s">
        <v>542</v>
      </c>
      <c r="BI316" s="25" t="s">
        <v>671</v>
      </c>
      <c r="BJ316" s="26">
        <v>204.83179999999999</v>
      </c>
      <c r="BK316" s="26">
        <v>353.89909999999998</v>
      </c>
      <c r="BL316" s="26" t="s">
        <v>686</v>
      </c>
      <c r="BM316" s="25" t="s">
        <v>13</v>
      </c>
      <c r="BO316" s="25"/>
      <c r="CA316" s="25" t="s">
        <v>13</v>
      </c>
      <c r="CC316" s="25" t="s">
        <v>13</v>
      </c>
    </row>
    <row r="317" spans="1:81">
      <c r="A317" s="6" t="s">
        <v>255</v>
      </c>
      <c r="B317" s="25" t="s">
        <v>442</v>
      </c>
      <c r="C317" s="62">
        <f>64.6+0.5</f>
        <v>65.099999999999994</v>
      </c>
      <c r="D317" s="62"/>
      <c r="E317" s="62"/>
      <c r="F317" s="26">
        <f t="shared" si="127"/>
        <v>277.65805513335124</v>
      </c>
      <c r="G317" s="23" t="s">
        <v>389</v>
      </c>
      <c r="H317" s="26">
        <f t="shared" si="128"/>
        <v>200.08618163711563</v>
      </c>
      <c r="I317" s="26">
        <f t="shared" si="128"/>
        <v>355.22992862958682</v>
      </c>
      <c r="J317" s="83" t="s">
        <v>403</v>
      </c>
      <c r="K317" s="23" t="s">
        <v>400</v>
      </c>
      <c r="L317" s="25">
        <v>451</v>
      </c>
      <c r="M317" s="25">
        <f>L317-126</f>
        <v>325</v>
      </c>
      <c r="N317" s="25">
        <f>L317+126</f>
        <v>577</v>
      </c>
      <c r="O317" s="26">
        <f>AVERAGE(4717,1689)</f>
        <v>3203</v>
      </c>
      <c r="P317" s="26">
        <v>1971.926276257481</v>
      </c>
      <c r="Q317" s="25" t="s">
        <v>441</v>
      </c>
      <c r="R317" s="26" t="s">
        <v>13</v>
      </c>
      <c r="S317" s="6" t="s">
        <v>1131</v>
      </c>
      <c r="T317" s="44" t="s">
        <v>1137</v>
      </c>
      <c r="U317" s="62">
        <v>14.6</v>
      </c>
      <c r="V317" s="62">
        <v>14.7</v>
      </c>
      <c r="W317" s="62">
        <v>14.7</v>
      </c>
      <c r="X317" s="26">
        <v>368.37116529853125</v>
      </c>
      <c r="Y317" s="26" t="s">
        <v>389</v>
      </c>
      <c r="Z317" s="26">
        <f t="shared" si="114"/>
        <v>257.85981570897184</v>
      </c>
      <c r="AA317" s="26">
        <f t="shared" si="115"/>
        <v>552.55674794779691</v>
      </c>
      <c r="AB317" s="25" t="s">
        <v>1191</v>
      </c>
      <c r="AC317" s="77" t="s">
        <v>400</v>
      </c>
      <c r="AF317" s="26" t="s">
        <v>1220</v>
      </c>
      <c r="AG317" s="25" t="s">
        <v>13</v>
      </c>
      <c r="AH317" s="6" t="s">
        <v>805</v>
      </c>
      <c r="AI317" s="25" t="s">
        <v>806</v>
      </c>
      <c r="AJ317" s="62">
        <f>AVERAGE(AK317:AL317)</f>
        <v>104</v>
      </c>
      <c r="AK317" s="59">
        <v>108</v>
      </c>
      <c r="AL317" s="59">
        <v>100</v>
      </c>
      <c r="AM317" s="26">
        <f>AVERAGE(AO317:AP317)</f>
        <v>843.5</v>
      </c>
      <c r="AN317" s="25" t="s">
        <v>389</v>
      </c>
      <c r="AO317" s="29">
        <f t="shared" si="129"/>
        <v>565</v>
      </c>
      <c r="AP317" s="29">
        <f t="shared" si="129"/>
        <v>1122</v>
      </c>
      <c r="AQ317" s="29" t="s">
        <v>537</v>
      </c>
      <c r="AR317" s="26" t="s">
        <v>422</v>
      </c>
      <c r="AS317" s="29"/>
      <c r="AT317" s="29">
        <f>619-54</f>
        <v>565</v>
      </c>
      <c r="AU317" s="29">
        <f>1032+90</f>
        <v>1122</v>
      </c>
      <c r="AV317" s="39" t="s">
        <v>60</v>
      </c>
      <c r="AW317" s="39" t="s">
        <v>829</v>
      </c>
      <c r="AX317" s="29" t="s">
        <v>13</v>
      </c>
      <c r="AY317" s="6" t="s">
        <v>670</v>
      </c>
      <c r="AZ317" s="97" t="s">
        <v>13</v>
      </c>
      <c r="BA317" s="62">
        <v>22.81</v>
      </c>
      <c r="BD317" s="26">
        <v>228.0061</v>
      </c>
      <c r="BE317" s="25" t="s">
        <v>239</v>
      </c>
      <c r="BF317" s="26">
        <f t="shared" si="126"/>
        <v>172.67089999999999</v>
      </c>
      <c r="BG317" s="26">
        <f t="shared" si="126"/>
        <v>294.50709999999998</v>
      </c>
      <c r="BH317" s="83" t="s">
        <v>542</v>
      </c>
      <c r="BI317" s="25" t="s">
        <v>671</v>
      </c>
      <c r="BJ317" s="26">
        <v>172.67089999999999</v>
      </c>
      <c r="BK317" s="26">
        <v>294.50709999999998</v>
      </c>
      <c r="BL317" s="26" t="s">
        <v>687</v>
      </c>
      <c r="BM317" s="25" t="s">
        <v>13</v>
      </c>
      <c r="BO317" s="25"/>
      <c r="CA317" s="25" t="s">
        <v>13</v>
      </c>
      <c r="CC317" s="25" t="s">
        <v>13</v>
      </c>
    </row>
    <row r="318" spans="1:81">
      <c r="A318" s="6" t="s">
        <v>255</v>
      </c>
      <c r="B318" s="25" t="s">
        <v>442</v>
      </c>
      <c r="C318" s="62">
        <f>64.7+0.5</f>
        <v>65.2</v>
      </c>
      <c r="D318" s="62"/>
      <c r="E318" s="62"/>
      <c r="F318" s="26">
        <f t="shared" si="127"/>
        <v>360.48374235754693</v>
      </c>
      <c r="G318" s="23" t="s">
        <v>389</v>
      </c>
      <c r="H318" s="26">
        <f t="shared" si="128"/>
        <v>188.79464889727413</v>
      </c>
      <c r="I318" s="26">
        <f t="shared" si="128"/>
        <v>532.17283581781976</v>
      </c>
      <c r="J318" s="83" t="s">
        <v>403</v>
      </c>
      <c r="K318" s="23" t="s">
        <v>400</v>
      </c>
      <c r="L318" s="25">
        <v>569</v>
      </c>
      <c r="M318" s="25">
        <f>L318-271</f>
        <v>298</v>
      </c>
      <c r="N318" s="25">
        <f>L318+271</f>
        <v>840</v>
      </c>
      <c r="O318" s="26">
        <f>AVERAGE(1965,1965,1965,2653,4718)</f>
        <v>2653.2</v>
      </c>
      <c r="P318" s="26">
        <v>1680.9059142759991</v>
      </c>
      <c r="Q318" s="25" t="s">
        <v>441</v>
      </c>
      <c r="R318" s="26" t="s">
        <v>13</v>
      </c>
      <c r="S318" s="6" t="s">
        <v>1131</v>
      </c>
      <c r="T318" s="44" t="s">
        <v>1137</v>
      </c>
      <c r="U318" s="62">
        <v>14.7</v>
      </c>
      <c r="V318" s="62">
        <v>14.6</v>
      </c>
      <c r="W318" s="62">
        <v>14.6</v>
      </c>
      <c r="X318" s="26">
        <v>381.2314228537864</v>
      </c>
      <c r="Y318" s="26" t="s">
        <v>389</v>
      </c>
      <c r="Z318" s="26">
        <f t="shared" si="114"/>
        <v>266.86199599765047</v>
      </c>
      <c r="AA318" s="26">
        <f t="shared" si="115"/>
        <v>571.8471342806796</v>
      </c>
      <c r="AB318" s="25" t="s">
        <v>1191</v>
      </c>
      <c r="AC318" s="77" t="s">
        <v>400</v>
      </c>
      <c r="AF318" s="26" t="s">
        <v>1221</v>
      </c>
      <c r="AG318" s="25" t="s">
        <v>13</v>
      </c>
      <c r="AH318" s="7" t="s">
        <v>656</v>
      </c>
      <c r="AI318" s="25" t="s">
        <v>653</v>
      </c>
      <c r="AJ318" s="62">
        <v>18.100000000000001</v>
      </c>
      <c r="AK318" s="62">
        <v>18.3</v>
      </c>
      <c r="AL318" s="62">
        <v>17.899999999999999</v>
      </c>
      <c r="AM318" s="26">
        <f>AS318</f>
        <v>837</v>
      </c>
      <c r="AN318" s="26" t="s">
        <v>655</v>
      </c>
      <c r="AO318" s="29">
        <f t="shared" si="129"/>
        <v>413</v>
      </c>
      <c r="AP318" s="29">
        <f t="shared" si="129"/>
        <v>1479</v>
      </c>
      <c r="AQ318" s="29" t="s">
        <v>654</v>
      </c>
      <c r="AR318" s="23" t="s">
        <v>400</v>
      </c>
      <c r="AS318" s="29">
        <v>837</v>
      </c>
      <c r="AT318" s="29">
        <v>413</v>
      </c>
      <c r="AU318" s="29">
        <v>1479</v>
      </c>
      <c r="AV318" s="39" t="s">
        <v>651</v>
      </c>
      <c r="AW318" s="39" t="s">
        <v>769</v>
      </c>
      <c r="AX318" s="29" t="s">
        <v>13</v>
      </c>
      <c r="AY318" s="6" t="s">
        <v>670</v>
      </c>
      <c r="AZ318" s="97" t="s">
        <v>13</v>
      </c>
      <c r="BA318" s="62">
        <v>22.815000000000001</v>
      </c>
      <c r="BD318" s="26">
        <v>233.14769999999999</v>
      </c>
      <c r="BE318" s="25" t="s">
        <v>239</v>
      </c>
      <c r="BF318" s="26">
        <f t="shared" si="126"/>
        <v>176.0925</v>
      </c>
      <c r="BG318" s="26">
        <f t="shared" si="126"/>
        <v>301.48200000000003</v>
      </c>
      <c r="BH318" s="83" t="s">
        <v>542</v>
      </c>
      <c r="BI318" s="25" t="s">
        <v>671</v>
      </c>
      <c r="BJ318" s="26">
        <v>176.0925</v>
      </c>
      <c r="BK318" s="26">
        <v>301.48200000000003</v>
      </c>
      <c r="BL318" s="26" t="s">
        <v>688</v>
      </c>
      <c r="BM318" s="25" t="s">
        <v>13</v>
      </c>
      <c r="BO318" s="25"/>
      <c r="CA318" s="25" t="s">
        <v>13</v>
      </c>
      <c r="CC318" s="25" t="s">
        <v>13</v>
      </c>
    </row>
    <row r="319" spans="1:81">
      <c r="A319" s="6" t="s">
        <v>255</v>
      </c>
      <c r="B319" s="25" t="s">
        <v>442</v>
      </c>
      <c r="C319" s="62">
        <f>64.9+0.5</f>
        <v>65.400000000000006</v>
      </c>
      <c r="D319" s="62"/>
      <c r="E319" s="62"/>
      <c r="F319" s="26">
        <f t="shared" si="127"/>
        <v>297.77357771402592</v>
      </c>
      <c r="G319" s="23" t="s">
        <v>389</v>
      </c>
      <c r="H319" s="26">
        <f t="shared" si="128"/>
        <v>196.40384913052773</v>
      </c>
      <c r="I319" s="26">
        <f t="shared" si="128"/>
        <v>399.14330629752413</v>
      </c>
      <c r="J319" s="83" t="s">
        <v>403</v>
      </c>
      <c r="K319" s="23" t="s">
        <v>400</v>
      </c>
      <c r="L319" s="25">
        <v>470</v>
      </c>
      <c r="M319" s="25">
        <f>L319-160</f>
        <v>310</v>
      </c>
      <c r="N319" s="25">
        <f>L319+160</f>
        <v>630</v>
      </c>
      <c r="O319" s="26">
        <v>2654</v>
      </c>
      <c r="P319" s="26">
        <v>1681.4703728787763</v>
      </c>
      <c r="Q319" s="25" t="s">
        <v>441</v>
      </c>
      <c r="R319" s="26" t="s">
        <v>13</v>
      </c>
      <c r="S319" s="6" t="s">
        <v>1131</v>
      </c>
      <c r="T319" s="44" t="s">
        <v>486</v>
      </c>
      <c r="U319" s="62">
        <v>14.8</v>
      </c>
      <c r="V319" s="62">
        <v>15</v>
      </c>
      <c r="W319" s="62">
        <v>14.5</v>
      </c>
      <c r="X319" s="26">
        <v>365.85662416660898</v>
      </c>
      <c r="Y319" s="26" t="s">
        <v>389</v>
      </c>
      <c r="Z319" s="26">
        <f t="shared" si="114"/>
        <v>256.09963691662625</v>
      </c>
      <c r="AA319" s="26">
        <f t="shared" si="115"/>
        <v>548.78493624991347</v>
      </c>
      <c r="AB319" s="25" t="s">
        <v>1191</v>
      </c>
      <c r="AC319" s="77" t="s">
        <v>400</v>
      </c>
      <c r="AF319" s="26" t="s">
        <v>1222</v>
      </c>
      <c r="AG319" s="25" t="s">
        <v>13</v>
      </c>
      <c r="AH319" s="6" t="s">
        <v>631</v>
      </c>
      <c r="AI319" s="25" t="s">
        <v>633</v>
      </c>
      <c r="AJ319" s="59">
        <v>100.59</v>
      </c>
      <c r="AK319" s="59">
        <f>AJ319+0.1</f>
        <v>100.69</v>
      </c>
      <c r="AL319" s="59">
        <f>AJ319-0.1</f>
        <v>100.49000000000001</v>
      </c>
      <c r="AM319" s="29">
        <f>AS319</f>
        <v>651</v>
      </c>
      <c r="AN319" s="25" t="s">
        <v>389</v>
      </c>
      <c r="AO319" s="29">
        <f t="shared" si="129"/>
        <v>497</v>
      </c>
      <c r="AP319" s="29">
        <f t="shared" si="129"/>
        <v>805</v>
      </c>
      <c r="AQ319" s="29" t="s">
        <v>632</v>
      </c>
      <c r="AR319" s="23" t="s">
        <v>437</v>
      </c>
      <c r="AS319" s="23">
        <f>AVERAGE(AT319:AU319)</f>
        <v>651</v>
      </c>
      <c r="AT319" s="29">
        <v>497</v>
      </c>
      <c r="AU319" s="29">
        <v>805</v>
      </c>
      <c r="AV319" s="39" t="s">
        <v>651</v>
      </c>
      <c r="AW319" s="39"/>
      <c r="AX319" s="29" t="s">
        <v>13</v>
      </c>
      <c r="AY319" s="6" t="s">
        <v>670</v>
      </c>
      <c r="AZ319" s="97" t="s">
        <v>13</v>
      </c>
      <c r="BA319" s="62">
        <v>22.82</v>
      </c>
      <c r="BD319" s="26">
        <v>250.59219999999999</v>
      </c>
      <c r="BE319" s="25" t="s">
        <v>239</v>
      </c>
      <c r="BF319" s="26">
        <f t="shared" si="126"/>
        <v>189.7158</v>
      </c>
      <c r="BG319" s="26">
        <f t="shared" si="126"/>
        <v>326.52550000000002</v>
      </c>
      <c r="BH319" s="83" t="s">
        <v>542</v>
      </c>
      <c r="BI319" s="25" t="s">
        <v>671</v>
      </c>
      <c r="BJ319" s="26">
        <v>189.7158</v>
      </c>
      <c r="BK319" s="26">
        <v>326.52550000000002</v>
      </c>
      <c r="BL319" s="26" t="s">
        <v>689</v>
      </c>
      <c r="BM319" s="25" t="s">
        <v>13</v>
      </c>
      <c r="BO319" s="25"/>
      <c r="CA319" s="25" t="s">
        <v>13</v>
      </c>
      <c r="CC319" s="25" t="s">
        <v>13</v>
      </c>
    </row>
    <row r="320" spans="1:81">
      <c r="A320" s="6" t="s">
        <v>255</v>
      </c>
      <c r="B320" s="25" t="s">
        <v>442</v>
      </c>
      <c r="C320" s="62">
        <f>66+0.5</f>
        <v>66.5</v>
      </c>
      <c r="D320" s="62"/>
      <c r="E320" s="62"/>
      <c r="F320" s="26">
        <f t="shared" si="127"/>
        <v>491.86701773079386</v>
      </c>
      <c r="G320" s="23" t="s">
        <v>389</v>
      </c>
      <c r="H320" s="26">
        <f t="shared" si="128"/>
        <v>395.49164030206003</v>
      </c>
      <c r="I320" s="26">
        <f t="shared" si="128"/>
        <v>588.24239515952763</v>
      </c>
      <c r="J320" s="83" t="s">
        <v>403</v>
      </c>
      <c r="K320" s="23" t="s">
        <v>400</v>
      </c>
      <c r="L320" s="25">
        <v>837</v>
      </c>
      <c r="M320" s="25">
        <f>L320-164</f>
        <v>673</v>
      </c>
      <c r="N320" s="25">
        <f>L320+164</f>
        <v>1001</v>
      </c>
      <c r="O320" s="26">
        <v>4738</v>
      </c>
      <c r="P320" s="26">
        <v>2784.3081601057361</v>
      </c>
      <c r="Q320" s="25" t="s">
        <v>441</v>
      </c>
      <c r="R320" s="26" t="s">
        <v>13</v>
      </c>
      <c r="S320" s="6" t="s">
        <v>1131</v>
      </c>
      <c r="T320" s="44" t="s">
        <v>1137</v>
      </c>
      <c r="U320" s="62">
        <v>14.8</v>
      </c>
      <c r="V320" s="62">
        <v>14.9</v>
      </c>
      <c r="W320" s="62">
        <v>14.7</v>
      </c>
      <c r="X320" s="26">
        <v>434.31057558661297</v>
      </c>
      <c r="Y320" s="26" t="s">
        <v>389</v>
      </c>
      <c r="Z320" s="26">
        <f t="shared" si="114"/>
        <v>304.01740291062907</v>
      </c>
      <c r="AA320" s="26">
        <f t="shared" si="115"/>
        <v>651.46586337991948</v>
      </c>
      <c r="AB320" s="25" t="s">
        <v>1191</v>
      </c>
      <c r="AC320" s="77" t="s">
        <v>400</v>
      </c>
      <c r="AF320" s="26" t="s">
        <v>1218</v>
      </c>
      <c r="AG320" s="25" t="s">
        <v>13</v>
      </c>
      <c r="AH320" s="6" t="s">
        <v>631</v>
      </c>
      <c r="AI320" s="25" t="s">
        <v>633</v>
      </c>
      <c r="AJ320" s="59">
        <v>100.6</v>
      </c>
      <c r="AK320" s="59">
        <f t="shared" ref="AK320:AK326" si="130">AJ320+0.1</f>
        <v>100.69999999999999</v>
      </c>
      <c r="AL320" s="59">
        <f t="shared" ref="AL320:AL326" si="131">AJ320-0.1</f>
        <v>100.5</v>
      </c>
      <c r="AM320" s="29">
        <f t="shared" ref="AM320:AM326" si="132">AS320</f>
        <v>670</v>
      </c>
      <c r="AN320" s="25" t="s">
        <v>389</v>
      </c>
      <c r="AO320" s="29">
        <f t="shared" si="129"/>
        <v>511</v>
      </c>
      <c r="AP320" s="29">
        <f t="shared" si="129"/>
        <v>829</v>
      </c>
      <c r="AQ320" s="29" t="s">
        <v>632</v>
      </c>
      <c r="AR320" s="23" t="s">
        <v>437</v>
      </c>
      <c r="AS320" s="23">
        <f t="shared" ref="AS320:AS326" si="133">AVERAGE(AT320:AU320)</f>
        <v>670</v>
      </c>
      <c r="AT320" s="29">
        <v>511</v>
      </c>
      <c r="AU320" s="29">
        <v>829</v>
      </c>
      <c r="AV320" s="39" t="s">
        <v>651</v>
      </c>
      <c r="AW320" s="39"/>
      <c r="AX320" s="29" t="s">
        <v>13</v>
      </c>
      <c r="AY320" s="6" t="s">
        <v>670</v>
      </c>
      <c r="AZ320" s="97" t="s">
        <v>13</v>
      </c>
      <c r="BA320" s="62">
        <v>22.872</v>
      </c>
      <c r="BD320" s="26">
        <v>346.67860000000002</v>
      </c>
      <c r="BE320" s="25" t="s">
        <v>239</v>
      </c>
      <c r="BF320" s="26">
        <f t="shared" si="126"/>
        <v>257.72879999999998</v>
      </c>
      <c r="BG320" s="26">
        <f t="shared" si="126"/>
        <v>459.41919999999999</v>
      </c>
      <c r="BH320" s="83" t="s">
        <v>542</v>
      </c>
      <c r="BI320" s="25" t="s">
        <v>671</v>
      </c>
      <c r="BJ320" s="26">
        <v>257.72879999999998</v>
      </c>
      <c r="BK320" s="26">
        <v>459.41919999999999</v>
      </c>
      <c r="BL320" s="26" t="s">
        <v>690</v>
      </c>
      <c r="BM320" s="25" t="s">
        <v>13</v>
      </c>
      <c r="BO320" s="25"/>
      <c r="CA320" s="25" t="s">
        <v>13</v>
      </c>
      <c r="CC320" s="25" t="s">
        <v>13</v>
      </c>
    </row>
    <row r="321" spans="1:81">
      <c r="A321" s="6" t="s">
        <v>255</v>
      </c>
      <c r="B321" s="25" t="s">
        <v>442</v>
      </c>
      <c r="C321" s="62">
        <f>67.8+0.5</f>
        <v>68.3</v>
      </c>
      <c r="D321" s="62"/>
      <c r="E321" s="62"/>
      <c r="F321" s="26">
        <f t="shared" si="127"/>
        <v>175.01050557206986</v>
      </c>
      <c r="G321" s="23" t="s">
        <v>389</v>
      </c>
      <c r="H321" s="26">
        <f t="shared" si="128"/>
        <v>102.35271445009141</v>
      </c>
      <c r="I321" s="26">
        <f t="shared" si="128"/>
        <v>247.66829669404834</v>
      </c>
      <c r="J321" s="83" t="s">
        <v>403</v>
      </c>
      <c r="K321" s="23" t="s">
        <v>400</v>
      </c>
      <c r="L321" s="25">
        <v>277</v>
      </c>
      <c r="M321" s="25">
        <f>L321-115</f>
        <v>162</v>
      </c>
      <c r="N321" s="25">
        <f>L321+115</f>
        <v>392</v>
      </c>
      <c r="O321" s="26">
        <f>AVERAGE(2685,1986,3034,3384,2405)</f>
        <v>2698.8</v>
      </c>
      <c r="P321" s="26">
        <v>1705.1204059130043</v>
      </c>
      <c r="Q321" s="25" t="s">
        <v>441</v>
      </c>
      <c r="R321" s="26" t="s">
        <v>13</v>
      </c>
      <c r="S321" s="6" t="s">
        <v>1131</v>
      </c>
      <c r="T321" s="44" t="s">
        <v>486</v>
      </c>
      <c r="U321" s="62">
        <v>15</v>
      </c>
      <c r="V321" s="62">
        <v>15.2</v>
      </c>
      <c r="W321" s="62">
        <v>14.8</v>
      </c>
      <c r="X321" s="26">
        <v>446.80997083157047</v>
      </c>
      <c r="Y321" s="26" t="s">
        <v>389</v>
      </c>
      <c r="Z321" s="26">
        <f t="shared" si="114"/>
        <v>312.76697958209928</v>
      </c>
      <c r="AA321" s="26">
        <f t="shared" si="115"/>
        <v>670.21495624735576</v>
      </c>
      <c r="AB321" s="25" t="s">
        <v>1191</v>
      </c>
      <c r="AC321" s="77" t="s">
        <v>400</v>
      </c>
      <c r="AF321" s="26" t="s">
        <v>1223</v>
      </c>
      <c r="AG321" s="25" t="s">
        <v>13</v>
      </c>
      <c r="AH321" s="6" t="s">
        <v>631</v>
      </c>
      <c r="AI321" s="25" t="s">
        <v>633</v>
      </c>
      <c r="AJ321" s="59">
        <v>100.7</v>
      </c>
      <c r="AK321" s="59">
        <f t="shared" si="130"/>
        <v>100.8</v>
      </c>
      <c r="AL321" s="59">
        <f t="shared" si="131"/>
        <v>100.60000000000001</v>
      </c>
      <c r="AM321" s="29">
        <f t="shared" si="132"/>
        <v>563</v>
      </c>
      <c r="AN321" s="25" t="s">
        <v>389</v>
      </c>
      <c r="AO321" s="29">
        <f t="shared" si="129"/>
        <v>435</v>
      </c>
      <c r="AP321" s="29">
        <f t="shared" si="129"/>
        <v>691</v>
      </c>
      <c r="AQ321" s="29" t="s">
        <v>632</v>
      </c>
      <c r="AR321" s="23" t="s">
        <v>437</v>
      </c>
      <c r="AS321" s="23">
        <f t="shared" si="133"/>
        <v>563</v>
      </c>
      <c r="AT321" s="29">
        <v>435</v>
      </c>
      <c r="AU321" s="29">
        <v>691</v>
      </c>
      <c r="AV321" s="39" t="s">
        <v>651</v>
      </c>
      <c r="AW321" s="39"/>
      <c r="AX321" s="29" t="s">
        <v>13</v>
      </c>
      <c r="AY321" s="6" t="s">
        <v>670</v>
      </c>
      <c r="AZ321" s="97" t="s">
        <v>13</v>
      </c>
      <c r="BA321" s="62">
        <v>22.895</v>
      </c>
      <c r="BD321" s="26">
        <v>300.45049999999998</v>
      </c>
      <c r="BE321" s="25" t="s">
        <v>239</v>
      </c>
      <c r="BF321" s="26">
        <f t="shared" si="126"/>
        <v>225.33</v>
      </c>
      <c r="BG321" s="26">
        <f t="shared" si="126"/>
        <v>394.67840000000001</v>
      </c>
      <c r="BH321" s="83" t="s">
        <v>542</v>
      </c>
      <c r="BI321" s="25" t="s">
        <v>671</v>
      </c>
      <c r="BJ321" s="26">
        <v>225.33</v>
      </c>
      <c r="BK321" s="26">
        <v>394.67840000000001</v>
      </c>
      <c r="BL321" s="26" t="s">
        <v>691</v>
      </c>
      <c r="BM321" s="25" t="s">
        <v>13</v>
      </c>
      <c r="BO321" s="25"/>
      <c r="CA321" s="25" t="s">
        <v>13</v>
      </c>
      <c r="CC321" s="25" t="s">
        <v>13</v>
      </c>
    </row>
    <row r="322" spans="1:81">
      <c r="A322" s="6" t="s">
        <v>256</v>
      </c>
      <c r="B322" s="25" t="s">
        <v>257</v>
      </c>
      <c r="C322" s="62">
        <v>52.81</v>
      </c>
      <c r="D322" s="62">
        <f>C322+0.1</f>
        <v>52.910000000000004</v>
      </c>
      <c r="E322" s="62">
        <f>C322-0.1</f>
        <v>52.71</v>
      </c>
      <c r="F322" s="25">
        <v>400</v>
      </c>
      <c r="G322" s="23" t="s">
        <v>389</v>
      </c>
      <c r="H322" s="25">
        <v>275</v>
      </c>
      <c r="I322" s="25">
        <v>530</v>
      </c>
      <c r="J322" s="83" t="s">
        <v>403</v>
      </c>
      <c r="K322" s="23" t="s">
        <v>400</v>
      </c>
      <c r="L322" s="25">
        <v>400</v>
      </c>
      <c r="M322" s="25">
        <v>275</v>
      </c>
      <c r="N322" s="25">
        <v>530</v>
      </c>
      <c r="Q322" s="25" t="s">
        <v>387</v>
      </c>
      <c r="R322" s="26" t="s">
        <v>13</v>
      </c>
      <c r="S322" s="6" t="s">
        <v>1131</v>
      </c>
      <c r="T322" s="44" t="s">
        <v>1137</v>
      </c>
      <c r="U322" s="62">
        <v>15</v>
      </c>
      <c r="V322" s="62">
        <v>15</v>
      </c>
      <c r="W322" s="62">
        <v>15</v>
      </c>
      <c r="X322" s="26">
        <v>391.59005018616585</v>
      </c>
      <c r="Y322" s="26" t="s">
        <v>389</v>
      </c>
      <c r="Z322" s="26">
        <f t="shared" si="114"/>
        <v>274.11303513031606</v>
      </c>
      <c r="AA322" s="26">
        <f t="shared" si="115"/>
        <v>587.38507527924878</v>
      </c>
      <c r="AB322" s="25" t="s">
        <v>1191</v>
      </c>
      <c r="AC322" s="77" t="s">
        <v>400</v>
      </c>
      <c r="AF322" s="26" t="s">
        <v>1224</v>
      </c>
      <c r="AG322" s="25" t="s">
        <v>13</v>
      </c>
      <c r="AH322" s="6" t="s">
        <v>631</v>
      </c>
      <c r="AI322" s="25" t="s">
        <v>633</v>
      </c>
      <c r="AJ322" s="59">
        <v>100.71</v>
      </c>
      <c r="AK322" s="59">
        <f t="shared" si="130"/>
        <v>100.80999999999999</v>
      </c>
      <c r="AL322" s="59">
        <f t="shared" si="131"/>
        <v>100.61</v>
      </c>
      <c r="AM322" s="29">
        <f t="shared" si="132"/>
        <v>535</v>
      </c>
      <c r="AN322" s="25" t="s">
        <v>389</v>
      </c>
      <c r="AO322" s="29">
        <f t="shared" si="129"/>
        <v>413</v>
      </c>
      <c r="AP322" s="29">
        <f t="shared" si="129"/>
        <v>657</v>
      </c>
      <c r="AQ322" s="29" t="s">
        <v>632</v>
      </c>
      <c r="AR322" s="23" t="s">
        <v>437</v>
      </c>
      <c r="AS322" s="23">
        <f t="shared" si="133"/>
        <v>535</v>
      </c>
      <c r="AT322" s="29">
        <v>413</v>
      </c>
      <c r="AU322" s="29">
        <v>657</v>
      </c>
      <c r="AV322" s="39" t="s">
        <v>651</v>
      </c>
      <c r="AW322" s="39"/>
      <c r="AX322" s="29" t="s">
        <v>13</v>
      </c>
      <c r="AY322" s="6" t="s">
        <v>670</v>
      </c>
      <c r="AZ322" s="97" t="s">
        <v>13</v>
      </c>
      <c r="BA322" s="62">
        <v>22.939</v>
      </c>
      <c r="BD322" s="26">
        <v>252.83009999999999</v>
      </c>
      <c r="BE322" s="25" t="s">
        <v>239</v>
      </c>
      <c r="BF322" s="26">
        <f t="shared" si="126"/>
        <v>190.9254</v>
      </c>
      <c r="BG322" s="26">
        <f t="shared" si="126"/>
        <v>329.19729999999998</v>
      </c>
      <c r="BH322" s="83" t="s">
        <v>542</v>
      </c>
      <c r="BI322" s="25" t="s">
        <v>671</v>
      </c>
      <c r="BJ322" s="26">
        <v>190.9254</v>
      </c>
      <c r="BK322" s="26">
        <v>329.19729999999998</v>
      </c>
      <c r="BL322" s="26" t="s">
        <v>692</v>
      </c>
      <c r="BM322" s="25" t="s">
        <v>13</v>
      </c>
      <c r="BO322" s="25"/>
      <c r="CA322" s="25" t="s">
        <v>13</v>
      </c>
      <c r="CC322" s="25" t="s">
        <v>13</v>
      </c>
    </row>
    <row r="323" spans="1:81">
      <c r="A323" s="6" t="s">
        <v>256</v>
      </c>
      <c r="B323" s="25" t="s">
        <v>257</v>
      </c>
      <c r="C323" s="62">
        <v>52.57</v>
      </c>
      <c r="D323" s="62">
        <f>C323+0.1</f>
        <v>52.67</v>
      </c>
      <c r="E323" s="62">
        <f>C323-0.1</f>
        <v>52.47</v>
      </c>
      <c r="F323" s="25">
        <v>750</v>
      </c>
      <c r="G323" s="23" t="s">
        <v>389</v>
      </c>
      <c r="H323" s="25">
        <v>630</v>
      </c>
      <c r="I323" s="25">
        <v>880</v>
      </c>
      <c r="J323" s="83" t="s">
        <v>403</v>
      </c>
      <c r="K323" s="23" t="s">
        <v>400</v>
      </c>
      <c r="L323" s="25">
        <v>750</v>
      </c>
      <c r="M323" s="25">
        <v>630</v>
      </c>
      <c r="N323" s="25">
        <v>880</v>
      </c>
      <c r="Q323" s="25" t="s">
        <v>387</v>
      </c>
      <c r="R323" s="26" t="s">
        <v>13</v>
      </c>
      <c r="S323" s="6" t="s">
        <v>1131</v>
      </c>
      <c r="T323" s="44" t="s">
        <v>1137</v>
      </c>
      <c r="U323" s="62">
        <v>15</v>
      </c>
      <c r="V323" s="62">
        <v>23.03</v>
      </c>
      <c r="W323" s="62">
        <v>5.3330000000000002</v>
      </c>
      <c r="X323" s="26">
        <v>383.47289689105963</v>
      </c>
      <c r="Y323" s="26" t="s">
        <v>389</v>
      </c>
      <c r="Z323" s="26">
        <f t="shared" si="114"/>
        <v>268.43102782374172</v>
      </c>
      <c r="AA323" s="26">
        <f t="shared" si="115"/>
        <v>575.20934533658942</v>
      </c>
      <c r="AB323" s="25" t="s">
        <v>1191</v>
      </c>
      <c r="AC323" s="77" t="s">
        <v>400</v>
      </c>
      <c r="AF323" s="26">
        <v>1507</v>
      </c>
      <c r="AG323" s="25" t="s">
        <v>13</v>
      </c>
      <c r="AH323" s="6" t="s">
        <v>631</v>
      </c>
      <c r="AI323" s="25" t="s">
        <v>633</v>
      </c>
      <c r="AJ323" s="59">
        <v>100.83</v>
      </c>
      <c r="AK323" s="59">
        <f t="shared" si="130"/>
        <v>100.92999999999999</v>
      </c>
      <c r="AL323" s="59">
        <f t="shared" si="131"/>
        <v>100.73</v>
      </c>
      <c r="AM323" s="29">
        <f t="shared" si="132"/>
        <v>1254</v>
      </c>
      <c r="AN323" s="25" t="s">
        <v>389</v>
      </c>
      <c r="AO323" s="29">
        <f t="shared" si="129"/>
        <v>910</v>
      </c>
      <c r="AP323" s="29">
        <f t="shared" si="129"/>
        <v>1598</v>
      </c>
      <c r="AQ323" s="29" t="s">
        <v>632</v>
      </c>
      <c r="AR323" s="23" t="s">
        <v>437</v>
      </c>
      <c r="AS323" s="23">
        <f t="shared" si="133"/>
        <v>1254</v>
      </c>
      <c r="AT323" s="29">
        <v>910</v>
      </c>
      <c r="AU323" s="29">
        <v>1598</v>
      </c>
      <c r="AV323" s="39" t="s">
        <v>651</v>
      </c>
      <c r="AW323" s="39"/>
      <c r="AX323" s="29" t="s">
        <v>13</v>
      </c>
      <c r="AY323" s="6" t="s">
        <v>670</v>
      </c>
      <c r="AZ323" s="97" t="s">
        <v>13</v>
      </c>
      <c r="BA323" s="62">
        <v>22.968</v>
      </c>
      <c r="BD323" s="26">
        <v>237.64189999999999</v>
      </c>
      <c r="BE323" s="25" t="s">
        <v>239</v>
      </c>
      <c r="BF323" s="26">
        <f t="shared" si="126"/>
        <v>179.0515</v>
      </c>
      <c r="BG323" s="26">
        <f t="shared" si="126"/>
        <v>308.33069999999998</v>
      </c>
      <c r="BH323" s="83" t="s">
        <v>542</v>
      </c>
      <c r="BI323" s="25" t="s">
        <v>671</v>
      </c>
      <c r="BJ323" s="26">
        <v>179.0515</v>
      </c>
      <c r="BK323" s="26">
        <v>308.33069999999998</v>
      </c>
      <c r="BL323" s="26" t="s">
        <v>693</v>
      </c>
      <c r="BM323" s="25" t="s">
        <v>13</v>
      </c>
      <c r="BO323" s="25"/>
      <c r="CA323" s="25" t="s">
        <v>13</v>
      </c>
      <c r="CC323" s="25" t="s">
        <v>13</v>
      </c>
    </row>
    <row r="324" spans="1:81">
      <c r="A324" s="6" t="s">
        <v>256</v>
      </c>
      <c r="B324" s="25" t="s">
        <v>257</v>
      </c>
      <c r="C324" s="62">
        <v>51.9</v>
      </c>
      <c r="D324" s="62">
        <f>C324+0.1</f>
        <v>52</v>
      </c>
      <c r="E324" s="62">
        <f>C324-0.1</f>
        <v>51.8</v>
      </c>
      <c r="F324" s="25">
        <v>1260</v>
      </c>
      <c r="G324" s="23" t="s">
        <v>389</v>
      </c>
      <c r="H324" s="25">
        <v>1075</v>
      </c>
      <c r="I324" s="25">
        <v>1440</v>
      </c>
      <c r="J324" s="83" t="s">
        <v>403</v>
      </c>
      <c r="K324" s="23" t="s">
        <v>400</v>
      </c>
      <c r="L324" s="25">
        <v>1260</v>
      </c>
      <c r="M324" s="25">
        <v>1075</v>
      </c>
      <c r="N324" s="25">
        <v>1440</v>
      </c>
      <c r="Q324" s="25" t="s">
        <v>387</v>
      </c>
      <c r="R324" s="26" t="s">
        <v>13</v>
      </c>
      <c r="S324" s="6" t="s">
        <v>1131</v>
      </c>
      <c r="T324" s="44" t="s">
        <v>1137</v>
      </c>
      <c r="U324" s="62">
        <v>15</v>
      </c>
      <c r="V324" s="62">
        <v>23.03</v>
      </c>
      <c r="W324" s="62">
        <v>5.3330000000000002</v>
      </c>
      <c r="X324" s="26">
        <v>478.65176495540339</v>
      </c>
      <c r="Y324" s="26" t="s">
        <v>389</v>
      </c>
      <c r="Z324" s="26">
        <f t="shared" si="114"/>
        <v>335.05623546878235</v>
      </c>
      <c r="AA324" s="26">
        <f t="shared" si="115"/>
        <v>717.97764743310506</v>
      </c>
      <c r="AB324" s="25" t="s">
        <v>1191</v>
      </c>
      <c r="AC324" s="77" t="s">
        <v>400</v>
      </c>
      <c r="AF324" s="26">
        <v>502</v>
      </c>
      <c r="AG324" s="25" t="s">
        <v>13</v>
      </c>
      <c r="AH324" s="6" t="s">
        <v>631</v>
      </c>
      <c r="AI324" s="25" t="s">
        <v>633</v>
      </c>
      <c r="AJ324" s="59">
        <v>100.84</v>
      </c>
      <c r="AK324" s="59">
        <f t="shared" si="130"/>
        <v>100.94</v>
      </c>
      <c r="AL324" s="59">
        <f t="shared" si="131"/>
        <v>100.74000000000001</v>
      </c>
      <c r="AM324" s="29">
        <f t="shared" si="132"/>
        <v>815</v>
      </c>
      <c r="AN324" s="25" t="s">
        <v>389</v>
      </c>
      <c r="AO324" s="29">
        <f t="shared" si="129"/>
        <v>606</v>
      </c>
      <c r="AP324" s="29">
        <f t="shared" si="129"/>
        <v>1024</v>
      </c>
      <c r="AQ324" s="29" t="s">
        <v>632</v>
      </c>
      <c r="AR324" s="23" t="s">
        <v>437</v>
      </c>
      <c r="AS324" s="23">
        <f t="shared" si="133"/>
        <v>815</v>
      </c>
      <c r="AT324" s="29">
        <v>606</v>
      </c>
      <c r="AU324" s="29">
        <v>1024</v>
      </c>
      <c r="AV324" s="39" t="s">
        <v>651</v>
      </c>
      <c r="AW324" s="39"/>
      <c r="AX324" s="29" t="s">
        <v>13</v>
      </c>
      <c r="AY324" s="6" t="s">
        <v>670</v>
      </c>
      <c r="AZ324" s="97" t="s">
        <v>13</v>
      </c>
      <c r="BA324" s="62">
        <v>23.007999999999999</v>
      </c>
      <c r="BD324" s="26">
        <v>248.24760000000001</v>
      </c>
      <c r="BE324" s="25" t="s">
        <v>239</v>
      </c>
      <c r="BF324" s="26">
        <f t="shared" si="126"/>
        <v>187.08860000000001</v>
      </c>
      <c r="BG324" s="26">
        <f t="shared" si="126"/>
        <v>322.89359999999999</v>
      </c>
      <c r="BH324" s="83" t="s">
        <v>542</v>
      </c>
      <c r="BI324" s="25" t="s">
        <v>671</v>
      </c>
      <c r="BJ324" s="26">
        <v>187.08860000000001</v>
      </c>
      <c r="BK324" s="26">
        <v>322.89359999999999</v>
      </c>
      <c r="BL324" s="26" t="s">
        <v>694</v>
      </c>
      <c r="BM324" s="25" t="s">
        <v>13</v>
      </c>
      <c r="BO324" s="25"/>
      <c r="CA324" s="25" t="s">
        <v>13</v>
      </c>
      <c r="CC324" s="25" t="s">
        <v>13</v>
      </c>
    </row>
    <row r="325" spans="1:81">
      <c r="A325" s="6" t="s">
        <v>256</v>
      </c>
      <c r="B325" s="25" t="s">
        <v>257</v>
      </c>
      <c r="C325" s="62">
        <v>51.84</v>
      </c>
      <c r="D325" s="62">
        <f>C325+0.1</f>
        <v>51.940000000000005</v>
      </c>
      <c r="E325" s="62">
        <f>C325-0.1</f>
        <v>51.74</v>
      </c>
      <c r="F325" s="25">
        <v>1210</v>
      </c>
      <c r="G325" s="23" t="s">
        <v>389</v>
      </c>
      <c r="H325" s="25">
        <v>1030</v>
      </c>
      <c r="I325" s="25">
        <v>1400</v>
      </c>
      <c r="J325" s="83" t="s">
        <v>403</v>
      </c>
      <c r="K325" s="23" t="s">
        <v>400</v>
      </c>
      <c r="L325" s="25">
        <v>1210</v>
      </c>
      <c r="M325" s="25">
        <v>1030</v>
      </c>
      <c r="N325" s="25">
        <v>1400</v>
      </c>
      <c r="Q325" s="25" t="s">
        <v>387</v>
      </c>
      <c r="R325" s="26" t="s">
        <v>13</v>
      </c>
      <c r="S325" s="6" t="s">
        <v>1131</v>
      </c>
      <c r="T325" s="44" t="s">
        <v>1137</v>
      </c>
      <c r="U325" s="62">
        <v>15.1</v>
      </c>
      <c r="V325" s="62">
        <v>15.2</v>
      </c>
      <c r="W325" s="62">
        <v>15</v>
      </c>
      <c r="X325" s="26">
        <v>441.70318079955331</v>
      </c>
      <c r="Y325" s="26" t="s">
        <v>389</v>
      </c>
      <c r="Z325" s="26">
        <f t="shared" si="114"/>
        <v>309.1922265596873</v>
      </c>
      <c r="AA325" s="26">
        <f t="shared" si="115"/>
        <v>662.55477119932993</v>
      </c>
      <c r="AB325" s="25" t="s">
        <v>1191</v>
      </c>
      <c r="AC325" s="77" t="s">
        <v>400</v>
      </c>
      <c r="AF325" s="26" t="s">
        <v>1218</v>
      </c>
      <c r="AG325" s="25" t="s">
        <v>13</v>
      </c>
      <c r="AH325" s="6" t="s">
        <v>631</v>
      </c>
      <c r="AI325" s="25" t="s">
        <v>633</v>
      </c>
      <c r="AJ325" s="59">
        <v>100.85</v>
      </c>
      <c r="AK325" s="59">
        <f t="shared" si="130"/>
        <v>100.94999999999999</v>
      </c>
      <c r="AL325" s="59">
        <f t="shared" si="131"/>
        <v>100.75</v>
      </c>
      <c r="AM325" s="29">
        <f t="shared" si="132"/>
        <v>422</v>
      </c>
      <c r="AN325" s="25" t="s">
        <v>389</v>
      </c>
      <c r="AO325" s="29">
        <f t="shared" si="129"/>
        <v>336</v>
      </c>
      <c r="AP325" s="29">
        <f t="shared" si="129"/>
        <v>508</v>
      </c>
      <c r="AQ325" s="29" t="s">
        <v>632</v>
      </c>
      <c r="AR325" s="23" t="s">
        <v>437</v>
      </c>
      <c r="AS325" s="23">
        <f t="shared" si="133"/>
        <v>422</v>
      </c>
      <c r="AT325" s="29">
        <v>336</v>
      </c>
      <c r="AU325" s="29">
        <v>508</v>
      </c>
      <c r="AV325" s="39" t="s">
        <v>651</v>
      </c>
      <c r="AW325" s="39"/>
      <c r="AX325" s="29" t="s">
        <v>13</v>
      </c>
      <c r="AY325" s="6" t="s">
        <v>670</v>
      </c>
      <c r="AZ325" s="97" t="s">
        <v>13</v>
      </c>
      <c r="BA325" s="62">
        <v>23.023</v>
      </c>
      <c r="BD325" s="26">
        <v>261.27760000000001</v>
      </c>
      <c r="BE325" s="25" t="s">
        <v>239</v>
      </c>
      <c r="BF325" s="26">
        <f t="shared" si="126"/>
        <v>196.47489999999999</v>
      </c>
      <c r="BG325" s="26">
        <f t="shared" si="126"/>
        <v>341.49700000000001</v>
      </c>
      <c r="BH325" s="83" t="s">
        <v>542</v>
      </c>
      <c r="BI325" s="25" t="s">
        <v>671</v>
      </c>
      <c r="BJ325" s="26">
        <v>196.47489999999999</v>
      </c>
      <c r="BK325" s="26">
        <v>341.49700000000001</v>
      </c>
      <c r="BL325" s="26" t="s">
        <v>695</v>
      </c>
      <c r="BM325" s="25" t="s">
        <v>13</v>
      </c>
      <c r="BO325" s="25"/>
      <c r="CA325" s="25" t="s">
        <v>13</v>
      </c>
      <c r="CC325" s="25" t="s">
        <v>13</v>
      </c>
    </row>
    <row r="326" spans="1:81">
      <c r="A326" s="6" t="s">
        <v>256</v>
      </c>
      <c r="B326" s="25" t="s">
        <v>257</v>
      </c>
      <c r="C326" s="62">
        <v>51.14</v>
      </c>
      <c r="D326" s="62">
        <f>C326+0.1</f>
        <v>51.24</v>
      </c>
      <c r="E326" s="62">
        <f>C326-0.1</f>
        <v>51.04</v>
      </c>
      <c r="F326" s="25">
        <v>725</v>
      </c>
      <c r="G326" s="23" t="s">
        <v>389</v>
      </c>
      <c r="H326" s="25">
        <v>640</v>
      </c>
      <c r="I326" s="25">
        <v>800</v>
      </c>
      <c r="J326" s="83" t="s">
        <v>403</v>
      </c>
      <c r="K326" s="23" t="s">
        <v>400</v>
      </c>
      <c r="L326" s="25">
        <v>725</v>
      </c>
      <c r="M326" s="25">
        <v>640</v>
      </c>
      <c r="N326" s="25">
        <v>800</v>
      </c>
      <c r="Q326" s="25" t="s">
        <v>387</v>
      </c>
      <c r="R326" s="26" t="s">
        <v>13</v>
      </c>
      <c r="S326" s="6" t="s">
        <v>1131</v>
      </c>
      <c r="T326" s="44" t="s">
        <v>1137</v>
      </c>
      <c r="U326" s="62">
        <v>15.2</v>
      </c>
      <c r="V326" s="62">
        <v>15.25</v>
      </c>
      <c r="W326" s="62">
        <v>15.1</v>
      </c>
      <c r="X326" s="26">
        <v>469.93192165956356</v>
      </c>
      <c r="Y326" s="26" t="s">
        <v>389</v>
      </c>
      <c r="Z326" s="26">
        <f t="shared" si="114"/>
        <v>328.9523451616945</v>
      </c>
      <c r="AA326" s="26">
        <f t="shared" si="115"/>
        <v>704.89788248934531</v>
      </c>
      <c r="AB326" s="25" t="s">
        <v>1191</v>
      </c>
      <c r="AC326" s="77" t="s">
        <v>400</v>
      </c>
      <c r="AF326" s="26" t="s">
        <v>1218</v>
      </c>
      <c r="AG326" s="25" t="s">
        <v>13</v>
      </c>
      <c r="AH326" s="6" t="s">
        <v>631</v>
      </c>
      <c r="AI326" s="25" t="s">
        <v>633</v>
      </c>
      <c r="AJ326" s="59">
        <v>100.9</v>
      </c>
      <c r="AK326" s="59">
        <f t="shared" si="130"/>
        <v>101</v>
      </c>
      <c r="AL326" s="59">
        <f t="shared" si="131"/>
        <v>100.80000000000001</v>
      </c>
      <c r="AM326" s="29">
        <f t="shared" si="132"/>
        <v>493</v>
      </c>
      <c r="AN326" s="25" t="s">
        <v>389</v>
      </c>
      <c r="AO326" s="29">
        <f t="shared" si="129"/>
        <v>383</v>
      </c>
      <c r="AP326" s="29">
        <f t="shared" si="129"/>
        <v>603</v>
      </c>
      <c r="AQ326" s="29" t="s">
        <v>632</v>
      </c>
      <c r="AR326" s="23" t="s">
        <v>437</v>
      </c>
      <c r="AS326" s="23">
        <f t="shared" si="133"/>
        <v>493</v>
      </c>
      <c r="AT326" s="29">
        <v>383</v>
      </c>
      <c r="AU326" s="29">
        <v>603</v>
      </c>
      <c r="AV326" s="39" t="s">
        <v>651</v>
      </c>
      <c r="AW326" s="39"/>
      <c r="AX326" s="29" t="s">
        <v>13</v>
      </c>
      <c r="AY326" s="6" t="s">
        <v>670</v>
      </c>
      <c r="AZ326" s="97" t="s">
        <v>13</v>
      </c>
      <c r="BA326" s="62">
        <v>23.074999999999999</v>
      </c>
      <c r="BD326" s="26">
        <v>292.56810000000002</v>
      </c>
      <c r="BE326" s="25" t="s">
        <v>239</v>
      </c>
      <c r="BF326" s="26">
        <f t="shared" si="126"/>
        <v>219.9228</v>
      </c>
      <c r="BG326" s="26">
        <f t="shared" si="126"/>
        <v>382.52249999999998</v>
      </c>
      <c r="BH326" s="83" t="s">
        <v>542</v>
      </c>
      <c r="BI326" s="25" t="s">
        <v>671</v>
      </c>
      <c r="BJ326" s="26">
        <v>219.9228</v>
      </c>
      <c r="BK326" s="26">
        <v>382.52249999999998</v>
      </c>
      <c r="BL326" s="26" t="s">
        <v>696</v>
      </c>
      <c r="BM326" s="25" t="s">
        <v>13</v>
      </c>
      <c r="BO326" s="25"/>
      <c r="CA326" s="25" t="s">
        <v>13</v>
      </c>
      <c r="CC326" s="25" t="s">
        <v>13</v>
      </c>
    </row>
    <row r="327" spans="1:81">
      <c r="A327" s="6" t="s">
        <v>261</v>
      </c>
      <c r="B327" s="25" t="s">
        <v>262</v>
      </c>
      <c r="C327" s="62">
        <f>AVERAGE(D327:E327)</f>
        <v>135.65</v>
      </c>
      <c r="D327" s="62">
        <v>145</v>
      </c>
      <c r="E327" s="62">
        <v>126.3</v>
      </c>
      <c r="F327" s="26">
        <f>L327*$P327/$O327</f>
        <v>923.59780000000001</v>
      </c>
      <c r="G327" s="23" t="s">
        <v>389</v>
      </c>
      <c r="H327" s="23">
        <f t="shared" ref="H327:H332" si="134">F327*0.5</f>
        <v>461.7989</v>
      </c>
      <c r="I327" s="23">
        <f t="shared" ref="I327:I332" si="135">F327*2</f>
        <v>1847.1956</v>
      </c>
      <c r="J327" s="23" t="s">
        <v>480</v>
      </c>
      <c r="K327" s="23" t="s">
        <v>400</v>
      </c>
      <c r="L327" s="25">
        <f>AVERAGE(M327:N327)</f>
        <v>1711</v>
      </c>
      <c r="M327" s="25">
        <v>1226</v>
      </c>
      <c r="N327" s="25">
        <v>2196</v>
      </c>
      <c r="O327" s="25">
        <v>5000</v>
      </c>
      <c r="P327" s="25">
        <v>2699</v>
      </c>
      <c r="Q327" s="25" t="s">
        <v>392</v>
      </c>
      <c r="R327" s="26" t="s">
        <v>13</v>
      </c>
      <c r="S327" s="6" t="s">
        <v>1131</v>
      </c>
      <c r="T327" s="44" t="s">
        <v>1137</v>
      </c>
      <c r="U327" s="62">
        <v>15.25</v>
      </c>
      <c r="V327" s="62">
        <v>15.3</v>
      </c>
      <c r="W327" s="62">
        <v>15.2</v>
      </c>
      <c r="X327" s="26">
        <v>420.75509532208656</v>
      </c>
      <c r="Y327" s="26" t="s">
        <v>389</v>
      </c>
      <c r="Z327" s="26">
        <f t="shared" si="114"/>
        <v>294.52856672546056</v>
      </c>
      <c r="AA327" s="26">
        <f t="shared" si="115"/>
        <v>631.13264298312981</v>
      </c>
      <c r="AB327" s="25" t="s">
        <v>1191</v>
      </c>
      <c r="AC327" s="77" t="s">
        <v>400</v>
      </c>
      <c r="AF327" s="26" t="s">
        <v>1218</v>
      </c>
      <c r="AH327" s="6" t="s">
        <v>634</v>
      </c>
      <c r="AI327" s="25" t="s">
        <v>635</v>
      </c>
      <c r="AJ327" s="59">
        <f>AVERAGE(AK327:AL327)</f>
        <v>69.05</v>
      </c>
      <c r="AK327" s="59">
        <v>72.099999999999994</v>
      </c>
      <c r="AL327" s="59">
        <v>66</v>
      </c>
      <c r="AM327" s="29">
        <f>AS327</f>
        <v>465</v>
      </c>
      <c r="AN327" s="25" t="s">
        <v>636</v>
      </c>
      <c r="AO327" s="29">
        <f t="shared" si="129"/>
        <v>386</v>
      </c>
      <c r="AP327" s="29">
        <f t="shared" si="129"/>
        <v>563</v>
      </c>
      <c r="AQ327" s="29" t="s">
        <v>637</v>
      </c>
      <c r="AR327" s="23" t="s">
        <v>400</v>
      </c>
      <c r="AS327" s="29">
        <v>465</v>
      </c>
      <c r="AT327" s="29">
        <v>386</v>
      </c>
      <c r="AU327" s="29">
        <v>563</v>
      </c>
      <c r="AV327" s="39" t="s">
        <v>651</v>
      </c>
      <c r="AW327" s="39"/>
      <c r="AX327" s="29" t="s">
        <v>13</v>
      </c>
      <c r="AY327" s="6" t="s">
        <v>670</v>
      </c>
      <c r="AZ327" s="97" t="s">
        <v>13</v>
      </c>
      <c r="BA327" s="62">
        <v>23.087</v>
      </c>
      <c r="BD327" s="26">
        <v>286.30419999999998</v>
      </c>
      <c r="BE327" s="25" t="s">
        <v>239</v>
      </c>
      <c r="BF327" s="26">
        <f t="shared" si="126"/>
        <v>214.93600000000001</v>
      </c>
      <c r="BG327" s="26">
        <f t="shared" si="126"/>
        <v>376.58350000000002</v>
      </c>
      <c r="BH327" s="83" t="s">
        <v>542</v>
      </c>
      <c r="BI327" s="25" t="s">
        <v>671</v>
      </c>
      <c r="BJ327" s="26">
        <v>214.93600000000001</v>
      </c>
      <c r="BK327" s="26">
        <v>376.58350000000002</v>
      </c>
      <c r="BL327" s="26" t="s">
        <v>697</v>
      </c>
      <c r="BM327" s="25" t="s">
        <v>13</v>
      </c>
      <c r="BO327" s="25"/>
    </row>
    <row r="328" spans="1:81">
      <c r="A328" s="6" t="s">
        <v>523</v>
      </c>
      <c r="B328" s="25" t="s">
        <v>294</v>
      </c>
      <c r="C328" s="62">
        <v>31.6</v>
      </c>
      <c r="D328" s="62">
        <f>C328+3.9</f>
        <v>35.5</v>
      </c>
      <c r="E328" s="62">
        <f>C328-3.9</f>
        <v>27.700000000000003</v>
      </c>
      <c r="F328" s="26">
        <f>L328*$P328/$O328</f>
        <v>264.59906090715731</v>
      </c>
      <c r="G328" s="23" t="s">
        <v>389</v>
      </c>
      <c r="H328" s="23">
        <f t="shared" si="134"/>
        <v>132.29953045357865</v>
      </c>
      <c r="I328" s="23">
        <f t="shared" si="135"/>
        <v>529.19812181431462</v>
      </c>
      <c r="J328" s="23" t="s">
        <v>481</v>
      </c>
      <c r="K328" s="23" t="s">
        <v>346</v>
      </c>
      <c r="L328" s="25">
        <v>433</v>
      </c>
      <c r="O328" s="25">
        <v>3382</v>
      </c>
      <c r="P328" s="26">
        <f>35.3*((O328-588)/66.7)+588</f>
        <v>2066.6836581709144</v>
      </c>
      <c r="Q328" s="25" t="s">
        <v>392</v>
      </c>
      <c r="R328" s="26" t="s">
        <v>13</v>
      </c>
      <c r="S328" s="6" t="s">
        <v>1131</v>
      </c>
      <c r="T328" s="44" t="s">
        <v>486</v>
      </c>
      <c r="U328" s="62">
        <v>15.6</v>
      </c>
      <c r="V328" s="62">
        <v>15.7</v>
      </c>
      <c r="W328" s="62">
        <v>15.5</v>
      </c>
      <c r="X328" s="26">
        <v>403.77566107701705</v>
      </c>
      <c r="Y328" s="26" t="s">
        <v>389</v>
      </c>
      <c r="Z328" s="26">
        <f t="shared" si="114"/>
        <v>282.64296275391189</v>
      </c>
      <c r="AA328" s="26">
        <f t="shared" si="115"/>
        <v>605.66349161552557</v>
      </c>
      <c r="AB328" s="25" t="s">
        <v>1191</v>
      </c>
      <c r="AC328" s="77" t="s">
        <v>400</v>
      </c>
      <c r="AF328" s="26" t="s">
        <v>1225</v>
      </c>
      <c r="AH328" s="6" t="s">
        <v>648</v>
      </c>
      <c r="AI328" s="39" t="s">
        <v>649</v>
      </c>
      <c r="AJ328" s="59">
        <f>AVERAGE(AK328:AL328)</f>
        <v>168.8</v>
      </c>
      <c r="AK328" s="59">
        <v>174.1</v>
      </c>
      <c r="AL328" s="59">
        <v>163.5</v>
      </c>
      <c r="AM328" s="29">
        <f>AVERAGE(AO328:AP328)</f>
        <v>654</v>
      </c>
      <c r="AN328" s="39" t="s">
        <v>389</v>
      </c>
      <c r="AO328" s="29">
        <f>AT328</f>
        <v>370</v>
      </c>
      <c r="AP328" s="29">
        <f>AU328</f>
        <v>938</v>
      </c>
      <c r="AQ328" s="29" t="s">
        <v>537</v>
      </c>
      <c r="AR328" s="29" t="s">
        <v>422</v>
      </c>
      <c r="AS328" s="29"/>
      <c r="AT328" s="29">
        <f>419-49</f>
        <v>370</v>
      </c>
      <c r="AU328" s="29">
        <f>839+99</f>
        <v>938</v>
      </c>
      <c r="AV328" s="39" t="s">
        <v>60</v>
      </c>
      <c r="AW328" s="39"/>
      <c r="AX328" s="29" t="s">
        <v>13</v>
      </c>
      <c r="AY328" s="6" t="s">
        <v>670</v>
      </c>
      <c r="AZ328" s="97" t="s">
        <v>13</v>
      </c>
      <c r="BA328" s="62">
        <v>23.094000000000001</v>
      </c>
      <c r="BD328" s="26">
        <v>270.56349999999998</v>
      </c>
      <c r="BE328" s="25" t="s">
        <v>239</v>
      </c>
      <c r="BF328" s="26">
        <f t="shared" si="126"/>
        <v>203.6831</v>
      </c>
      <c r="BG328" s="26">
        <f t="shared" si="126"/>
        <v>354.10390000000001</v>
      </c>
      <c r="BH328" s="83" t="s">
        <v>542</v>
      </c>
      <c r="BI328" s="25" t="s">
        <v>671</v>
      </c>
      <c r="BJ328" s="26">
        <v>203.6831</v>
      </c>
      <c r="BK328" s="26">
        <v>354.10390000000001</v>
      </c>
      <c r="BL328" s="26" t="s">
        <v>698</v>
      </c>
      <c r="BM328" s="25" t="s">
        <v>13</v>
      </c>
      <c r="BO328" s="25"/>
    </row>
    <row r="329" spans="1:81">
      <c r="A329" s="6" t="s">
        <v>523</v>
      </c>
      <c r="B329" s="25" t="s">
        <v>294</v>
      </c>
      <c r="C329" s="62">
        <v>31.6</v>
      </c>
      <c r="D329" s="62">
        <f>C329+3.9</f>
        <v>35.5</v>
      </c>
      <c r="E329" s="62">
        <f>C329-3.9</f>
        <v>27.700000000000003</v>
      </c>
      <c r="F329" s="26">
        <f>L329*$P329/$O329</f>
        <v>376.83470880935749</v>
      </c>
      <c r="G329" s="23" t="s">
        <v>389</v>
      </c>
      <c r="H329" s="23">
        <f t="shared" si="134"/>
        <v>188.41735440467875</v>
      </c>
      <c r="I329" s="23">
        <f t="shared" si="135"/>
        <v>753.66941761871499</v>
      </c>
      <c r="J329" s="23" t="s">
        <v>481</v>
      </c>
      <c r="K329" s="23" t="s">
        <v>346</v>
      </c>
      <c r="L329" s="25">
        <v>633</v>
      </c>
      <c r="O329" s="25">
        <v>4189</v>
      </c>
      <c r="P329" s="26">
        <f>35.3*((O329-588)/66.7)+588</f>
        <v>2493.7766116941525</v>
      </c>
      <c r="Q329" s="25" t="s">
        <v>392</v>
      </c>
      <c r="R329" s="26" t="s">
        <v>13</v>
      </c>
      <c r="S329" s="6" t="s">
        <v>1131</v>
      </c>
      <c r="T329" s="44" t="s">
        <v>1137</v>
      </c>
      <c r="U329" s="62">
        <v>15.7</v>
      </c>
      <c r="V329" s="62">
        <v>15.75</v>
      </c>
      <c r="W329" s="62">
        <v>15.5</v>
      </c>
      <c r="X329" s="26">
        <v>565.70912184134158</v>
      </c>
      <c r="Y329" s="26" t="s">
        <v>389</v>
      </c>
      <c r="Z329" s="26">
        <f t="shared" si="114"/>
        <v>395.99638528893911</v>
      </c>
      <c r="AA329" s="26">
        <f t="shared" si="115"/>
        <v>848.56368276201238</v>
      </c>
      <c r="AB329" s="25" t="s">
        <v>1191</v>
      </c>
      <c r="AC329" s="77" t="s">
        <v>400</v>
      </c>
      <c r="AF329" s="26" t="s">
        <v>1218</v>
      </c>
      <c r="AG329" s="25" t="s">
        <v>13</v>
      </c>
      <c r="AH329" s="7" t="s">
        <v>650</v>
      </c>
      <c r="AI329" s="25" t="s">
        <v>564</v>
      </c>
      <c r="AJ329" s="62">
        <v>63.8</v>
      </c>
      <c r="AK329" s="62">
        <f>AJ329+0.2</f>
        <v>64</v>
      </c>
      <c r="AL329" s="62">
        <f>AJ329-0.2</f>
        <v>63.599999999999994</v>
      </c>
      <c r="AM329" s="26">
        <f>559</f>
        <v>559</v>
      </c>
      <c r="AN329" s="26" t="s">
        <v>239</v>
      </c>
      <c r="AO329" s="29">
        <f>AM329-59/2</f>
        <v>529.5</v>
      </c>
      <c r="AP329" s="29">
        <f>AM329+69/2</f>
        <v>593.5</v>
      </c>
      <c r="AQ329" s="29" t="s">
        <v>770</v>
      </c>
      <c r="AR329" s="23" t="s">
        <v>400</v>
      </c>
      <c r="AS329" s="29"/>
      <c r="AT329" s="29"/>
      <c r="AU329" s="29"/>
      <c r="AV329" s="39" t="s">
        <v>651</v>
      </c>
      <c r="AW329" s="39" t="s">
        <v>775</v>
      </c>
      <c r="AX329" s="29" t="s">
        <v>13</v>
      </c>
      <c r="AY329" s="6" t="s">
        <v>670</v>
      </c>
      <c r="AZ329" s="97" t="s">
        <v>13</v>
      </c>
      <c r="BA329" s="62">
        <v>23.157</v>
      </c>
      <c r="BD329" s="26">
        <v>255.97499999999999</v>
      </c>
      <c r="BE329" s="25" t="s">
        <v>239</v>
      </c>
      <c r="BF329" s="26">
        <f t="shared" si="126"/>
        <v>193.04159999999999</v>
      </c>
      <c r="BG329" s="26">
        <f t="shared" si="126"/>
        <v>333.36810000000003</v>
      </c>
      <c r="BH329" s="83" t="s">
        <v>542</v>
      </c>
      <c r="BI329" s="25" t="s">
        <v>671</v>
      </c>
      <c r="BJ329" s="26">
        <v>193.04159999999999</v>
      </c>
      <c r="BK329" s="26">
        <v>333.36810000000003</v>
      </c>
      <c r="BL329" s="26" t="s">
        <v>699</v>
      </c>
      <c r="BM329" s="25" t="s">
        <v>13</v>
      </c>
      <c r="BO329" s="25"/>
      <c r="CA329" s="25" t="s">
        <v>13</v>
      </c>
      <c r="CC329" s="25" t="s">
        <v>13</v>
      </c>
    </row>
    <row r="330" spans="1:81">
      <c r="A330" s="6" t="s">
        <v>287</v>
      </c>
      <c r="B330" s="25" t="s">
        <v>288</v>
      </c>
      <c r="C330" s="62">
        <f>AVERAGE(D330:E330)</f>
        <v>253.2</v>
      </c>
      <c r="D330" s="62">
        <v>254.2</v>
      </c>
      <c r="E330" s="62">
        <v>252.2</v>
      </c>
      <c r="F330" s="26">
        <f t="shared" ref="F330:F393" si="136">L330*$P330/$O330</f>
        <v>1325</v>
      </c>
      <c r="G330" s="23" t="s">
        <v>389</v>
      </c>
      <c r="H330" s="23">
        <f t="shared" si="134"/>
        <v>662.5</v>
      </c>
      <c r="I330" s="23">
        <f t="shared" si="135"/>
        <v>2650</v>
      </c>
      <c r="J330" s="23" t="s">
        <v>482</v>
      </c>
      <c r="K330" s="23" t="s">
        <v>400</v>
      </c>
      <c r="L330" s="25">
        <f>AVERAGE(M330:N330)</f>
        <v>1325</v>
      </c>
      <c r="M330" s="25">
        <v>850</v>
      </c>
      <c r="N330" s="25">
        <v>1800</v>
      </c>
      <c r="O330" s="25">
        <v>1500</v>
      </c>
      <c r="P330" s="25">
        <f>O330</f>
        <v>1500</v>
      </c>
      <c r="R330" s="26" t="s">
        <v>13</v>
      </c>
      <c r="S330" s="6" t="s">
        <v>1131</v>
      </c>
      <c r="T330" s="44" t="s">
        <v>1137</v>
      </c>
      <c r="U330" s="62">
        <v>15.9</v>
      </c>
      <c r="V330" s="62">
        <v>15.9</v>
      </c>
      <c r="W330" s="62">
        <v>15.75</v>
      </c>
      <c r="X330" s="26">
        <v>556.19866862412664</v>
      </c>
      <c r="Y330" s="26" t="s">
        <v>389</v>
      </c>
      <c r="Z330" s="26">
        <f t="shared" si="114"/>
        <v>389.33906803688865</v>
      </c>
      <c r="AA330" s="26">
        <f t="shared" si="115"/>
        <v>834.29800293618996</v>
      </c>
      <c r="AB330" s="25" t="s">
        <v>1191</v>
      </c>
      <c r="AC330" s="77" t="s">
        <v>400</v>
      </c>
      <c r="AF330" s="26" t="s">
        <v>1218</v>
      </c>
      <c r="AG330" s="25" t="s">
        <v>13</v>
      </c>
      <c r="AH330" s="7" t="s">
        <v>650</v>
      </c>
      <c r="AI330" s="25" t="s">
        <v>564</v>
      </c>
      <c r="AJ330" s="62">
        <v>63.8</v>
      </c>
      <c r="AK330" s="62">
        <f>AJ330+0.2</f>
        <v>64</v>
      </c>
      <c r="AL330" s="62">
        <f>AJ330-0.2</f>
        <v>63.599999999999994</v>
      </c>
      <c r="AM330" s="26">
        <f>746</f>
        <v>746</v>
      </c>
      <c r="AN330" s="26" t="s">
        <v>239</v>
      </c>
      <c r="AO330" s="29">
        <f>AM330-206/2</f>
        <v>643</v>
      </c>
      <c r="AP330" s="29">
        <f>AM330+257/2</f>
        <v>874.5</v>
      </c>
      <c r="AQ330" s="29" t="s">
        <v>770</v>
      </c>
      <c r="AR330" s="23" t="s">
        <v>400</v>
      </c>
      <c r="AS330" s="29"/>
      <c r="AT330" s="29"/>
      <c r="AU330" s="29"/>
      <c r="AV330" s="39" t="s">
        <v>652</v>
      </c>
      <c r="AW330" s="39" t="s">
        <v>776</v>
      </c>
      <c r="AX330" s="29" t="s">
        <v>13</v>
      </c>
      <c r="AY330" s="6" t="s">
        <v>670</v>
      </c>
      <c r="AZ330" s="97" t="s">
        <v>13</v>
      </c>
      <c r="BA330" s="62">
        <v>23.248999999999999</v>
      </c>
      <c r="BD330" s="26">
        <v>291.18099999999998</v>
      </c>
      <c r="BE330" s="25" t="s">
        <v>239</v>
      </c>
      <c r="BF330" s="26">
        <f t="shared" si="126"/>
        <v>218.8733</v>
      </c>
      <c r="BG330" s="26">
        <f t="shared" si="126"/>
        <v>382.27120000000002</v>
      </c>
      <c r="BH330" s="83" t="s">
        <v>542</v>
      </c>
      <c r="BI330" s="25" t="s">
        <v>671</v>
      </c>
      <c r="BJ330" s="26">
        <v>218.8733</v>
      </c>
      <c r="BK330" s="26">
        <v>382.27120000000002</v>
      </c>
      <c r="BL330" s="26" t="s">
        <v>700</v>
      </c>
      <c r="BM330" s="25" t="s">
        <v>13</v>
      </c>
      <c r="BO330" s="25"/>
      <c r="CA330" s="25" t="s">
        <v>13</v>
      </c>
      <c r="CC330" s="25" t="s">
        <v>13</v>
      </c>
    </row>
    <row r="331" spans="1:81">
      <c r="A331" s="6" t="s">
        <v>287</v>
      </c>
      <c r="B331" s="25" t="s">
        <v>289</v>
      </c>
      <c r="C331" s="62">
        <f>AVERAGE(D331:E331)</f>
        <v>253.2</v>
      </c>
      <c r="D331" s="62">
        <v>254.2</v>
      </c>
      <c r="E331" s="62">
        <v>252.2</v>
      </c>
      <c r="F331" s="26">
        <f t="shared" si="136"/>
        <v>1100</v>
      </c>
      <c r="G331" s="23" t="s">
        <v>389</v>
      </c>
      <c r="H331" s="23">
        <f t="shared" si="134"/>
        <v>550</v>
      </c>
      <c r="I331" s="23">
        <f t="shared" si="135"/>
        <v>2200</v>
      </c>
      <c r="J331" s="23" t="s">
        <v>482</v>
      </c>
      <c r="K331" s="23" t="s">
        <v>400</v>
      </c>
      <c r="L331" s="25">
        <f>AVERAGE(M331:N331)</f>
        <v>1100</v>
      </c>
      <c r="M331" s="25">
        <v>700</v>
      </c>
      <c r="N331" s="25">
        <v>1500</v>
      </c>
      <c r="O331" s="25">
        <v>1500</v>
      </c>
      <c r="P331" s="25">
        <f>O331</f>
        <v>1500</v>
      </c>
      <c r="R331" s="26" t="s">
        <v>13</v>
      </c>
      <c r="S331" s="6" t="s">
        <v>1131</v>
      </c>
      <c r="T331" s="44" t="s">
        <v>486</v>
      </c>
      <c r="U331" s="62">
        <v>16.100000000000001</v>
      </c>
      <c r="V331" s="62">
        <v>16.3</v>
      </c>
      <c r="W331" s="62">
        <v>16</v>
      </c>
      <c r="X331" s="26">
        <v>423.75629628305416</v>
      </c>
      <c r="Y331" s="26" t="s">
        <v>389</v>
      </c>
      <c r="Z331" s="26">
        <f t="shared" si="114"/>
        <v>296.62940739813791</v>
      </c>
      <c r="AA331" s="26">
        <f t="shared" si="115"/>
        <v>635.63444442458126</v>
      </c>
      <c r="AB331" s="25" t="s">
        <v>1191</v>
      </c>
      <c r="AC331" s="77" t="s">
        <v>400</v>
      </c>
      <c r="AF331" s="26" t="s">
        <v>1226</v>
      </c>
      <c r="AG331" s="25" t="s">
        <v>13</v>
      </c>
      <c r="AH331" s="7" t="s">
        <v>650</v>
      </c>
      <c r="AI331" s="25" t="s">
        <v>564</v>
      </c>
      <c r="AJ331" s="62">
        <v>63.8</v>
      </c>
      <c r="AK331" s="62">
        <f>AJ331+0.2</f>
        <v>64</v>
      </c>
      <c r="AL331" s="62">
        <f>AJ331-0.2</f>
        <v>63.599999999999994</v>
      </c>
      <c r="AM331" s="26">
        <f t="shared" ref="AM331:AM343" si="137">AS331</f>
        <v>470</v>
      </c>
      <c r="AN331" s="26" t="s">
        <v>239</v>
      </c>
      <c r="AO331" s="29">
        <f t="shared" ref="AO331:AP334" si="138">AT331</f>
        <v>349</v>
      </c>
      <c r="AP331" s="29">
        <f t="shared" si="138"/>
        <v>655</v>
      </c>
      <c r="AQ331" s="29" t="s">
        <v>542</v>
      </c>
      <c r="AR331" s="23" t="s">
        <v>400</v>
      </c>
      <c r="AS331" s="29">
        <v>470</v>
      </c>
      <c r="AT331" s="29">
        <v>349</v>
      </c>
      <c r="AU331" s="29">
        <v>655</v>
      </c>
      <c r="AV331" s="39" t="s">
        <v>236</v>
      </c>
      <c r="AW331" s="39" t="s">
        <v>762</v>
      </c>
      <c r="AX331" s="29" t="s">
        <v>13</v>
      </c>
      <c r="AY331" s="6" t="s">
        <v>670</v>
      </c>
      <c r="AZ331" s="97" t="s">
        <v>13</v>
      </c>
      <c r="BA331" s="62">
        <v>23.263999999999999</v>
      </c>
      <c r="BD331" s="26">
        <v>285.88869999999997</v>
      </c>
      <c r="BE331" s="25" t="s">
        <v>239</v>
      </c>
      <c r="BF331" s="26">
        <f t="shared" si="126"/>
        <v>214.9528</v>
      </c>
      <c r="BG331" s="26">
        <f t="shared" si="126"/>
        <v>373.90289999999999</v>
      </c>
      <c r="BH331" s="83" t="s">
        <v>542</v>
      </c>
      <c r="BI331" s="25" t="s">
        <v>671</v>
      </c>
      <c r="BJ331" s="26">
        <v>214.9528</v>
      </c>
      <c r="BK331" s="26">
        <v>373.90289999999999</v>
      </c>
      <c r="BL331" s="26" t="s">
        <v>701</v>
      </c>
      <c r="BM331" s="25" t="s">
        <v>13</v>
      </c>
      <c r="BO331" s="25"/>
      <c r="CA331" s="25" t="s">
        <v>13</v>
      </c>
      <c r="CC331" s="25" t="s">
        <v>13</v>
      </c>
    </row>
    <row r="332" spans="1:81">
      <c r="A332" s="6" t="s">
        <v>287</v>
      </c>
      <c r="B332" s="25" t="s">
        <v>290</v>
      </c>
      <c r="C332" s="62">
        <f>AVERAGE(D332:E332)</f>
        <v>253.2</v>
      </c>
      <c r="D332" s="62">
        <v>254.2</v>
      </c>
      <c r="E332" s="62">
        <v>252.2</v>
      </c>
      <c r="F332" s="26">
        <f t="shared" si="136"/>
        <v>883</v>
      </c>
      <c r="G332" s="23" t="s">
        <v>389</v>
      </c>
      <c r="H332" s="23">
        <f t="shared" si="134"/>
        <v>441.5</v>
      </c>
      <c r="I332" s="23">
        <f t="shared" si="135"/>
        <v>1766</v>
      </c>
      <c r="J332" s="23" t="s">
        <v>482</v>
      </c>
      <c r="K332" s="23" t="s">
        <v>400</v>
      </c>
      <c r="L332" s="25">
        <f>AVERAGE(M332:N332)</f>
        <v>883</v>
      </c>
      <c r="M332" s="25">
        <v>533</v>
      </c>
      <c r="N332" s="25">
        <v>1233</v>
      </c>
      <c r="O332" s="25">
        <v>1500</v>
      </c>
      <c r="P332" s="25">
        <f>O332</f>
        <v>1500</v>
      </c>
      <c r="R332" s="26" t="s">
        <v>13</v>
      </c>
      <c r="S332" s="6" t="s">
        <v>1131</v>
      </c>
      <c r="T332" s="44" t="s">
        <v>1137</v>
      </c>
      <c r="U332" s="62">
        <v>16.100000000000001</v>
      </c>
      <c r="V332" s="62">
        <v>16.2</v>
      </c>
      <c r="W332" s="62">
        <v>16</v>
      </c>
      <c r="X332" s="26">
        <v>452.15029649307132</v>
      </c>
      <c r="Y332" s="26" t="s">
        <v>389</v>
      </c>
      <c r="Z332" s="26">
        <f t="shared" si="114"/>
        <v>316.50520754514991</v>
      </c>
      <c r="AA332" s="26">
        <f t="shared" si="115"/>
        <v>678.22544473960693</v>
      </c>
      <c r="AB332" s="25" t="s">
        <v>1191</v>
      </c>
      <c r="AC332" s="77" t="s">
        <v>400</v>
      </c>
      <c r="AF332" s="26" t="s">
        <v>1218</v>
      </c>
      <c r="AG332" s="25" t="s">
        <v>13</v>
      </c>
      <c r="AH332" s="6" t="s">
        <v>784</v>
      </c>
      <c r="AI332" s="25" t="s">
        <v>629</v>
      </c>
      <c r="AJ332" s="59">
        <v>19</v>
      </c>
      <c r="AK332" s="59">
        <v>21</v>
      </c>
      <c r="AL332" s="59">
        <v>17</v>
      </c>
      <c r="AM332" s="29">
        <f>AS332</f>
        <v>501.8</v>
      </c>
      <c r="AN332" s="25" t="s">
        <v>389</v>
      </c>
      <c r="AO332" s="29">
        <f t="shared" si="138"/>
        <v>413.8</v>
      </c>
      <c r="AP332" s="29">
        <f t="shared" si="138"/>
        <v>589.79999999999995</v>
      </c>
      <c r="AQ332" s="29" t="s">
        <v>628</v>
      </c>
      <c r="AR332" s="23" t="s">
        <v>532</v>
      </c>
      <c r="AS332" s="29">
        <v>501.8</v>
      </c>
      <c r="AT332" s="29">
        <f>AM332-88</f>
        <v>413.8</v>
      </c>
      <c r="AU332" s="29">
        <f>AM332+88</f>
        <v>589.79999999999995</v>
      </c>
      <c r="AV332" s="39" t="s">
        <v>627</v>
      </c>
      <c r="AW332" s="39"/>
      <c r="AX332" s="29" t="s">
        <v>13</v>
      </c>
      <c r="AY332" s="6" t="s">
        <v>670</v>
      </c>
      <c r="AZ332" s="97" t="s">
        <v>13</v>
      </c>
      <c r="BA332" s="62">
        <v>23.306000000000001</v>
      </c>
      <c r="BD332" s="26">
        <v>250.23570000000001</v>
      </c>
      <c r="BE332" s="25" t="s">
        <v>239</v>
      </c>
      <c r="BF332" s="26">
        <f t="shared" si="126"/>
        <v>188.4545</v>
      </c>
      <c r="BG332" s="26">
        <f t="shared" si="126"/>
        <v>326.49860000000001</v>
      </c>
      <c r="BH332" s="83" t="s">
        <v>542</v>
      </c>
      <c r="BI332" s="25" t="s">
        <v>671</v>
      </c>
      <c r="BJ332" s="26">
        <v>188.4545</v>
      </c>
      <c r="BK332" s="26">
        <v>326.49860000000001</v>
      </c>
      <c r="BL332" s="26" t="s">
        <v>702</v>
      </c>
      <c r="BM332" s="25" t="s">
        <v>13</v>
      </c>
      <c r="BO332" s="25"/>
      <c r="CA332" s="25" t="s">
        <v>13</v>
      </c>
      <c r="CC332" s="25" t="s">
        <v>13</v>
      </c>
    </row>
    <row r="333" spans="1:81">
      <c r="A333" s="6" t="s">
        <v>642</v>
      </c>
      <c r="B333" s="25" t="s">
        <v>293</v>
      </c>
      <c r="C333" s="62">
        <v>6.4</v>
      </c>
      <c r="D333" s="62"/>
      <c r="E333" s="62"/>
      <c r="F333" s="26">
        <f t="shared" si="136"/>
        <v>213.25182019782301</v>
      </c>
      <c r="G333" s="23" t="s">
        <v>239</v>
      </c>
      <c r="H333" s="26">
        <f>M333*$P333/$O333</f>
        <v>117.60518051863102</v>
      </c>
      <c r="I333" s="26">
        <f>N333*$P333/$O333</f>
        <v>375.95908936367698</v>
      </c>
      <c r="J333" s="23" t="s">
        <v>406</v>
      </c>
      <c r="K333" s="23" t="s">
        <v>400</v>
      </c>
      <c r="L333" s="26">
        <v>213.25182019782301</v>
      </c>
      <c r="M333" s="26">
        <v>117.605180518631</v>
      </c>
      <c r="N333" s="26">
        <v>375.95908936367698</v>
      </c>
      <c r="O333" s="25">
        <v>596</v>
      </c>
      <c r="P333" s="25">
        <v>596</v>
      </c>
      <c r="Q333" s="25" t="s">
        <v>338</v>
      </c>
      <c r="R333" s="26" t="s">
        <v>13</v>
      </c>
      <c r="S333" s="6" t="s">
        <v>1131</v>
      </c>
      <c r="T333" s="44" t="s">
        <v>1137</v>
      </c>
      <c r="U333" s="62">
        <v>16.25</v>
      </c>
      <c r="V333" s="62">
        <v>16.3</v>
      </c>
      <c r="W333" s="62">
        <v>16.100000000000001</v>
      </c>
      <c r="X333" s="26">
        <v>478.49906277388305</v>
      </c>
      <c r="Y333" s="26" t="s">
        <v>389</v>
      </c>
      <c r="Z333" s="26">
        <f t="shared" si="114"/>
        <v>334.9493439417181</v>
      </c>
      <c r="AA333" s="26">
        <f t="shared" si="115"/>
        <v>717.74859416082461</v>
      </c>
      <c r="AB333" s="25" t="s">
        <v>1191</v>
      </c>
      <c r="AC333" s="77" t="s">
        <v>400</v>
      </c>
      <c r="AF333" s="26" t="s">
        <v>1218</v>
      </c>
      <c r="AG333" s="25" t="s">
        <v>13</v>
      </c>
      <c r="AH333" s="6" t="s">
        <v>784</v>
      </c>
      <c r="AI333" s="25" t="s">
        <v>630</v>
      </c>
      <c r="AJ333" s="59">
        <v>22.5</v>
      </c>
      <c r="AK333" s="59">
        <v>23.5</v>
      </c>
      <c r="AL333" s="59">
        <v>21.5</v>
      </c>
      <c r="AM333" s="29">
        <f>AS333</f>
        <v>492.3</v>
      </c>
      <c r="AN333" s="25" t="s">
        <v>389</v>
      </c>
      <c r="AO333" s="29">
        <f t="shared" si="138"/>
        <v>374.3</v>
      </c>
      <c r="AP333" s="29">
        <f t="shared" si="138"/>
        <v>610.29999999999995</v>
      </c>
      <c r="AQ333" s="29" t="s">
        <v>628</v>
      </c>
      <c r="AR333" s="23" t="s">
        <v>532</v>
      </c>
      <c r="AS333" s="29">
        <v>492.3</v>
      </c>
      <c r="AT333" s="29">
        <f>AM333-118</f>
        <v>374.3</v>
      </c>
      <c r="AU333" s="29">
        <f>AM333+118</f>
        <v>610.29999999999995</v>
      </c>
      <c r="AV333" s="39" t="s">
        <v>627</v>
      </c>
      <c r="AW333" s="39"/>
      <c r="AX333" s="29" t="s">
        <v>13</v>
      </c>
      <c r="AY333" s="6" t="s">
        <v>670</v>
      </c>
      <c r="AZ333" s="97" t="s">
        <v>13</v>
      </c>
      <c r="BA333" s="62">
        <v>23.338000000000001</v>
      </c>
      <c r="BD333" s="26">
        <v>256.24149999999997</v>
      </c>
      <c r="BE333" s="25" t="s">
        <v>239</v>
      </c>
      <c r="BF333" s="26">
        <f t="shared" si="126"/>
        <v>193.0393</v>
      </c>
      <c r="BG333" s="26">
        <f t="shared" si="126"/>
        <v>333.72710000000001</v>
      </c>
      <c r="BH333" s="83" t="s">
        <v>542</v>
      </c>
      <c r="BI333" s="25" t="s">
        <v>671</v>
      </c>
      <c r="BJ333" s="26">
        <v>193.0393</v>
      </c>
      <c r="BK333" s="26">
        <v>333.72710000000001</v>
      </c>
      <c r="BL333" s="26" t="s">
        <v>703</v>
      </c>
      <c r="BM333" s="25" t="s">
        <v>13</v>
      </c>
      <c r="BO333" s="25"/>
      <c r="CA333" s="25" t="s">
        <v>13</v>
      </c>
      <c r="CC333" s="25" t="s">
        <v>13</v>
      </c>
    </row>
    <row r="334" spans="1:81">
      <c r="A334" s="6" t="s">
        <v>642</v>
      </c>
      <c r="B334" s="25" t="s">
        <v>293</v>
      </c>
      <c r="C334" s="62">
        <v>6.65</v>
      </c>
      <c r="D334" s="62"/>
      <c r="E334" s="62"/>
      <c r="F334" s="26">
        <f t="shared" si="136"/>
        <v>283.17034197948198</v>
      </c>
      <c r="G334" s="23" t="s">
        <v>239</v>
      </c>
      <c r="H334" s="26">
        <f t="shared" ref="H334:I342" si="139">M334*$P334/$O334</f>
        <v>154.04219192743901</v>
      </c>
      <c r="I334" s="26">
        <f t="shared" si="139"/>
        <v>531.17108083096196</v>
      </c>
      <c r="J334" s="23" t="s">
        <v>407</v>
      </c>
      <c r="K334" s="23" t="s">
        <v>400</v>
      </c>
      <c r="L334" s="26">
        <v>283.17034197948198</v>
      </c>
      <c r="M334" s="26">
        <v>154.04219192743901</v>
      </c>
      <c r="N334" s="26">
        <v>531.17108083096196</v>
      </c>
      <c r="O334" s="25">
        <v>596</v>
      </c>
      <c r="P334" s="25">
        <v>596</v>
      </c>
      <c r="Q334" s="25" t="s">
        <v>338</v>
      </c>
      <c r="R334" s="26" t="s">
        <v>13</v>
      </c>
      <c r="S334" s="6" t="s">
        <v>1131</v>
      </c>
      <c r="T334" s="44" t="s">
        <v>1137</v>
      </c>
      <c r="U334" s="62">
        <v>16.3</v>
      </c>
      <c r="V334" s="62">
        <v>16.5</v>
      </c>
      <c r="W334" s="62">
        <v>16.25</v>
      </c>
      <c r="X334" s="26">
        <v>548.99839577869477</v>
      </c>
      <c r="Y334" s="26" t="s">
        <v>389</v>
      </c>
      <c r="Z334" s="26">
        <f t="shared" si="114"/>
        <v>384.29887704508633</v>
      </c>
      <c r="AA334" s="26">
        <f t="shared" si="115"/>
        <v>823.4975936680421</v>
      </c>
      <c r="AB334" s="25" t="s">
        <v>1191</v>
      </c>
      <c r="AC334" s="77" t="s">
        <v>400</v>
      </c>
      <c r="AF334" s="26" t="s">
        <v>1218</v>
      </c>
      <c r="AG334" s="25" t="s">
        <v>13</v>
      </c>
      <c r="AH334" s="6" t="s">
        <v>784</v>
      </c>
      <c r="AI334" s="25" t="s">
        <v>564</v>
      </c>
      <c r="AJ334" s="59">
        <v>23.2</v>
      </c>
      <c r="AK334" s="59">
        <v>23.4</v>
      </c>
      <c r="AL334" s="59">
        <v>23</v>
      </c>
      <c r="AM334" s="29">
        <f>AS334</f>
        <v>650.4</v>
      </c>
      <c r="AN334" s="25" t="s">
        <v>389</v>
      </c>
      <c r="AO334" s="29">
        <f t="shared" si="138"/>
        <v>592.4</v>
      </c>
      <c r="AP334" s="29">
        <f t="shared" si="138"/>
        <v>708.4</v>
      </c>
      <c r="AQ334" s="29" t="s">
        <v>628</v>
      </c>
      <c r="AR334" s="23" t="s">
        <v>532</v>
      </c>
      <c r="AS334" s="29">
        <v>650.4</v>
      </c>
      <c r="AT334" s="29">
        <f>AM334-58</f>
        <v>592.4</v>
      </c>
      <c r="AU334" s="29">
        <f>AM334+58</f>
        <v>708.4</v>
      </c>
      <c r="AV334" s="39" t="s">
        <v>627</v>
      </c>
      <c r="AW334" s="39"/>
      <c r="AX334" s="29" t="s">
        <v>13</v>
      </c>
      <c r="AY334" s="6" t="s">
        <v>670</v>
      </c>
      <c r="AZ334" s="97" t="s">
        <v>13</v>
      </c>
      <c r="BA334" s="62">
        <v>23.574999999999999</v>
      </c>
      <c r="BD334" s="26">
        <v>252.88759999999999</v>
      </c>
      <c r="BE334" s="25" t="s">
        <v>239</v>
      </c>
      <c r="BF334" s="26">
        <f t="shared" si="126"/>
        <v>190.3861</v>
      </c>
      <c r="BG334" s="26">
        <f t="shared" si="126"/>
        <v>329.32659999999998</v>
      </c>
      <c r="BH334" s="83" t="s">
        <v>542</v>
      </c>
      <c r="BI334" s="25" t="s">
        <v>671</v>
      </c>
      <c r="BJ334" s="26">
        <v>190.3861</v>
      </c>
      <c r="BK334" s="26">
        <v>329.32659999999998</v>
      </c>
      <c r="BL334" s="26" t="s">
        <v>704</v>
      </c>
      <c r="BM334" s="25" t="s">
        <v>13</v>
      </c>
      <c r="BO334" s="25"/>
      <c r="CA334" s="25" t="s">
        <v>13</v>
      </c>
      <c r="CC334" s="25" t="s">
        <v>13</v>
      </c>
    </row>
    <row r="335" spans="1:81">
      <c r="A335" s="6" t="s">
        <v>642</v>
      </c>
      <c r="B335" s="25" t="s">
        <v>293</v>
      </c>
      <c r="C335" s="62">
        <v>6.8</v>
      </c>
      <c r="D335" s="62"/>
      <c r="E335" s="62"/>
      <c r="F335" s="26">
        <f t="shared" si="136"/>
        <v>371.50130145429199</v>
      </c>
      <c r="G335" s="23" t="s">
        <v>239</v>
      </c>
      <c r="H335" s="26">
        <f t="shared" si="139"/>
        <v>227.050417806974</v>
      </c>
      <c r="I335" s="26">
        <f t="shared" si="139"/>
        <v>663.49651337889804</v>
      </c>
      <c r="J335" s="23" t="s">
        <v>408</v>
      </c>
      <c r="K335" s="23" t="s">
        <v>400</v>
      </c>
      <c r="L335" s="26">
        <v>371.50130145429199</v>
      </c>
      <c r="M335" s="26">
        <v>227.050417806974</v>
      </c>
      <c r="N335" s="26">
        <v>663.49651337889804</v>
      </c>
      <c r="O335" s="25">
        <v>596</v>
      </c>
      <c r="P335" s="25">
        <v>596</v>
      </c>
      <c r="Q335" s="25" t="s">
        <v>339</v>
      </c>
      <c r="R335" s="26" t="s">
        <v>13</v>
      </c>
      <c r="S335" s="6" t="s">
        <v>1131</v>
      </c>
      <c r="T335" s="44" t="s">
        <v>486</v>
      </c>
      <c r="U335" s="62">
        <v>16.399999999999999</v>
      </c>
      <c r="V335" s="62">
        <v>16.600000000000001</v>
      </c>
      <c r="W335" s="62">
        <v>16.2</v>
      </c>
      <c r="X335" s="26">
        <v>417.00248297367688</v>
      </c>
      <c r="Y335" s="26" t="s">
        <v>389</v>
      </c>
      <c r="Z335" s="26">
        <f t="shared" si="114"/>
        <v>291.9017380815738</v>
      </c>
      <c r="AA335" s="26">
        <f t="shared" si="115"/>
        <v>625.50372446051529</v>
      </c>
      <c r="AB335" s="25" t="s">
        <v>1191</v>
      </c>
      <c r="AC335" s="77" t="s">
        <v>400</v>
      </c>
      <c r="AF335" s="26" t="s">
        <v>1227</v>
      </c>
      <c r="AG335" s="25" t="s">
        <v>13</v>
      </c>
      <c r="AH335" s="7" t="s">
        <v>737</v>
      </c>
      <c r="AI335" s="44" t="s">
        <v>188</v>
      </c>
      <c r="AJ335" s="62">
        <v>66.5</v>
      </c>
      <c r="AK335" s="62">
        <v>67</v>
      </c>
      <c r="AL335" s="62">
        <v>66</v>
      </c>
      <c r="AM335" s="26">
        <f t="shared" si="137"/>
        <v>624</v>
      </c>
      <c r="AN335" s="26" t="s">
        <v>239</v>
      </c>
      <c r="AO335" s="26">
        <f>AM335-(AM335-AT335)/2</f>
        <v>539</v>
      </c>
      <c r="AP335" s="29">
        <f>(AU335-AM335)/2+AM335</f>
        <v>753</v>
      </c>
      <c r="AQ335" s="29" t="s">
        <v>770</v>
      </c>
      <c r="AR335" s="23" t="s">
        <v>400</v>
      </c>
      <c r="AS335" s="29">
        <v>624</v>
      </c>
      <c r="AT335" s="29">
        <v>454</v>
      </c>
      <c r="AU335" s="29">
        <v>882</v>
      </c>
      <c r="AV335" s="39" t="s">
        <v>651</v>
      </c>
      <c r="AW335" s="39"/>
      <c r="AX335" s="29" t="s">
        <v>13</v>
      </c>
      <c r="AY335" s="6" t="s">
        <v>670</v>
      </c>
      <c r="AZ335" s="97" t="s">
        <v>13</v>
      </c>
      <c r="BA335" s="62">
        <v>23.579000000000001</v>
      </c>
      <c r="BD335" s="26">
        <v>248.88239999999999</v>
      </c>
      <c r="BE335" s="25" t="s">
        <v>239</v>
      </c>
      <c r="BF335" s="26">
        <f t="shared" si="126"/>
        <v>187.19499999999999</v>
      </c>
      <c r="BG335" s="26">
        <f t="shared" si="126"/>
        <v>323.82979999999998</v>
      </c>
      <c r="BH335" s="83" t="s">
        <v>542</v>
      </c>
      <c r="BI335" s="25" t="s">
        <v>671</v>
      </c>
      <c r="BJ335" s="26">
        <v>187.19499999999999</v>
      </c>
      <c r="BK335" s="26">
        <v>323.82979999999998</v>
      </c>
      <c r="BL335" s="26" t="s">
        <v>705</v>
      </c>
      <c r="BM335" s="25" t="s">
        <v>13</v>
      </c>
      <c r="BO335" s="25"/>
      <c r="CA335" s="25" t="s">
        <v>13</v>
      </c>
      <c r="CC335" s="25" t="s">
        <v>13</v>
      </c>
    </row>
    <row r="336" spans="1:81">
      <c r="A336" s="6" t="s">
        <v>642</v>
      </c>
      <c r="B336" s="25" t="s">
        <v>293</v>
      </c>
      <c r="C336" s="62">
        <v>8.75</v>
      </c>
      <c r="D336" s="62"/>
      <c r="E336" s="62"/>
      <c r="F336" s="26">
        <f t="shared" si="136"/>
        <v>273.78774511348502</v>
      </c>
      <c r="G336" s="23" t="s">
        <v>239</v>
      </c>
      <c r="H336" s="26">
        <f t="shared" si="139"/>
        <v>173.198449290187</v>
      </c>
      <c r="I336" s="26">
        <f t="shared" si="139"/>
        <v>476.118655931533</v>
      </c>
      <c r="J336" s="23" t="s">
        <v>409</v>
      </c>
      <c r="K336" s="23" t="s">
        <v>400</v>
      </c>
      <c r="L336" s="26">
        <v>273.78774511348502</v>
      </c>
      <c r="M336" s="26">
        <v>173.198449290187</v>
      </c>
      <c r="N336" s="26">
        <v>476.118655931533</v>
      </c>
      <c r="O336" s="25">
        <v>596</v>
      </c>
      <c r="P336" s="25">
        <v>596</v>
      </c>
      <c r="Q336" s="25" t="s">
        <v>338</v>
      </c>
      <c r="R336" s="26" t="s">
        <v>13</v>
      </c>
      <c r="S336" s="6" t="s">
        <v>1131</v>
      </c>
      <c r="T336" s="44" t="s">
        <v>1137</v>
      </c>
      <c r="U336" s="62">
        <v>16.7</v>
      </c>
      <c r="V336" s="62">
        <v>16.8</v>
      </c>
      <c r="W336" s="62">
        <v>16.5</v>
      </c>
      <c r="X336" s="26">
        <v>485.05646769599986</v>
      </c>
      <c r="Y336" s="26" t="s">
        <v>389</v>
      </c>
      <c r="Z336" s="26">
        <f t="shared" si="114"/>
        <v>339.53952738719988</v>
      </c>
      <c r="AA336" s="26">
        <f t="shared" si="115"/>
        <v>727.58470154399981</v>
      </c>
      <c r="AB336" s="25" t="s">
        <v>1191</v>
      </c>
      <c r="AC336" s="77" t="s">
        <v>400</v>
      </c>
      <c r="AF336" s="26" t="s">
        <v>1218</v>
      </c>
      <c r="AH336" s="7" t="s">
        <v>737</v>
      </c>
      <c r="AI336" s="39" t="s">
        <v>638</v>
      </c>
      <c r="AJ336" s="62">
        <v>66</v>
      </c>
      <c r="AK336" s="59">
        <v>66</v>
      </c>
      <c r="AL336" s="59">
        <v>66</v>
      </c>
      <c r="AM336" s="26">
        <f t="shared" si="137"/>
        <v>873.33382184233403</v>
      </c>
      <c r="AN336" s="26" t="s">
        <v>239</v>
      </c>
      <c r="AO336" s="26">
        <f>AM336-(AM336-AT336)/2</f>
        <v>711.66691092116707</v>
      </c>
      <c r="AP336" s="29">
        <f>(AU336-AM336)/2+AM336</f>
        <v>1143.6669109211671</v>
      </c>
      <c r="AQ336" s="29" t="s">
        <v>770</v>
      </c>
      <c r="AR336" s="23" t="s">
        <v>400</v>
      </c>
      <c r="AS336" s="29">
        <v>873.33382184233403</v>
      </c>
      <c r="AT336" s="29">
        <v>550</v>
      </c>
      <c r="AU336" s="29">
        <v>1414</v>
      </c>
      <c r="AV336" s="39" t="s">
        <v>651</v>
      </c>
      <c r="AW336" s="39"/>
      <c r="AX336" s="29" t="s">
        <v>13</v>
      </c>
      <c r="AY336" s="6" t="s">
        <v>670</v>
      </c>
      <c r="AZ336" s="97" t="s">
        <v>13</v>
      </c>
      <c r="BA336" s="62">
        <v>23.661999999999999</v>
      </c>
      <c r="BD336" s="26">
        <v>249.148</v>
      </c>
      <c r="BE336" s="25" t="s">
        <v>239</v>
      </c>
      <c r="BF336" s="26">
        <f t="shared" si="126"/>
        <v>187.45840000000001</v>
      </c>
      <c r="BG336" s="26">
        <f t="shared" si="126"/>
        <v>324.85079999999999</v>
      </c>
      <c r="BH336" s="83" t="s">
        <v>542</v>
      </c>
      <c r="BI336" s="25" t="s">
        <v>671</v>
      </c>
      <c r="BJ336" s="26">
        <v>187.45840000000001</v>
      </c>
      <c r="BK336" s="26">
        <v>324.85079999999999</v>
      </c>
      <c r="BL336" s="26" t="s">
        <v>706</v>
      </c>
      <c r="BM336" s="25" t="s">
        <v>13</v>
      </c>
      <c r="BO336" s="25"/>
      <c r="CA336" s="25" t="s">
        <v>13</v>
      </c>
      <c r="CC336" s="25" t="s">
        <v>13</v>
      </c>
    </row>
    <row r="337" spans="1:81">
      <c r="A337" s="6" t="s">
        <v>642</v>
      </c>
      <c r="B337" s="25" t="s">
        <v>293</v>
      </c>
      <c r="C337" s="62">
        <v>9.1</v>
      </c>
      <c r="D337" s="62"/>
      <c r="E337" s="62"/>
      <c r="F337" s="26">
        <f t="shared" si="136"/>
        <v>197.14878517745501</v>
      </c>
      <c r="G337" s="23" t="s">
        <v>239</v>
      </c>
      <c r="H337" s="26">
        <f t="shared" si="139"/>
        <v>89.531486710791199</v>
      </c>
      <c r="I337" s="26">
        <f t="shared" si="139"/>
        <v>484.54076343145101</v>
      </c>
      <c r="J337" s="23" t="s">
        <v>410</v>
      </c>
      <c r="K337" s="23" t="s">
        <v>400</v>
      </c>
      <c r="L337" s="26">
        <v>197.14878517745501</v>
      </c>
      <c r="M337" s="26">
        <v>89.531486710791199</v>
      </c>
      <c r="N337" s="26">
        <v>484.54076343145101</v>
      </c>
      <c r="O337" s="25">
        <v>440</v>
      </c>
      <c r="P337" s="25">
        <v>440</v>
      </c>
      <c r="Q337" s="25" t="s">
        <v>340</v>
      </c>
      <c r="R337" s="26" t="s">
        <v>13</v>
      </c>
      <c r="S337" s="6" t="s">
        <v>1131</v>
      </c>
      <c r="T337" s="44" t="s">
        <v>1137</v>
      </c>
      <c r="U337" s="62">
        <v>17</v>
      </c>
      <c r="V337" s="62">
        <v>17.100000000000001</v>
      </c>
      <c r="W337" s="62">
        <v>16.899999999999999</v>
      </c>
      <c r="X337" s="26">
        <v>461.00311221040891</v>
      </c>
      <c r="Y337" s="26" t="s">
        <v>389</v>
      </c>
      <c r="Z337" s="26">
        <f t="shared" si="114"/>
        <v>322.70217854728622</v>
      </c>
      <c r="AA337" s="26">
        <f t="shared" si="115"/>
        <v>691.50466831561334</v>
      </c>
      <c r="AB337" s="25" t="s">
        <v>1191</v>
      </c>
      <c r="AC337" s="77" t="s">
        <v>400</v>
      </c>
      <c r="AF337" s="26" t="s">
        <v>1218</v>
      </c>
      <c r="AH337" s="7" t="s">
        <v>737</v>
      </c>
      <c r="AI337" s="44" t="s">
        <v>568</v>
      </c>
      <c r="AJ337" s="62">
        <v>65.5</v>
      </c>
      <c r="AK337" s="62">
        <v>66</v>
      </c>
      <c r="AL337" s="62">
        <v>65</v>
      </c>
      <c r="AM337" s="26">
        <f t="shared" si="137"/>
        <v>630</v>
      </c>
      <c r="AN337" s="26" t="s">
        <v>239</v>
      </c>
      <c r="AO337" s="26">
        <f>AM337-(AM337-AT337)/2</f>
        <v>519</v>
      </c>
      <c r="AP337" s="29">
        <f>(AU337-AM337)/2+AM337</f>
        <v>905.5</v>
      </c>
      <c r="AQ337" s="29" t="s">
        <v>770</v>
      </c>
      <c r="AR337" s="23" t="s">
        <v>400</v>
      </c>
      <c r="AS337" s="29">
        <v>630</v>
      </c>
      <c r="AT337" s="29">
        <v>408</v>
      </c>
      <c r="AU337" s="29">
        <v>1181</v>
      </c>
      <c r="AV337" s="39" t="s">
        <v>651</v>
      </c>
      <c r="AW337" s="39"/>
      <c r="AX337" s="29" t="s">
        <v>13</v>
      </c>
      <c r="AY337" s="6" t="s">
        <v>670</v>
      </c>
      <c r="AZ337" s="97" t="s">
        <v>13</v>
      </c>
      <c r="BA337" s="62">
        <v>23.733000000000001</v>
      </c>
      <c r="BD337" s="26">
        <v>290.8596</v>
      </c>
      <c r="BE337" s="25" t="s">
        <v>239</v>
      </c>
      <c r="BF337" s="26">
        <f t="shared" si="126"/>
        <v>217.31399999999999</v>
      </c>
      <c r="BG337" s="26">
        <f t="shared" si="126"/>
        <v>381.0505</v>
      </c>
      <c r="BH337" s="83" t="s">
        <v>542</v>
      </c>
      <c r="BI337" s="25" t="s">
        <v>671</v>
      </c>
      <c r="BJ337" s="26">
        <v>217.31399999999999</v>
      </c>
      <c r="BK337" s="26">
        <v>381.0505</v>
      </c>
      <c r="BL337" s="26" t="s">
        <v>707</v>
      </c>
      <c r="BM337" s="25" t="s">
        <v>13</v>
      </c>
      <c r="BO337" s="25"/>
      <c r="CA337" s="25" t="s">
        <v>13</v>
      </c>
      <c r="CC337" s="25" t="s">
        <v>13</v>
      </c>
    </row>
    <row r="338" spans="1:81">
      <c r="A338" s="6" t="s">
        <v>642</v>
      </c>
      <c r="B338" s="25" t="s">
        <v>293</v>
      </c>
      <c r="C338" s="62">
        <v>12.7</v>
      </c>
      <c r="D338" s="62"/>
      <c r="E338" s="62"/>
      <c r="F338" s="26">
        <f t="shared" si="136"/>
        <v>267.14736569538798</v>
      </c>
      <c r="G338" s="23" t="s">
        <v>239</v>
      </c>
      <c r="H338" s="26">
        <f t="shared" si="139"/>
        <v>130.78943309134399</v>
      </c>
      <c r="I338" s="26">
        <f t="shared" si="139"/>
        <v>624.40714240309501</v>
      </c>
      <c r="J338" s="23" t="s">
        <v>411</v>
      </c>
      <c r="K338" s="23" t="s">
        <v>400</v>
      </c>
      <c r="L338" s="26">
        <v>267.14736569538798</v>
      </c>
      <c r="M338" s="26">
        <v>130.78943309134399</v>
      </c>
      <c r="N338" s="26">
        <v>624.40714240309501</v>
      </c>
      <c r="O338" s="25">
        <v>440</v>
      </c>
      <c r="P338" s="25">
        <v>440</v>
      </c>
      <c r="Q338" s="25" t="s">
        <v>340</v>
      </c>
      <c r="R338" s="26" t="s">
        <v>13</v>
      </c>
      <c r="S338" s="6" t="s">
        <v>1131</v>
      </c>
      <c r="T338" s="44" t="s">
        <v>1137</v>
      </c>
      <c r="U338" s="62">
        <v>17.2</v>
      </c>
      <c r="V338" s="62">
        <v>17.399999999999999</v>
      </c>
      <c r="W338" s="62">
        <v>17.100000000000001</v>
      </c>
      <c r="X338" s="26">
        <v>428.95676264061734</v>
      </c>
      <c r="Y338" s="26" t="s">
        <v>389</v>
      </c>
      <c r="Z338" s="26">
        <f t="shared" si="114"/>
        <v>300.26973384843211</v>
      </c>
      <c r="AA338" s="26">
        <f t="shared" si="115"/>
        <v>643.43514396092598</v>
      </c>
      <c r="AB338" s="25" t="s">
        <v>1191</v>
      </c>
      <c r="AC338" s="77" t="s">
        <v>400</v>
      </c>
      <c r="AF338" s="26" t="s">
        <v>1218</v>
      </c>
      <c r="AG338" s="25" t="s">
        <v>13</v>
      </c>
      <c r="AH338" s="7" t="s">
        <v>658</v>
      </c>
      <c r="AI338" s="25" t="s">
        <v>647</v>
      </c>
      <c r="AJ338" s="59">
        <f t="shared" ref="AJ338:AJ343" si="140">AVERAGE(AK338:AL338)</f>
        <v>252.75</v>
      </c>
      <c r="AK338" s="62">
        <v>253</v>
      </c>
      <c r="AL338" s="62">
        <v>252.5</v>
      </c>
      <c r="AM338" s="26">
        <f t="shared" si="137"/>
        <v>519</v>
      </c>
      <c r="AN338" s="26" t="s">
        <v>239</v>
      </c>
      <c r="AO338" s="29">
        <f t="shared" ref="AO338:AP343" si="141">AT338</f>
        <v>316</v>
      </c>
      <c r="AP338" s="29">
        <f t="shared" si="141"/>
        <v>907</v>
      </c>
      <c r="AQ338" s="29" t="s">
        <v>542</v>
      </c>
      <c r="AR338" s="23" t="s">
        <v>400</v>
      </c>
      <c r="AS338" s="29">
        <v>519</v>
      </c>
      <c r="AT338" s="29">
        <f>AM338-203</f>
        <v>316</v>
      </c>
      <c r="AU338" s="29">
        <f>AM338+388</f>
        <v>907</v>
      </c>
      <c r="AV338" s="39" t="s">
        <v>651</v>
      </c>
      <c r="AW338" s="39" t="s">
        <v>763</v>
      </c>
      <c r="AX338" s="29" t="s">
        <v>13</v>
      </c>
      <c r="AY338" s="6" t="s">
        <v>670</v>
      </c>
      <c r="AZ338" s="97" t="s">
        <v>13</v>
      </c>
      <c r="BA338" s="62">
        <v>23.797000000000001</v>
      </c>
      <c r="BD338" s="26">
        <v>257.29969999999997</v>
      </c>
      <c r="BE338" s="25" t="s">
        <v>239</v>
      </c>
      <c r="BF338" s="26">
        <f t="shared" si="126"/>
        <v>192.7073</v>
      </c>
      <c r="BG338" s="26">
        <f t="shared" si="126"/>
        <v>338.01690000000002</v>
      </c>
      <c r="BH338" s="83" t="s">
        <v>542</v>
      </c>
      <c r="BI338" s="25" t="s">
        <v>671</v>
      </c>
      <c r="BJ338" s="26">
        <v>192.7073</v>
      </c>
      <c r="BK338" s="26">
        <v>338.01690000000002</v>
      </c>
      <c r="BL338" s="26" t="s">
        <v>708</v>
      </c>
      <c r="BM338" s="25" t="s">
        <v>13</v>
      </c>
      <c r="BO338" s="25"/>
      <c r="CA338" s="25" t="s">
        <v>13</v>
      </c>
      <c r="CC338" s="25" t="s">
        <v>13</v>
      </c>
    </row>
    <row r="339" spans="1:81">
      <c r="A339" s="6" t="s">
        <v>642</v>
      </c>
      <c r="B339" s="25" t="s">
        <v>293</v>
      </c>
      <c r="C339" s="62">
        <v>17.5</v>
      </c>
      <c r="D339" s="62"/>
      <c r="E339" s="62"/>
      <c r="F339" s="26">
        <f t="shared" si="136"/>
        <v>260.59522299516601</v>
      </c>
      <c r="G339" s="23" t="s">
        <v>239</v>
      </c>
      <c r="H339" s="26">
        <f t="shared" si="139"/>
        <v>125.37094850340202</v>
      </c>
      <c r="I339" s="26">
        <f t="shared" si="139"/>
        <v>609.45220922685405</v>
      </c>
      <c r="J339" s="23" t="s">
        <v>412</v>
      </c>
      <c r="K339" s="23" t="s">
        <v>400</v>
      </c>
      <c r="L339" s="26">
        <v>260.59522299516601</v>
      </c>
      <c r="M339" s="26">
        <v>125.370948503402</v>
      </c>
      <c r="N339" s="26">
        <v>609.45220922685405</v>
      </c>
      <c r="O339" s="25">
        <v>440</v>
      </c>
      <c r="P339" s="25">
        <v>440</v>
      </c>
      <c r="Q339" s="25" t="s">
        <v>341</v>
      </c>
      <c r="R339" s="26" t="s">
        <v>13</v>
      </c>
      <c r="S339" s="6" t="s">
        <v>1131</v>
      </c>
      <c r="T339" s="44" t="s">
        <v>1137</v>
      </c>
      <c r="U339" s="62">
        <v>17.600000000000001</v>
      </c>
      <c r="V339" s="62">
        <v>17.75</v>
      </c>
      <c r="W339" s="62">
        <v>17.5</v>
      </c>
      <c r="X339" s="26">
        <v>486.03463105101105</v>
      </c>
      <c r="Y339" s="26" t="s">
        <v>389</v>
      </c>
      <c r="Z339" s="26">
        <f t="shared" si="114"/>
        <v>340.22424173570772</v>
      </c>
      <c r="AA339" s="26">
        <f t="shared" si="115"/>
        <v>729.05194657651657</v>
      </c>
      <c r="AB339" s="25" t="s">
        <v>1191</v>
      </c>
      <c r="AC339" s="77" t="s">
        <v>400</v>
      </c>
      <c r="AF339" s="26" t="s">
        <v>1218</v>
      </c>
      <c r="AG339" s="25" t="s">
        <v>13</v>
      </c>
      <c r="AH339" s="7" t="s">
        <v>658</v>
      </c>
      <c r="AI339" s="25" t="s">
        <v>647</v>
      </c>
      <c r="AJ339" s="59">
        <f t="shared" si="140"/>
        <v>252.75</v>
      </c>
      <c r="AK339" s="62">
        <v>253</v>
      </c>
      <c r="AL339" s="62">
        <v>252.5</v>
      </c>
      <c r="AM339" s="26">
        <f t="shared" si="137"/>
        <v>384</v>
      </c>
      <c r="AN339" s="26" t="s">
        <v>239</v>
      </c>
      <c r="AO339" s="29">
        <f t="shared" si="141"/>
        <v>240</v>
      </c>
      <c r="AP339" s="29">
        <f t="shared" si="141"/>
        <v>665</v>
      </c>
      <c r="AQ339" s="29" t="s">
        <v>542</v>
      </c>
      <c r="AR339" s="23" t="s">
        <v>400</v>
      </c>
      <c r="AS339" s="29">
        <v>384</v>
      </c>
      <c r="AT339" s="29">
        <f>AM339-144</f>
        <v>240</v>
      </c>
      <c r="AU339" s="29">
        <f>AM339+281</f>
        <v>665</v>
      </c>
      <c r="AV339" s="39" t="s">
        <v>651</v>
      </c>
      <c r="AW339" s="39" t="s">
        <v>764</v>
      </c>
      <c r="AX339" s="29" t="s">
        <v>13</v>
      </c>
      <c r="AY339" s="6" t="s">
        <v>670</v>
      </c>
      <c r="AZ339" s="97" t="s">
        <v>13</v>
      </c>
      <c r="BA339" s="62">
        <v>23.821000000000002</v>
      </c>
      <c r="BD339" s="26">
        <v>258.84769999999997</v>
      </c>
      <c r="BE339" s="25" t="s">
        <v>239</v>
      </c>
      <c r="BF339" s="26">
        <f t="shared" si="126"/>
        <v>193.97200000000001</v>
      </c>
      <c r="BG339" s="26">
        <f t="shared" si="126"/>
        <v>338.0795</v>
      </c>
      <c r="BH339" s="83" t="s">
        <v>542</v>
      </c>
      <c r="BI339" s="25" t="s">
        <v>671</v>
      </c>
      <c r="BJ339" s="26">
        <v>193.97200000000001</v>
      </c>
      <c r="BK339" s="26">
        <v>338.0795</v>
      </c>
      <c r="BL339" s="26" t="s">
        <v>709</v>
      </c>
      <c r="BM339" s="25" t="s">
        <v>13</v>
      </c>
      <c r="BO339" s="25"/>
      <c r="CA339" s="25" t="s">
        <v>13</v>
      </c>
      <c r="CC339" s="25" t="s">
        <v>13</v>
      </c>
    </row>
    <row r="340" spans="1:81">
      <c r="A340" s="6" t="s">
        <v>642</v>
      </c>
      <c r="B340" s="25" t="s">
        <v>294</v>
      </c>
      <c r="C340" s="62">
        <v>17.8</v>
      </c>
      <c r="D340" s="62"/>
      <c r="E340" s="62"/>
      <c r="F340" s="26">
        <f t="shared" si="136"/>
        <v>237</v>
      </c>
      <c r="G340" s="23" t="s">
        <v>239</v>
      </c>
      <c r="H340" s="26">
        <f t="shared" si="139"/>
        <v>73</v>
      </c>
      <c r="I340" s="26">
        <f t="shared" si="139"/>
        <v>1017</v>
      </c>
      <c r="J340" s="23" t="s">
        <v>413</v>
      </c>
      <c r="K340" s="23" t="s">
        <v>400</v>
      </c>
      <c r="L340" s="26">
        <v>237</v>
      </c>
      <c r="M340" s="26">
        <v>73</v>
      </c>
      <c r="N340" s="26">
        <v>1017</v>
      </c>
      <c r="O340" s="25">
        <v>711</v>
      </c>
      <c r="P340" s="25">
        <v>711</v>
      </c>
      <c r="Q340" s="25" t="s">
        <v>342</v>
      </c>
      <c r="R340" s="26" t="s">
        <v>13</v>
      </c>
      <c r="S340" s="6" t="s">
        <v>1131</v>
      </c>
      <c r="T340" s="44" t="s">
        <v>1137</v>
      </c>
      <c r="U340" s="62">
        <v>17.899999999999999</v>
      </c>
      <c r="V340" s="62">
        <v>18.100000000000001</v>
      </c>
      <c r="W340" s="62">
        <v>17.8</v>
      </c>
      <c r="X340" s="26">
        <v>449.170316102058</v>
      </c>
      <c r="Y340" s="26" t="s">
        <v>389</v>
      </c>
      <c r="Z340" s="26">
        <f t="shared" si="114"/>
        <v>314.41922127144056</v>
      </c>
      <c r="AA340" s="26">
        <f t="shared" si="115"/>
        <v>673.75547415308699</v>
      </c>
      <c r="AB340" s="25" t="s">
        <v>1191</v>
      </c>
      <c r="AC340" s="77" t="s">
        <v>400</v>
      </c>
      <c r="AF340" s="26" t="s">
        <v>1218</v>
      </c>
      <c r="AG340" s="25" t="s">
        <v>13</v>
      </c>
      <c r="AH340" s="7" t="s">
        <v>658</v>
      </c>
      <c r="AI340" s="25" t="s">
        <v>647</v>
      </c>
      <c r="AJ340" s="59">
        <f t="shared" si="140"/>
        <v>252.75</v>
      </c>
      <c r="AK340" s="62">
        <v>253</v>
      </c>
      <c r="AL340" s="62">
        <v>252.5</v>
      </c>
      <c r="AM340" s="26">
        <f t="shared" si="137"/>
        <v>368</v>
      </c>
      <c r="AN340" s="26" t="s">
        <v>239</v>
      </c>
      <c r="AO340" s="29">
        <f t="shared" si="141"/>
        <v>233</v>
      </c>
      <c r="AP340" s="29">
        <f t="shared" si="141"/>
        <v>635</v>
      </c>
      <c r="AQ340" s="29" t="s">
        <v>542</v>
      </c>
      <c r="AR340" s="23" t="s">
        <v>400</v>
      </c>
      <c r="AS340" s="29">
        <v>368</v>
      </c>
      <c r="AT340" s="29">
        <f>AM340-135</f>
        <v>233</v>
      </c>
      <c r="AU340" s="29">
        <f>AM340+267</f>
        <v>635</v>
      </c>
      <c r="AV340" s="39" t="s">
        <v>651</v>
      </c>
      <c r="AW340" s="39" t="s">
        <v>765</v>
      </c>
      <c r="AX340" s="29" t="s">
        <v>13</v>
      </c>
      <c r="AY340" s="6" t="s">
        <v>670</v>
      </c>
      <c r="AZ340" s="97" t="s">
        <v>13</v>
      </c>
      <c r="BA340" s="62">
        <v>23.856999999999999</v>
      </c>
      <c r="BD340" s="26">
        <v>326.17750000000001</v>
      </c>
      <c r="BE340" s="25" t="s">
        <v>239</v>
      </c>
      <c r="BF340" s="26">
        <f t="shared" si="126"/>
        <v>238.9847</v>
      </c>
      <c r="BG340" s="26">
        <f t="shared" si="126"/>
        <v>441.82299999999998</v>
      </c>
      <c r="BH340" s="83" t="s">
        <v>542</v>
      </c>
      <c r="BI340" s="25" t="s">
        <v>671</v>
      </c>
      <c r="BJ340" s="26">
        <v>238.9847</v>
      </c>
      <c r="BK340" s="26">
        <v>441.82299999999998</v>
      </c>
      <c r="BL340" s="26" t="s">
        <v>710</v>
      </c>
      <c r="BM340" s="25" t="s">
        <v>13</v>
      </c>
      <c r="BO340" s="25"/>
      <c r="CA340" s="25" t="s">
        <v>13</v>
      </c>
      <c r="CC340" s="25" t="s">
        <v>13</v>
      </c>
    </row>
    <row r="341" spans="1:81">
      <c r="A341" s="6" t="s">
        <v>642</v>
      </c>
      <c r="B341" s="25" t="s">
        <v>295</v>
      </c>
      <c r="C341" s="62">
        <v>18.2</v>
      </c>
      <c r="D341" s="62"/>
      <c r="E341" s="62"/>
      <c r="F341" s="26">
        <f t="shared" si="136"/>
        <v>273.279893018282</v>
      </c>
      <c r="G341" s="23" t="s">
        <v>239</v>
      </c>
      <c r="H341" s="26">
        <f t="shared" si="139"/>
        <v>199.31720105276</v>
      </c>
      <c r="I341" s="26">
        <f t="shared" si="139"/>
        <v>396.41992443551999</v>
      </c>
      <c r="J341" s="23" t="s">
        <v>414</v>
      </c>
      <c r="K341" s="23" t="s">
        <v>400</v>
      </c>
      <c r="L341" s="26">
        <v>273.279893018282</v>
      </c>
      <c r="M341" s="26">
        <v>199.31720105276</v>
      </c>
      <c r="N341" s="26">
        <v>396.41992443551999</v>
      </c>
      <c r="O341" s="25">
        <v>629</v>
      </c>
      <c r="P341" s="25">
        <v>629</v>
      </c>
      <c r="Q341" s="25" t="s">
        <v>343</v>
      </c>
      <c r="R341" s="26" t="s">
        <v>13</v>
      </c>
      <c r="S341" s="6" t="s">
        <v>1131</v>
      </c>
      <c r="T341" s="44" t="s">
        <v>1137</v>
      </c>
      <c r="U341" s="62">
        <v>18</v>
      </c>
      <c r="V341" s="62">
        <v>23.03</v>
      </c>
      <c r="W341" s="62">
        <v>5.3330000000000002</v>
      </c>
      <c r="X341" s="26">
        <v>405.57099422593188</v>
      </c>
      <c r="Y341" s="26" t="s">
        <v>389</v>
      </c>
      <c r="Z341" s="26">
        <f t="shared" si="114"/>
        <v>283.89969595815228</v>
      </c>
      <c r="AA341" s="26">
        <f t="shared" si="115"/>
        <v>608.35649133889785</v>
      </c>
      <c r="AB341" s="25" t="s">
        <v>1191</v>
      </c>
      <c r="AC341" s="77" t="s">
        <v>400</v>
      </c>
      <c r="AF341" s="26" t="s">
        <v>1228</v>
      </c>
      <c r="AG341" s="25" t="s">
        <v>13</v>
      </c>
      <c r="AH341" s="7" t="s">
        <v>658</v>
      </c>
      <c r="AI341" s="25" t="s">
        <v>647</v>
      </c>
      <c r="AJ341" s="59">
        <f t="shared" si="140"/>
        <v>252.75</v>
      </c>
      <c r="AK341" s="62">
        <v>253</v>
      </c>
      <c r="AL341" s="62">
        <v>252.5</v>
      </c>
      <c r="AM341" s="26">
        <f t="shared" si="137"/>
        <v>458</v>
      </c>
      <c r="AN341" s="26" t="s">
        <v>239</v>
      </c>
      <c r="AO341" s="29">
        <f t="shared" si="141"/>
        <v>279</v>
      </c>
      <c r="AP341" s="29">
        <f t="shared" si="141"/>
        <v>799</v>
      </c>
      <c r="AQ341" s="29" t="s">
        <v>542</v>
      </c>
      <c r="AR341" s="23" t="s">
        <v>400</v>
      </c>
      <c r="AS341" s="29">
        <v>458</v>
      </c>
      <c r="AT341" s="29">
        <f>AM341-179</f>
        <v>279</v>
      </c>
      <c r="AU341" s="29">
        <f>AM341+341</f>
        <v>799</v>
      </c>
      <c r="AV341" s="39" t="s">
        <v>651</v>
      </c>
      <c r="AW341" s="39" t="s">
        <v>766</v>
      </c>
      <c r="AX341" s="29" t="s">
        <v>13</v>
      </c>
      <c r="AY341" s="6" t="s">
        <v>670</v>
      </c>
      <c r="AZ341" s="97" t="s">
        <v>13</v>
      </c>
      <c r="BA341" s="62">
        <v>23.928000000000001</v>
      </c>
      <c r="BD341" s="26">
        <v>243.74529999999999</v>
      </c>
      <c r="BE341" s="25" t="s">
        <v>239</v>
      </c>
      <c r="BF341" s="26">
        <f t="shared" si="126"/>
        <v>183.06129999999999</v>
      </c>
      <c r="BG341" s="26">
        <f t="shared" si="126"/>
        <v>318.59519999999998</v>
      </c>
      <c r="BH341" s="83" t="s">
        <v>542</v>
      </c>
      <c r="BI341" s="25" t="s">
        <v>671</v>
      </c>
      <c r="BJ341" s="26">
        <v>183.06129999999999</v>
      </c>
      <c r="BK341" s="26">
        <v>318.59519999999998</v>
      </c>
      <c r="BL341" s="26" t="s">
        <v>711</v>
      </c>
      <c r="BM341" s="25" t="s">
        <v>13</v>
      </c>
      <c r="BO341" s="25"/>
      <c r="CA341" s="25" t="s">
        <v>13</v>
      </c>
      <c r="CC341" s="25" t="s">
        <v>13</v>
      </c>
    </row>
    <row r="342" spans="1:81">
      <c r="A342" s="6" t="s">
        <v>642</v>
      </c>
      <c r="B342" s="25" t="s">
        <v>293</v>
      </c>
      <c r="C342" s="62">
        <v>23</v>
      </c>
      <c r="D342" s="62"/>
      <c r="E342" s="62"/>
      <c r="F342" s="26">
        <f t="shared" si="136"/>
        <v>197.36866003127599</v>
      </c>
      <c r="G342" s="23" t="s">
        <v>239</v>
      </c>
      <c r="H342" s="26">
        <f t="shared" si="139"/>
        <v>98.174503376159706</v>
      </c>
      <c r="I342" s="26">
        <f t="shared" si="139"/>
        <v>490.94524124848698</v>
      </c>
      <c r="J342" s="23" t="s">
        <v>415</v>
      </c>
      <c r="K342" s="23" t="s">
        <v>400</v>
      </c>
      <c r="L342" s="26">
        <v>197.36866003127599</v>
      </c>
      <c r="M342" s="26">
        <v>98.174503376159706</v>
      </c>
      <c r="N342" s="26">
        <v>490.94524124848698</v>
      </c>
      <c r="O342" s="25">
        <v>440</v>
      </c>
      <c r="P342" s="25">
        <v>440</v>
      </c>
      <c r="Q342" s="25" t="s">
        <v>344</v>
      </c>
      <c r="R342" s="26" t="s">
        <v>13</v>
      </c>
      <c r="S342" s="6" t="s">
        <v>1131</v>
      </c>
      <c r="T342" s="44" t="s">
        <v>1137</v>
      </c>
      <c r="U342" s="62">
        <v>18.2</v>
      </c>
      <c r="V342" s="62">
        <v>18.3</v>
      </c>
      <c r="W342" s="62">
        <v>18</v>
      </c>
      <c r="X342" s="26">
        <v>403.35730899617738</v>
      </c>
      <c r="Y342" s="26" t="s">
        <v>389</v>
      </c>
      <c r="Z342" s="26">
        <f t="shared" si="114"/>
        <v>282.35011629732412</v>
      </c>
      <c r="AA342" s="26">
        <f t="shared" si="115"/>
        <v>605.03596349426607</v>
      </c>
      <c r="AB342" s="25" t="s">
        <v>1191</v>
      </c>
      <c r="AC342" s="77" t="s">
        <v>400</v>
      </c>
      <c r="AF342" s="26" t="s">
        <v>1218</v>
      </c>
      <c r="AG342" s="25" t="s">
        <v>13</v>
      </c>
      <c r="AH342" s="7" t="s">
        <v>658</v>
      </c>
      <c r="AI342" s="25" t="s">
        <v>647</v>
      </c>
      <c r="AJ342" s="59">
        <f t="shared" si="140"/>
        <v>252.75</v>
      </c>
      <c r="AK342" s="62">
        <v>253</v>
      </c>
      <c r="AL342" s="62">
        <v>252.5</v>
      </c>
      <c r="AM342" s="26">
        <f t="shared" si="137"/>
        <v>520</v>
      </c>
      <c r="AN342" s="26" t="s">
        <v>239</v>
      </c>
      <c r="AO342" s="29">
        <f t="shared" si="141"/>
        <v>323</v>
      </c>
      <c r="AP342" s="29">
        <f t="shared" si="141"/>
        <v>897</v>
      </c>
      <c r="AQ342" s="29" t="s">
        <v>542</v>
      </c>
      <c r="AR342" s="23" t="s">
        <v>400</v>
      </c>
      <c r="AS342" s="29">
        <v>520</v>
      </c>
      <c r="AT342" s="29">
        <f>AM342-197</f>
        <v>323</v>
      </c>
      <c r="AU342" s="29">
        <f>AM342+377</f>
        <v>897</v>
      </c>
      <c r="AV342" s="39" t="s">
        <v>651</v>
      </c>
      <c r="AW342" s="39" t="s">
        <v>767</v>
      </c>
      <c r="AX342" s="29" t="s">
        <v>13</v>
      </c>
      <c r="AY342" s="6" t="s">
        <v>670</v>
      </c>
      <c r="AZ342" s="97" t="s">
        <v>13</v>
      </c>
      <c r="BA342" s="62">
        <v>23.978000000000002</v>
      </c>
      <c r="BD342" s="26">
        <v>221.6131</v>
      </c>
      <c r="BE342" s="25" t="s">
        <v>239</v>
      </c>
      <c r="BF342" s="26">
        <f t="shared" si="126"/>
        <v>166.25970000000001</v>
      </c>
      <c r="BG342" s="26">
        <f t="shared" si="126"/>
        <v>288.11239999999998</v>
      </c>
      <c r="BH342" s="83" t="s">
        <v>542</v>
      </c>
      <c r="BI342" s="25" t="s">
        <v>671</v>
      </c>
      <c r="BJ342" s="26">
        <v>166.25970000000001</v>
      </c>
      <c r="BK342" s="26">
        <v>288.11239999999998</v>
      </c>
      <c r="BL342" s="26" t="s">
        <v>712</v>
      </c>
      <c r="BM342" s="25" t="s">
        <v>13</v>
      </c>
      <c r="BO342" s="25"/>
      <c r="CA342" s="25" t="s">
        <v>13</v>
      </c>
      <c r="CC342" s="25" t="s">
        <v>13</v>
      </c>
    </row>
    <row r="343" spans="1:81">
      <c r="A343" s="6" t="s">
        <v>314</v>
      </c>
      <c r="B343" s="25" t="s">
        <v>294</v>
      </c>
      <c r="C343" s="76">
        <v>100.8</v>
      </c>
      <c r="D343" s="62"/>
      <c r="E343" s="62"/>
      <c r="F343" s="22">
        <f t="shared" si="136"/>
        <v>763.2</v>
      </c>
      <c r="G343" s="23" t="s">
        <v>389</v>
      </c>
      <c r="H343" s="23">
        <f t="shared" ref="H343:H380" si="142">F343*0.5</f>
        <v>381.6</v>
      </c>
      <c r="I343" s="23">
        <f>F343*2</f>
        <v>1526.4</v>
      </c>
      <c r="J343" s="23" t="s">
        <v>481</v>
      </c>
      <c r="K343" s="23" t="s">
        <v>346</v>
      </c>
      <c r="L343" s="21">
        <v>954</v>
      </c>
      <c r="O343" s="25">
        <v>2500</v>
      </c>
      <c r="P343" s="25">
        <v>2000</v>
      </c>
      <c r="Q343" s="25" t="s">
        <v>347</v>
      </c>
      <c r="R343" s="26" t="s">
        <v>13</v>
      </c>
      <c r="S343" s="6" t="s">
        <v>1131</v>
      </c>
      <c r="T343" s="44" t="s">
        <v>1137</v>
      </c>
      <c r="U343" s="62">
        <v>18.3</v>
      </c>
      <c r="V343" s="62">
        <v>18.5</v>
      </c>
      <c r="W343" s="62">
        <v>18.2</v>
      </c>
      <c r="X343" s="26">
        <v>384.79625492752626</v>
      </c>
      <c r="Y343" s="26" t="s">
        <v>389</v>
      </c>
      <c r="Z343" s="26">
        <f t="shared" si="114"/>
        <v>269.35737844926837</v>
      </c>
      <c r="AA343" s="26">
        <f t="shared" si="115"/>
        <v>577.19438239128942</v>
      </c>
      <c r="AB343" s="25" t="s">
        <v>1191</v>
      </c>
      <c r="AC343" s="77" t="s">
        <v>400</v>
      </c>
      <c r="AF343" s="26" t="s">
        <v>1218</v>
      </c>
      <c r="AG343" s="25" t="s">
        <v>13</v>
      </c>
      <c r="AH343" s="7" t="s">
        <v>658</v>
      </c>
      <c r="AI343" s="25" t="s">
        <v>647</v>
      </c>
      <c r="AJ343" s="59">
        <f t="shared" si="140"/>
        <v>252.75</v>
      </c>
      <c r="AK343" s="62">
        <v>253</v>
      </c>
      <c r="AL343" s="62">
        <v>252.5</v>
      </c>
      <c r="AM343" s="26">
        <f t="shared" si="137"/>
        <v>455</v>
      </c>
      <c r="AN343" s="26" t="s">
        <v>239</v>
      </c>
      <c r="AO343" s="29">
        <f t="shared" si="141"/>
        <v>283</v>
      </c>
      <c r="AP343" s="29">
        <f t="shared" si="141"/>
        <v>796</v>
      </c>
      <c r="AQ343" s="29" t="s">
        <v>542</v>
      </c>
      <c r="AR343" s="23" t="s">
        <v>400</v>
      </c>
      <c r="AS343" s="29">
        <v>455</v>
      </c>
      <c r="AT343" s="29">
        <f>AM343-172</f>
        <v>283</v>
      </c>
      <c r="AU343" s="29">
        <f>AM343+341</f>
        <v>796</v>
      </c>
      <c r="AV343" s="39" t="s">
        <v>651</v>
      </c>
      <c r="AW343" s="39" t="s">
        <v>768</v>
      </c>
      <c r="AX343" s="29" t="s">
        <v>13</v>
      </c>
      <c r="AY343" s="6" t="s">
        <v>670</v>
      </c>
      <c r="AZ343" s="97" t="s">
        <v>13</v>
      </c>
      <c r="BA343" s="62">
        <v>24.018000000000001</v>
      </c>
      <c r="BD343" s="26">
        <v>261.87709999999998</v>
      </c>
      <c r="BE343" s="25" t="s">
        <v>239</v>
      </c>
      <c r="BF343" s="26">
        <f t="shared" si="126"/>
        <v>195.11179999999999</v>
      </c>
      <c r="BG343" s="26">
        <f t="shared" si="126"/>
        <v>345.77390000000003</v>
      </c>
      <c r="BH343" s="83" t="s">
        <v>542</v>
      </c>
      <c r="BI343" s="25" t="s">
        <v>671</v>
      </c>
      <c r="BJ343" s="26">
        <v>195.11179999999999</v>
      </c>
      <c r="BK343" s="26">
        <v>345.77390000000003</v>
      </c>
      <c r="BL343" s="26" t="s">
        <v>713</v>
      </c>
      <c r="BM343" s="25" t="s">
        <v>13</v>
      </c>
      <c r="BO343" s="25"/>
      <c r="CA343" s="25" t="s">
        <v>13</v>
      </c>
      <c r="CC343" s="25" t="s">
        <v>13</v>
      </c>
    </row>
    <row r="344" spans="1:81">
      <c r="A344" s="6" t="s">
        <v>314</v>
      </c>
      <c r="B344" s="25" t="s">
        <v>294</v>
      </c>
      <c r="C344" s="76">
        <v>102.4</v>
      </c>
      <c r="D344" s="62"/>
      <c r="E344" s="62"/>
      <c r="F344" s="22">
        <f t="shared" si="136"/>
        <v>620.79999999999995</v>
      </c>
      <c r="G344" s="23" t="s">
        <v>389</v>
      </c>
      <c r="H344" s="23">
        <f t="shared" si="142"/>
        <v>310.39999999999998</v>
      </c>
      <c r="I344" s="23">
        <f t="shared" ref="I344:I380" si="143">F344*2</f>
        <v>1241.5999999999999</v>
      </c>
      <c r="J344" s="23" t="s">
        <v>481</v>
      </c>
      <c r="K344" s="23" t="s">
        <v>346</v>
      </c>
      <c r="L344" s="21">
        <v>776</v>
      </c>
      <c r="O344" s="25">
        <v>2500</v>
      </c>
      <c r="P344" s="25">
        <v>2000</v>
      </c>
      <c r="Q344" s="25" t="s">
        <v>348</v>
      </c>
      <c r="R344" s="26" t="s">
        <v>13</v>
      </c>
      <c r="S344" s="6" t="s">
        <v>1131</v>
      </c>
      <c r="T344" s="44" t="s">
        <v>1137</v>
      </c>
      <c r="U344" s="62">
        <v>18.600000000000001</v>
      </c>
      <c r="V344" s="62">
        <v>18.75</v>
      </c>
      <c r="W344" s="62">
        <v>18.5</v>
      </c>
      <c r="X344" s="26">
        <v>437.72443532460437</v>
      </c>
      <c r="Y344" s="26" t="s">
        <v>389</v>
      </c>
      <c r="Z344" s="26">
        <f t="shared" si="114"/>
        <v>306.40710472722304</v>
      </c>
      <c r="AA344" s="26">
        <f t="shared" si="115"/>
        <v>656.58665298690653</v>
      </c>
      <c r="AB344" s="25" t="s">
        <v>1191</v>
      </c>
      <c r="AC344" s="77" t="s">
        <v>400</v>
      </c>
      <c r="AF344" s="26" t="s">
        <v>1218</v>
      </c>
      <c r="AG344" s="25" t="s">
        <v>13</v>
      </c>
      <c r="AH344" s="7" t="s">
        <v>669</v>
      </c>
      <c r="AI344" s="39" t="s">
        <v>727</v>
      </c>
      <c r="AJ344" s="62">
        <v>35.6</v>
      </c>
      <c r="AK344" s="62">
        <v>35.799999999999997</v>
      </c>
      <c r="AL344" s="62">
        <v>35.4</v>
      </c>
      <c r="AM344" s="93">
        <v>509.28316252984246</v>
      </c>
      <c r="AN344" s="26" t="s">
        <v>389</v>
      </c>
      <c r="AO344" s="93">
        <f>AM344-272.493648961748/2</f>
        <v>373.03633804896845</v>
      </c>
      <c r="AP344" s="93">
        <f>AM344+770.47154996646/2</f>
        <v>894.51893751307239</v>
      </c>
      <c r="AQ344" s="39" t="s">
        <v>771</v>
      </c>
      <c r="AR344" s="23" t="s">
        <v>400</v>
      </c>
      <c r="AS344" s="29">
        <v>433</v>
      </c>
      <c r="AT344" s="39">
        <v>280</v>
      </c>
      <c r="AU344" s="39">
        <v>587</v>
      </c>
      <c r="AV344" s="39" t="s">
        <v>652</v>
      </c>
      <c r="AW344" s="39" t="s">
        <v>777</v>
      </c>
      <c r="AX344" s="29" t="s">
        <v>13</v>
      </c>
      <c r="AY344" s="6" t="s">
        <v>845</v>
      </c>
      <c r="AZ344" s="97" t="s">
        <v>13</v>
      </c>
      <c r="BA344" s="101">
        <v>66.13232653</v>
      </c>
      <c r="BD344" s="102">
        <v>787.52681970000003</v>
      </c>
      <c r="BE344" s="25" t="s">
        <v>239</v>
      </c>
      <c r="BF344" s="26">
        <f t="shared" ref="BF344:BG364" si="144">BJ344</f>
        <v>679.97968289999994</v>
      </c>
      <c r="BG344" s="26">
        <f t="shared" si="144"/>
        <v>916.14204640000003</v>
      </c>
      <c r="BH344" s="83" t="s">
        <v>542</v>
      </c>
      <c r="BI344" s="25" t="s">
        <v>671</v>
      </c>
      <c r="BJ344" s="102">
        <v>679.97968289999994</v>
      </c>
      <c r="BK344" s="102">
        <v>916.14204640000003</v>
      </c>
      <c r="BL344" t="s">
        <v>846</v>
      </c>
      <c r="BM344" s="25" t="s">
        <v>13</v>
      </c>
      <c r="BO344" s="25"/>
      <c r="CA344" s="25" t="s">
        <v>13</v>
      </c>
      <c r="CC344" s="25" t="s">
        <v>13</v>
      </c>
    </row>
    <row r="345" spans="1:81">
      <c r="A345" s="6" t="s">
        <v>314</v>
      </c>
      <c r="B345" s="25" t="s">
        <v>294</v>
      </c>
      <c r="C345" s="76">
        <v>103.1</v>
      </c>
      <c r="D345" s="62"/>
      <c r="E345" s="62"/>
      <c r="F345" s="22">
        <f t="shared" si="136"/>
        <v>792</v>
      </c>
      <c r="G345" s="23" t="s">
        <v>389</v>
      </c>
      <c r="H345" s="23">
        <f t="shared" si="142"/>
        <v>396</v>
      </c>
      <c r="I345" s="23">
        <f t="shared" si="143"/>
        <v>1584</v>
      </c>
      <c r="J345" s="23" t="s">
        <v>481</v>
      </c>
      <c r="K345" s="23" t="s">
        <v>346</v>
      </c>
      <c r="L345" s="21">
        <v>990</v>
      </c>
      <c r="O345" s="25">
        <v>2500</v>
      </c>
      <c r="P345" s="25">
        <v>2000</v>
      </c>
      <c r="Q345" s="25" t="s">
        <v>349</v>
      </c>
      <c r="R345" s="26" t="s">
        <v>13</v>
      </c>
      <c r="S345" s="6" t="s">
        <v>1131</v>
      </c>
      <c r="T345" s="44" t="s">
        <v>1137</v>
      </c>
      <c r="U345" s="62">
        <v>18.75</v>
      </c>
      <c r="V345" s="62">
        <v>18.899999999999999</v>
      </c>
      <c r="W345" s="62">
        <v>18.600000000000001</v>
      </c>
      <c r="X345" s="26">
        <v>395.94678479860914</v>
      </c>
      <c r="Y345" s="26" t="s">
        <v>389</v>
      </c>
      <c r="Z345" s="26">
        <f t="shared" si="114"/>
        <v>277.16274935902641</v>
      </c>
      <c r="AA345" s="26">
        <f t="shared" si="115"/>
        <v>593.92017719791374</v>
      </c>
      <c r="AB345" s="25" t="s">
        <v>1191</v>
      </c>
      <c r="AC345" s="77" t="s">
        <v>400</v>
      </c>
      <c r="AF345" s="26" t="s">
        <v>1218</v>
      </c>
      <c r="AG345" s="25" t="s">
        <v>13</v>
      </c>
      <c r="AH345" s="7" t="s">
        <v>669</v>
      </c>
      <c r="AI345" s="39" t="s">
        <v>728</v>
      </c>
      <c r="AJ345" s="62">
        <v>35.6</v>
      </c>
      <c r="AK345" s="62">
        <v>35.799999999999997</v>
      </c>
      <c r="AL345" s="62">
        <v>35.4</v>
      </c>
      <c r="AM345" s="93">
        <v>412.02873131975002</v>
      </c>
      <c r="AN345" s="26" t="s">
        <v>389</v>
      </c>
      <c r="AO345" s="93">
        <f>AM345-218.860164569883/2</f>
        <v>302.59864903480855</v>
      </c>
      <c r="AP345" s="93">
        <f>AM345+362.180758538447/2</f>
        <v>593.11911058897351</v>
      </c>
      <c r="AQ345" s="39" t="s">
        <v>771</v>
      </c>
      <c r="AR345" s="23" t="s">
        <v>400</v>
      </c>
      <c r="AS345" s="29">
        <v>471</v>
      </c>
      <c r="AT345" s="29">
        <v>281</v>
      </c>
      <c r="AU345" s="29">
        <v>662</v>
      </c>
      <c r="AV345" s="39" t="s">
        <v>652</v>
      </c>
      <c r="AW345" s="39" t="s">
        <v>777</v>
      </c>
      <c r="AX345" s="29" t="s">
        <v>13</v>
      </c>
      <c r="AY345" s="6" t="s">
        <v>845</v>
      </c>
      <c r="AZ345" s="97" t="s">
        <v>13</v>
      </c>
      <c r="BA345" s="101">
        <v>66.039000000000001</v>
      </c>
      <c r="BD345" s="102">
        <v>1566.7245780000001</v>
      </c>
      <c r="BE345" s="25" t="s">
        <v>239</v>
      </c>
      <c r="BF345" s="26">
        <f t="shared" si="144"/>
        <v>1311.616497</v>
      </c>
      <c r="BG345" s="26">
        <f t="shared" si="144"/>
        <v>1916.8627570000001</v>
      </c>
      <c r="BH345" s="83" t="s">
        <v>542</v>
      </c>
      <c r="BI345" s="25" t="s">
        <v>671</v>
      </c>
      <c r="BJ345" s="102">
        <v>1311.616497</v>
      </c>
      <c r="BK345" s="102">
        <v>1916.8627570000001</v>
      </c>
      <c r="BL345" t="s">
        <v>847</v>
      </c>
      <c r="BM345" s="25" t="s">
        <v>13</v>
      </c>
      <c r="BO345" s="25"/>
      <c r="CA345" s="25" t="s">
        <v>13</v>
      </c>
      <c r="CC345" s="25" t="s">
        <v>13</v>
      </c>
    </row>
    <row r="346" spans="1:81">
      <c r="A346" s="6" t="s">
        <v>314</v>
      </c>
      <c r="B346" s="25" t="s">
        <v>294</v>
      </c>
      <c r="C346" s="76">
        <v>103.3</v>
      </c>
      <c r="D346" s="62"/>
      <c r="E346" s="62"/>
      <c r="F346" s="22">
        <f t="shared" si="136"/>
        <v>1052</v>
      </c>
      <c r="G346" s="23" t="s">
        <v>389</v>
      </c>
      <c r="H346" s="23">
        <f t="shared" si="142"/>
        <v>526</v>
      </c>
      <c r="I346" s="23">
        <f t="shared" si="143"/>
        <v>2104</v>
      </c>
      <c r="J346" s="23" t="s">
        <v>481</v>
      </c>
      <c r="K346" s="23" t="s">
        <v>346</v>
      </c>
      <c r="L346" s="21">
        <v>1315</v>
      </c>
      <c r="O346" s="25">
        <v>2500</v>
      </c>
      <c r="P346" s="25">
        <v>2000</v>
      </c>
      <c r="Q346" s="25" t="s">
        <v>350</v>
      </c>
      <c r="R346" s="26" t="s">
        <v>13</v>
      </c>
      <c r="S346" s="6" t="s">
        <v>1131</v>
      </c>
      <c r="T346" s="44" t="s">
        <v>1137</v>
      </c>
      <c r="U346" s="62">
        <v>18.899999999999999</v>
      </c>
      <c r="V346" s="62">
        <v>19</v>
      </c>
      <c r="W346" s="62">
        <v>18.7</v>
      </c>
      <c r="X346" s="26">
        <v>477.36245945247902</v>
      </c>
      <c r="Y346" s="26" t="s">
        <v>389</v>
      </c>
      <c r="Z346" s="26">
        <f t="shared" si="114"/>
        <v>334.15372161673531</v>
      </c>
      <c r="AA346" s="26">
        <f t="shared" si="115"/>
        <v>716.04368917871852</v>
      </c>
      <c r="AB346" s="25" t="s">
        <v>1191</v>
      </c>
      <c r="AC346" s="77" t="s">
        <v>400</v>
      </c>
      <c r="AF346" s="26" t="s">
        <v>1218</v>
      </c>
      <c r="AG346" s="25" t="s">
        <v>13</v>
      </c>
      <c r="AH346" s="7" t="s">
        <v>669</v>
      </c>
      <c r="AI346" s="39" t="s">
        <v>729</v>
      </c>
      <c r="AJ346" s="62">
        <v>35.9</v>
      </c>
      <c r="AK346" s="62">
        <v>37</v>
      </c>
      <c r="AL346" s="62">
        <v>34.799999999999997</v>
      </c>
      <c r="AM346" s="93">
        <v>526.05320630095457</v>
      </c>
      <c r="AN346" s="26" t="s">
        <v>389</v>
      </c>
      <c r="AO346" s="93">
        <f>AM346-278.854847575408/2</f>
        <v>386.62578251325056</v>
      </c>
      <c r="AP346" s="93">
        <f>AM346+490.731367812707/2</f>
        <v>771.4188902073081</v>
      </c>
      <c r="AQ346" s="39" t="s">
        <v>771</v>
      </c>
      <c r="AR346" s="23" t="s">
        <v>400</v>
      </c>
      <c r="AS346" s="29">
        <v>516</v>
      </c>
      <c r="AT346" s="29">
        <v>305</v>
      </c>
      <c r="AU346" s="29">
        <v>728</v>
      </c>
      <c r="AV346" s="39" t="s">
        <v>652</v>
      </c>
      <c r="AW346" s="39" t="s">
        <v>777</v>
      </c>
      <c r="AX346" s="29" t="s">
        <v>13</v>
      </c>
      <c r="AY346" s="6" t="s">
        <v>845</v>
      </c>
      <c r="AZ346" s="97" t="s">
        <v>13</v>
      </c>
      <c r="BA346" s="101">
        <v>66.039000000000001</v>
      </c>
      <c r="BD346" s="102">
        <v>1453.0511059999999</v>
      </c>
      <c r="BE346" s="25" t="s">
        <v>239</v>
      </c>
      <c r="BF346" s="26">
        <f t="shared" si="144"/>
        <v>1212.524617</v>
      </c>
      <c r="BG346" s="26">
        <f t="shared" si="144"/>
        <v>1809.386786</v>
      </c>
      <c r="BH346" s="83" t="s">
        <v>542</v>
      </c>
      <c r="BI346" s="25" t="s">
        <v>671</v>
      </c>
      <c r="BJ346" s="102">
        <v>1212.524617</v>
      </c>
      <c r="BK346" s="102">
        <v>1809.386786</v>
      </c>
      <c r="BL346" t="s">
        <v>848</v>
      </c>
      <c r="BM346" s="25" t="s">
        <v>13</v>
      </c>
      <c r="BO346" s="25"/>
      <c r="CA346" s="25" t="s">
        <v>13</v>
      </c>
      <c r="CC346" s="25" t="s">
        <v>13</v>
      </c>
    </row>
    <row r="347" spans="1:81">
      <c r="A347" s="6" t="s">
        <v>314</v>
      </c>
      <c r="B347" s="25" t="s">
        <v>294</v>
      </c>
      <c r="C347" s="76">
        <v>104.6</v>
      </c>
      <c r="D347" s="62"/>
      <c r="E347" s="62"/>
      <c r="F347" s="22">
        <f t="shared" si="136"/>
        <v>1246.4000000000001</v>
      </c>
      <c r="G347" s="23" t="s">
        <v>389</v>
      </c>
      <c r="H347" s="23">
        <f t="shared" si="142"/>
        <v>623.20000000000005</v>
      </c>
      <c r="I347" s="23">
        <f t="shared" si="143"/>
        <v>2492.8000000000002</v>
      </c>
      <c r="J347" s="23" t="s">
        <v>481</v>
      </c>
      <c r="K347" s="23" t="s">
        <v>346</v>
      </c>
      <c r="L347" s="21">
        <v>1558</v>
      </c>
      <c r="O347" s="25">
        <v>2500</v>
      </c>
      <c r="P347" s="25">
        <v>2000</v>
      </c>
      <c r="Q347" s="25" t="s">
        <v>351</v>
      </c>
      <c r="R347" s="26" t="s">
        <v>13</v>
      </c>
      <c r="S347" s="6" t="s">
        <v>1131</v>
      </c>
      <c r="T347" s="44" t="s">
        <v>1137</v>
      </c>
      <c r="U347" s="62">
        <v>19.2</v>
      </c>
      <c r="V347" s="62">
        <v>19.2</v>
      </c>
      <c r="W347" s="62">
        <v>19</v>
      </c>
      <c r="X347" s="26">
        <v>494.25056985819754</v>
      </c>
      <c r="Y347" s="26" t="s">
        <v>389</v>
      </c>
      <c r="Z347" s="26">
        <f t="shared" ref="Z347:Z410" si="145">X347*0.7</f>
        <v>345.97539890073824</v>
      </c>
      <c r="AA347" s="26">
        <f t="shared" ref="AA347:AA410" si="146">X347*1.5</f>
        <v>741.37585478729625</v>
      </c>
      <c r="AB347" s="25" t="s">
        <v>1191</v>
      </c>
      <c r="AC347" s="77" t="s">
        <v>400</v>
      </c>
      <c r="AF347" s="26" t="s">
        <v>1218</v>
      </c>
      <c r="AG347" s="25" t="s">
        <v>13</v>
      </c>
      <c r="AH347" s="7" t="s">
        <v>669</v>
      </c>
      <c r="AI347" s="39" t="s">
        <v>725</v>
      </c>
      <c r="AJ347" s="62">
        <v>36.15</v>
      </c>
      <c r="AK347" s="62">
        <v>37.5</v>
      </c>
      <c r="AL347" s="62">
        <v>34.799999999999997</v>
      </c>
      <c r="AM347" s="93">
        <v>479.89364182907798</v>
      </c>
      <c r="AN347" s="26" t="s">
        <v>389</v>
      </c>
      <c r="AO347" s="93">
        <f>AM347-209.879689714674/2</f>
        <v>374.95379697174099</v>
      </c>
      <c r="AP347" s="93">
        <f>AM347+318.226693823822/2</f>
        <v>639.00698874098896</v>
      </c>
      <c r="AQ347" s="39" t="s">
        <v>771</v>
      </c>
      <c r="AR347" s="23" t="s">
        <v>400</v>
      </c>
      <c r="AS347" s="29">
        <v>397</v>
      </c>
      <c r="AT347" s="29">
        <v>246</v>
      </c>
      <c r="AU347" s="29">
        <v>548</v>
      </c>
      <c r="AV347" s="39" t="s">
        <v>652</v>
      </c>
      <c r="AW347" s="39" t="s">
        <v>777</v>
      </c>
      <c r="AX347" s="29" t="s">
        <v>13</v>
      </c>
      <c r="AY347" s="6" t="s">
        <v>845</v>
      </c>
      <c r="AZ347" s="97" t="s">
        <v>13</v>
      </c>
      <c r="BA347" s="101">
        <v>66.319999999999993</v>
      </c>
      <c r="BD347" s="102">
        <v>843.29333819999999</v>
      </c>
      <c r="BE347" s="25" t="s">
        <v>239</v>
      </c>
      <c r="BF347" s="26">
        <f t="shared" si="144"/>
        <v>751.49689639999997</v>
      </c>
      <c r="BG347" s="26">
        <f t="shared" si="144"/>
        <v>955.14759149999998</v>
      </c>
      <c r="BH347" s="83" t="s">
        <v>542</v>
      </c>
      <c r="BI347" s="25" t="s">
        <v>671</v>
      </c>
      <c r="BJ347" s="102">
        <v>751.49689639999997</v>
      </c>
      <c r="BK347" s="102">
        <v>955.14759149999998</v>
      </c>
      <c r="BL347" t="s">
        <v>849</v>
      </c>
      <c r="BM347" s="25" t="s">
        <v>13</v>
      </c>
      <c r="BO347" s="25"/>
      <c r="CA347" s="25" t="s">
        <v>13</v>
      </c>
      <c r="CC347" s="25" t="s">
        <v>13</v>
      </c>
    </row>
    <row r="348" spans="1:81">
      <c r="A348" s="6" t="s">
        <v>314</v>
      </c>
      <c r="B348" s="25" t="s">
        <v>294</v>
      </c>
      <c r="C348" s="76">
        <v>104.7</v>
      </c>
      <c r="D348" s="62"/>
      <c r="E348" s="62"/>
      <c r="F348" s="22">
        <f t="shared" si="136"/>
        <v>1139.2</v>
      </c>
      <c r="G348" s="23" t="s">
        <v>389</v>
      </c>
      <c r="H348" s="23">
        <f t="shared" si="142"/>
        <v>569.6</v>
      </c>
      <c r="I348" s="23">
        <f t="shared" si="143"/>
        <v>2278.4</v>
      </c>
      <c r="J348" s="23" t="s">
        <v>481</v>
      </c>
      <c r="K348" s="23" t="s">
        <v>346</v>
      </c>
      <c r="L348" s="21">
        <v>1424</v>
      </c>
      <c r="O348" s="25">
        <v>2500</v>
      </c>
      <c r="P348" s="25">
        <v>2000</v>
      </c>
      <c r="Q348" s="25" t="s">
        <v>352</v>
      </c>
      <c r="R348" s="26" t="s">
        <v>13</v>
      </c>
      <c r="S348" s="6" t="s">
        <v>1131</v>
      </c>
      <c r="T348" s="44" t="s">
        <v>1137</v>
      </c>
      <c r="U348" s="62">
        <v>19.2</v>
      </c>
      <c r="V348" s="62">
        <v>19.3</v>
      </c>
      <c r="W348" s="62">
        <v>19</v>
      </c>
      <c r="X348" s="26">
        <v>625.21198841558999</v>
      </c>
      <c r="Y348" s="26" t="s">
        <v>389</v>
      </c>
      <c r="Z348" s="26">
        <f t="shared" si="145"/>
        <v>437.64839189091299</v>
      </c>
      <c r="AA348" s="26">
        <f t="shared" si="146"/>
        <v>937.81798262338498</v>
      </c>
      <c r="AB348" s="25" t="s">
        <v>1191</v>
      </c>
      <c r="AC348" s="77" t="s">
        <v>400</v>
      </c>
      <c r="AF348" s="26" t="s">
        <v>1229</v>
      </c>
      <c r="AG348" s="25" t="s">
        <v>13</v>
      </c>
      <c r="AH348" s="7" t="s">
        <v>669</v>
      </c>
      <c r="AI348" s="39" t="s">
        <v>726</v>
      </c>
      <c r="AJ348" s="62">
        <v>36.549999999999997</v>
      </c>
      <c r="AK348" s="62">
        <v>36.700000000000003</v>
      </c>
      <c r="AL348" s="62">
        <v>36.4</v>
      </c>
      <c r="AM348" s="93">
        <v>373.14807573410553</v>
      </c>
      <c r="AN348" s="26" t="s">
        <v>389</v>
      </c>
      <c r="AO348" s="93">
        <f>AM348-214.223470836391/2</f>
        <v>266.03634031591002</v>
      </c>
      <c r="AP348" s="93">
        <f>AM348+415.322933968187/2</f>
        <v>580.80954271819905</v>
      </c>
      <c r="AQ348" s="39" t="s">
        <v>771</v>
      </c>
      <c r="AR348" s="23" t="s">
        <v>400</v>
      </c>
      <c r="AS348" s="29">
        <v>446</v>
      </c>
      <c r="AT348" s="29">
        <v>282</v>
      </c>
      <c r="AU348" s="29">
        <v>610</v>
      </c>
      <c r="AV348" s="39" t="s">
        <v>652</v>
      </c>
      <c r="AW348" s="39" t="s">
        <v>777</v>
      </c>
      <c r="AX348" s="29" t="s">
        <v>13</v>
      </c>
      <c r="AY348" s="6" t="s">
        <v>845</v>
      </c>
      <c r="AZ348" s="97" t="s">
        <v>13</v>
      </c>
      <c r="BA348" s="101">
        <v>66.819999999999993</v>
      </c>
      <c r="BD348" s="102">
        <v>840.91885439999999</v>
      </c>
      <c r="BE348" s="25" t="s">
        <v>239</v>
      </c>
      <c r="BF348" s="26">
        <f t="shared" si="144"/>
        <v>719.78176680000001</v>
      </c>
      <c r="BG348" s="26">
        <f t="shared" si="144"/>
        <v>989.26394949999997</v>
      </c>
      <c r="BH348" s="83" t="s">
        <v>542</v>
      </c>
      <c r="BI348" s="25" t="s">
        <v>671</v>
      </c>
      <c r="BJ348" s="102">
        <v>719.78176680000001</v>
      </c>
      <c r="BK348" s="102">
        <v>989.26394949999997</v>
      </c>
      <c r="BL348" t="s">
        <v>850</v>
      </c>
      <c r="BM348" s="25" t="s">
        <v>13</v>
      </c>
      <c r="BO348" s="25"/>
      <c r="CA348" s="25" t="s">
        <v>13</v>
      </c>
      <c r="CC348" s="25" t="s">
        <v>13</v>
      </c>
    </row>
    <row r="349" spans="1:81">
      <c r="A349" s="6" t="s">
        <v>314</v>
      </c>
      <c r="B349" s="25" t="s">
        <v>294</v>
      </c>
      <c r="C349" s="76">
        <v>104.8</v>
      </c>
      <c r="D349" s="62"/>
      <c r="E349" s="62"/>
      <c r="F349" s="22">
        <f t="shared" si="136"/>
        <v>1254.4000000000001</v>
      </c>
      <c r="G349" s="23" t="s">
        <v>389</v>
      </c>
      <c r="H349" s="23">
        <f t="shared" si="142"/>
        <v>627.20000000000005</v>
      </c>
      <c r="I349" s="23">
        <f t="shared" si="143"/>
        <v>2508.8000000000002</v>
      </c>
      <c r="J349" s="23" t="s">
        <v>481</v>
      </c>
      <c r="K349" s="23" t="s">
        <v>346</v>
      </c>
      <c r="L349" s="21">
        <v>1568</v>
      </c>
      <c r="O349" s="25">
        <v>2500</v>
      </c>
      <c r="P349" s="25">
        <v>2000</v>
      </c>
      <c r="Q349" s="25" t="s">
        <v>353</v>
      </c>
      <c r="R349" s="26" t="s">
        <v>13</v>
      </c>
      <c r="S349" s="6" t="s">
        <v>1131</v>
      </c>
      <c r="T349" s="44" t="s">
        <v>1137</v>
      </c>
      <c r="U349" s="62">
        <v>19.399999999999999</v>
      </c>
      <c r="V349" s="62">
        <v>19.5</v>
      </c>
      <c r="W349" s="62">
        <v>19.2</v>
      </c>
      <c r="X349" s="26">
        <v>633.03716519580519</v>
      </c>
      <c r="Y349" s="26" t="s">
        <v>389</v>
      </c>
      <c r="Z349" s="26">
        <f t="shared" si="145"/>
        <v>443.12601563706363</v>
      </c>
      <c r="AA349" s="26">
        <f t="shared" si="146"/>
        <v>949.55574779370772</v>
      </c>
      <c r="AB349" s="25" t="s">
        <v>1191</v>
      </c>
      <c r="AC349" s="77" t="s">
        <v>400</v>
      </c>
      <c r="AF349" s="26" t="s">
        <v>1229</v>
      </c>
      <c r="AG349" s="25" t="s">
        <v>13</v>
      </c>
      <c r="AH349" s="7" t="s">
        <v>669</v>
      </c>
      <c r="AI349" s="39" t="s">
        <v>724</v>
      </c>
      <c r="AJ349" s="62">
        <v>38.25</v>
      </c>
      <c r="AK349" s="62">
        <v>38.5</v>
      </c>
      <c r="AL349" s="62">
        <v>38</v>
      </c>
      <c r="AM349" s="93">
        <v>610.626021351904</v>
      </c>
      <c r="AN349" s="26" t="s">
        <v>389</v>
      </c>
      <c r="AO349" s="93">
        <f>AM349-278.660831723957/2</f>
        <v>471.29560548992549</v>
      </c>
      <c r="AP349" s="93">
        <f>AM349+508.881003221132/2</f>
        <v>865.06652296247</v>
      </c>
      <c r="AQ349" s="39" t="s">
        <v>771</v>
      </c>
      <c r="AR349" s="23" t="s">
        <v>400</v>
      </c>
      <c r="AS349" s="29">
        <v>656</v>
      </c>
      <c r="AT349" s="29">
        <v>284</v>
      </c>
      <c r="AU349" s="29">
        <v>1028</v>
      </c>
      <c r="AV349" s="39" t="s">
        <v>652</v>
      </c>
      <c r="AW349" s="39" t="s">
        <v>777</v>
      </c>
      <c r="AX349" s="29" t="s">
        <v>13</v>
      </c>
      <c r="AY349" s="6" t="s">
        <v>845</v>
      </c>
      <c r="AZ349" s="97" t="s">
        <v>13</v>
      </c>
      <c r="BA349" s="101">
        <v>66.819999999999993</v>
      </c>
      <c r="BD349" s="102">
        <v>902.29649659999995</v>
      </c>
      <c r="BE349" s="25" t="s">
        <v>239</v>
      </c>
      <c r="BF349" s="26">
        <f t="shared" si="144"/>
        <v>768.19718339999997</v>
      </c>
      <c r="BG349" s="26">
        <f t="shared" si="144"/>
        <v>1070.8090870000001</v>
      </c>
      <c r="BH349" s="83" t="s">
        <v>542</v>
      </c>
      <c r="BI349" s="25" t="s">
        <v>671</v>
      </c>
      <c r="BJ349" s="102">
        <v>768.19718339999997</v>
      </c>
      <c r="BK349" s="102">
        <v>1070.8090870000001</v>
      </c>
      <c r="BL349" t="s">
        <v>851</v>
      </c>
      <c r="BM349" s="25" t="s">
        <v>13</v>
      </c>
      <c r="BO349" s="25"/>
      <c r="CA349" s="25" t="s">
        <v>13</v>
      </c>
      <c r="CC349" s="25" t="s">
        <v>13</v>
      </c>
    </row>
    <row r="350" spans="1:81">
      <c r="A350" s="6" t="s">
        <v>314</v>
      </c>
      <c r="B350" s="25" t="s">
        <v>294</v>
      </c>
      <c r="C350" s="76">
        <v>106.1</v>
      </c>
      <c r="D350" s="62"/>
      <c r="E350" s="62"/>
      <c r="F350" s="22">
        <f t="shared" si="136"/>
        <v>1399.2</v>
      </c>
      <c r="G350" s="23" t="s">
        <v>389</v>
      </c>
      <c r="H350" s="23">
        <f t="shared" si="142"/>
        <v>699.6</v>
      </c>
      <c r="I350" s="23">
        <f t="shared" si="143"/>
        <v>2798.4</v>
      </c>
      <c r="J350" s="23" t="s">
        <v>481</v>
      </c>
      <c r="K350" s="23" t="s">
        <v>346</v>
      </c>
      <c r="L350" s="21">
        <v>1749</v>
      </c>
      <c r="O350" s="25">
        <v>2500</v>
      </c>
      <c r="P350" s="25">
        <v>2000</v>
      </c>
      <c r="Q350" s="25" t="s">
        <v>354</v>
      </c>
      <c r="R350" s="26" t="s">
        <v>13</v>
      </c>
      <c r="S350" s="6" t="s">
        <v>1131</v>
      </c>
      <c r="T350" s="44" t="s">
        <v>1137</v>
      </c>
      <c r="U350" s="62">
        <v>19.600000000000001</v>
      </c>
      <c r="V350" s="62">
        <v>19.7</v>
      </c>
      <c r="W350" s="62">
        <v>19.5</v>
      </c>
      <c r="X350" s="26">
        <v>572.37336812491174</v>
      </c>
      <c r="Y350" s="26" t="s">
        <v>389</v>
      </c>
      <c r="Z350" s="26">
        <f t="shared" si="145"/>
        <v>400.66135768743817</v>
      </c>
      <c r="AA350" s="26">
        <f t="shared" si="146"/>
        <v>858.56005218736755</v>
      </c>
      <c r="AB350" s="25" t="s">
        <v>1191</v>
      </c>
      <c r="AC350" s="77" t="s">
        <v>400</v>
      </c>
      <c r="AF350" s="26" t="s">
        <v>1229</v>
      </c>
      <c r="AG350" s="25" t="s">
        <v>13</v>
      </c>
      <c r="AH350" s="7" t="s">
        <v>669</v>
      </c>
      <c r="AI350" s="39" t="s">
        <v>723</v>
      </c>
      <c r="AJ350" s="62">
        <v>38.25</v>
      </c>
      <c r="AK350" s="62">
        <v>38.5</v>
      </c>
      <c r="AL350" s="62">
        <v>38</v>
      </c>
      <c r="AM350" s="93">
        <v>422.76665641225702</v>
      </c>
      <c r="AN350" s="26" t="s">
        <v>389</v>
      </c>
      <c r="AO350" s="93">
        <f>AM350-217.658550515674/2</f>
        <v>313.93738115442</v>
      </c>
      <c r="AP350" s="93">
        <f>AM350+351.210564054434/2</f>
        <v>598.37193843947398</v>
      </c>
      <c r="AQ350" s="39" t="s">
        <v>771</v>
      </c>
      <c r="AR350" s="23" t="s">
        <v>400</v>
      </c>
      <c r="AS350" s="29">
        <v>451</v>
      </c>
      <c r="AT350" s="29">
        <v>287</v>
      </c>
      <c r="AU350" s="29">
        <v>615</v>
      </c>
      <c r="AV350" s="39" t="s">
        <v>652</v>
      </c>
      <c r="AW350" s="39" t="s">
        <v>777</v>
      </c>
      <c r="AX350" s="29" t="s">
        <v>13</v>
      </c>
      <c r="AY350" s="6" t="s">
        <v>845</v>
      </c>
      <c r="AZ350" s="97" t="s">
        <v>13</v>
      </c>
      <c r="BA350" s="101">
        <v>66.172677320000005</v>
      </c>
      <c r="BD350" s="102">
        <v>1395.094685</v>
      </c>
      <c r="BE350" s="25" t="s">
        <v>239</v>
      </c>
      <c r="BF350" s="26">
        <f t="shared" si="144"/>
        <v>1175.791516</v>
      </c>
      <c r="BG350" s="26">
        <f t="shared" si="144"/>
        <v>1703.418126</v>
      </c>
      <c r="BH350" s="83" t="s">
        <v>542</v>
      </c>
      <c r="BI350" s="25" t="s">
        <v>671</v>
      </c>
      <c r="BJ350" s="102">
        <v>1175.791516</v>
      </c>
      <c r="BK350" s="102">
        <v>1703.418126</v>
      </c>
      <c r="BL350" t="s">
        <v>852</v>
      </c>
      <c r="BM350" s="25" t="s">
        <v>13</v>
      </c>
      <c r="BO350" s="25"/>
      <c r="CA350" s="25" t="s">
        <v>13</v>
      </c>
      <c r="CC350" s="25" t="s">
        <v>13</v>
      </c>
    </row>
    <row r="351" spans="1:81">
      <c r="A351" s="6" t="s">
        <v>314</v>
      </c>
      <c r="B351" s="25" t="s">
        <v>294</v>
      </c>
      <c r="C351" s="76">
        <v>106.4</v>
      </c>
      <c r="D351" s="62"/>
      <c r="E351" s="62"/>
      <c r="F351" s="22">
        <f t="shared" si="136"/>
        <v>1474.4</v>
      </c>
      <c r="G351" s="23" t="s">
        <v>389</v>
      </c>
      <c r="H351" s="23">
        <f t="shared" si="142"/>
        <v>737.2</v>
      </c>
      <c r="I351" s="23">
        <f t="shared" si="143"/>
        <v>2948.8</v>
      </c>
      <c r="J351" s="23" t="s">
        <v>481</v>
      </c>
      <c r="K351" s="23" t="s">
        <v>346</v>
      </c>
      <c r="L351" s="21">
        <v>1843</v>
      </c>
      <c r="O351" s="25">
        <v>2500</v>
      </c>
      <c r="P351" s="25">
        <v>2000</v>
      </c>
      <c r="Q351" s="25" t="s">
        <v>355</v>
      </c>
      <c r="R351" s="26" t="s">
        <v>13</v>
      </c>
      <c r="S351" s="6" t="s">
        <v>1131</v>
      </c>
      <c r="T351" s="44" t="s">
        <v>1137</v>
      </c>
      <c r="U351" s="62">
        <v>20.25</v>
      </c>
      <c r="V351" s="62">
        <v>20.3</v>
      </c>
      <c r="W351" s="62">
        <v>20.2</v>
      </c>
      <c r="X351" s="26">
        <v>629.16958830363262</v>
      </c>
      <c r="Y351" s="26" t="s">
        <v>389</v>
      </c>
      <c r="Z351" s="26">
        <f t="shared" si="145"/>
        <v>440.41871181254282</v>
      </c>
      <c r="AA351" s="26">
        <f t="shared" si="146"/>
        <v>943.75438245544888</v>
      </c>
      <c r="AB351" s="25" t="s">
        <v>1191</v>
      </c>
      <c r="AC351" s="77" t="s">
        <v>400</v>
      </c>
      <c r="AF351" s="26" t="s">
        <v>1229</v>
      </c>
      <c r="AG351" s="25" t="s">
        <v>13</v>
      </c>
      <c r="AH351" s="7" t="s">
        <v>669</v>
      </c>
      <c r="AI351" s="39" t="s">
        <v>736</v>
      </c>
      <c r="AJ351" s="62">
        <v>23.75</v>
      </c>
      <c r="AK351" s="62">
        <v>24.5</v>
      </c>
      <c r="AL351" s="62">
        <v>23</v>
      </c>
      <c r="AM351" s="94">
        <v>619</v>
      </c>
      <c r="AN351" s="26" t="s">
        <v>389</v>
      </c>
      <c r="AO351" s="93">
        <f>AM351-333/2</f>
        <v>452.5</v>
      </c>
      <c r="AP351" s="94">
        <f>AM351+612/2</f>
        <v>925</v>
      </c>
      <c r="AQ351" s="39" t="s">
        <v>771</v>
      </c>
      <c r="AR351" s="23" t="s">
        <v>400</v>
      </c>
      <c r="AS351" s="29">
        <v>565.5</v>
      </c>
      <c r="AT351" s="29">
        <v>252</v>
      </c>
      <c r="AU351" s="29">
        <v>879</v>
      </c>
      <c r="AV351" s="39" t="s">
        <v>652</v>
      </c>
      <c r="AW351" s="39" t="s">
        <v>777</v>
      </c>
      <c r="AX351" s="29" t="s">
        <v>13</v>
      </c>
      <c r="AY351" s="6" t="s">
        <v>845</v>
      </c>
      <c r="AZ351" s="97" t="s">
        <v>13</v>
      </c>
      <c r="BA351" s="101">
        <v>66.039000000000001</v>
      </c>
      <c r="BD351" s="102">
        <v>1839.2564170000001</v>
      </c>
      <c r="BE351" s="25" t="s">
        <v>239</v>
      </c>
      <c r="BF351" s="26">
        <f t="shared" si="144"/>
        <v>1486.892938</v>
      </c>
      <c r="BG351" s="26">
        <f t="shared" si="144"/>
        <v>2404.4298229999999</v>
      </c>
      <c r="BH351" s="83" t="s">
        <v>542</v>
      </c>
      <c r="BI351" s="25" t="s">
        <v>671</v>
      </c>
      <c r="BJ351" s="102">
        <v>1486.892938</v>
      </c>
      <c r="BK351" s="102">
        <v>2404.4298229999999</v>
      </c>
      <c r="BL351" t="s">
        <v>853</v>
      </c>
      <c r="BM351" s="25" t="s">
        <v>13</v>
      </c>
      <c r="BO351" s="25"/>
      <c r="CA351" s="25" t="s">
        <v>13</v>
      </c>
      <c r="CC351" s="25" t="s">
        <v>13</v>
      </c>
    </row>
    <row r="352" spans="1:81">
      <c r="A352" s="6" t="s">
        <v>314</v>
      </c>
      <c r="B352" s="25" t="s">
        <v>294</v>
      </c>
      <c r="C352" s="76">
        <v>106.5</v>
      </c>
      <c r="D352" s="62"/>
      <c r="E352" s="62"/>
      <c r="F352" s="22">
        <f t="shared" si="136"/>
        <v>1679.2</v>
      </c>
      <c r="G352" s="23" t="s">
        <v>389</v>
      </c>
      <c r="H352" s="23">
        <f t="shared" si="142"/>
        <v>839.6</v>
      </c>
      <c r="I352" s="23">
        <f t="shared" si="143"/>
        <v>3358.4</v>
      </c>
      <c r="J352" s="23" t="s">
        <v>481</v>
      </c>
      <c r="K352" s="23" t="s">
        <v>346</v>
      </c>
      <c r="L352" s="21">
        <v>2099</v>
      </c>
      <c r="O352" s="25">
        <v>2500</v>
      </c>
      <c r="P352" s="25">
        <v>2000</v>
      </c>
      <c r="Q352" s="25" t="s">
        <v>356</v>
      </c>
      <c r="R352" s="26" t="s">
        <v>13</v>
      </c>
      <c r="S352" s="6" t="s">
        <v>1131</v>
      </c>
      <c r="T352" s="44" t="s">
        <v>1137</v>
      </c>
      <c r="U352" s="62">
        <v>20.45</v>
      </c>
      <c r="V352" s="62">
        <v>20.5</v>
      </c>
      <c r="W352" s="62">
        <v>20.399999999999999</v>
      </c>
      <c r="X352" s="26">
        <v>606.54008375633236</v>
      </c>
      <c r="Y352" s="26" t="s">
        <v>389</v>
      </c>
      <c r="Z352" s="26">
        <f t="shared" si="145"/>
        <v>424.57805862943263</v>
      </c>
      <c r="AA352" s="26">
        <f t="shared" si="146"/>
        <v>909.81012563449849</v>
      </c>
      <c r="AB352" s="25" t="s">
        <v>1191</v>
      </c>
      <c r="AC352" s="77" t="s">
        <v>400</v>
      </c>
      <c r="AF352" s="26" t="s">
        <v>1229</v>
      </c>
      <c r="AG352" s="25" t="s">
        <v>13</v>
      </c>
      <c r="AH352" s="7" t="s">
        <v>669</v>
      </c>
      <c r="AI352" s="39" t="s">
        <v>734</v>
      </c>
      <c r="AJ352" s="62">
        <v>25</v>
      </c>
      <c r="AK352" s="62">
        <v>25.5</v>
      </c>
      <c r="AL352" s="62">
        <v>24.5</v>
      </c>
      <c r="AM352" s="93">
        <v>443.60837019938651</v>
      </c>
      <c r="AN352" s="26" t="s">
        <v>389</v>
      </c>
      <c r="AO352" s="93">
        <f>AM352-236.932902176853/2</f>
        <v>325.14191911096003</v>
      </c>
      <c r="AP352" s="93">
        <f>AO352+445.64148318223/2</f>
        <v>547.96266070207503</v>
      </c>
      <c r="AQ352" s="39" t="s">
        <v>771</v>
      </c>
      <c r="AR352" s="23" t="s">
        <v>400</v>
      </c>
      <c r="AS352" s="29">
        <v>413</v>
      </c>
      <c r="AT352" s="29">
        <v>268</v>
      </c>
      <c r="AU352" s="29">
        <v>536</v>
      </c>
      <c r="AV352" s="39" t="s">
        <v>652</v>
      </c>
      <c r="AW352" s="39" t="s">
        <v>777</v>
      </c>
      <c r="AX352" s="29" t="s">
        <v>13</v>
      </c>
      <c r="AY352" s="6" t="s">
        <v>845</v>
      </c>
      <c r="AZ352" s="97" t="s">
        <v>13</v>
      </c>
      <c r="BA352" s="101">
        <v>66.045599999999993</v>
      </c>
      <c r="BD352" s="102">
        <v>925.02573110000003</v>
      </c>
      <c r="BE352" s="25" t="s">
        <v>239</v>
      </c>
      <c r="BF352" s="26">
        <f t="shared" si="144"/>
        <v>788.09838290000005</v>
      </c>
      <c r="BG352" s="26">
        <f t="shared" si="144"/>
        <v>1097.6539479999999</v>
      </c>
      <c r="BH352" s="83" t="s">
        <v>542</v>
      </c>
      <c r="BI352" s="25" t="s">
        <v>671</v>
      </c>
      <c r="BJ352" s="102">
        <v>788.09838290000005</v>
      </c>
      <c r="BK352" s="102">
        <v>1097.6539479999999</v>
      </c>
      <c r="BL352" t="s">
        <v>854</v>
      </c>
      <c r="BM352" s="25" t="s">
        <v>13</v>
      </c>
      <c r="BO352" s="25"/>
      <c r="CA352" s="25" t="s">
        <v>13</v>
      </c>
      <c r="CC352" s="25" t="s">
        <v>13</v>
      </c>
    </row>
    <row r="353" spans="1:81">
      <c r="A353" s="6" t="s">
        <v>314</v>
      </c>
      <c r="B353" s="25" t="s">
        <v>294</v>
      </c>
      <c r="C353" s="76">
        <v>106.6</v>
      </c>
      <c r="D353" s="62"/>
      <c r="E353" s="62"/>
      <c r="F353" s="22">
        <f t="shared" si="136"/>
        <v>1496.8</v>
      </c>
      <c r="G353" s="23" t="s">
        <v>389</v>
      </c>
      <c r="H353" s="23">
        <f t="shared" si="142"/>
        <v>748.4</v>
      </c>
      <c r="I353" s="23">
        <f t="shared" si="143"/>
        <v>2993.6</v>
      </c>
      <c r="J353" s="23" t="s">
        <v>481</v>
      </c>
      <c r="K353" s="23" t="s">
        <v>346</v>
      </c>
      <c r="L353" s="21">
        <v>1871</v>
      </c>
      <c r="O353" s="25">
        <v>2500</v>
      </c>
      <c r="P353" s="25">
        <v>2000</v>
      </c>
      <c r="Q353" s="25" t="s">
        <v>357</v>
      </c>
      <c r="R353" s="26" t="s">
        <v>13</v>
      </c>
      <c r="S353" s="6" t="s">
        <v>1131</v>
      </c>
      <c r="T353" s="44" t="s">
        <v>1137</v>
      </c>
      <c r="U353" s="62">
        <v>20.8</v>
      </c>
      <c r="V353" s="62">
        <v>20.9</v>
      </c>
      <c r="W353" s="62">
        <v>20.75</v>
      </c>
      <c r="X353" s="26">
        <v>621.03517271401086</v>
      </c>
      <c r="Y353" s="26" t="s">
        <v>389</v>
      </c>
      <c r="Z353" s="26">
        <f t="shared" si="145"/>
        <v>434.72462089980758</v>
      </c>
      <c r="AA353" s="26">
        <f t="shared" si="146"/>
        <v>931.55275907101623</v>
      </c>
      <c r="AB353" s="25" t="s">
        <v>1191</v>
      </c>
      <c r="AC353" s="77" t="s">
        <v>400</v>
      </c>
      <c r="AF353" s="26" t="s">
        <v>1229</v>
      </c>
      <c r="AG353" s="25" t="s">
        <v>13</v>
      </c>
      <c r="AH353" s="7" t="s">
        <v>669</v>
      </c>
      <c r="AI353" s="39" t="s">
        <v>735</v>
      </c>
      <c r="AJ353" s="62">
        <v>25</v>
      </c>
      <c r="AK353" s="62">
        <v>25.5</v>
      </c>
      <c r="AL353" s="62">
        <v>24.5</v>
      </c>
      <c r="AM353" s="93">
        <v>489.16755712918098</v>
      </c>
      <c r="AN353" s="26" t="s">
        <v>389</v>
      </c>
      <c r="AO353" s="93">
        <f>AM353-253.941174209661/2</f>
        <v>362.19697002435049</v>
      </c>
      <c r="AP353" s="93">
        <f>AM353+499.588767982082/2</f>
        <v>738.96194112022204</v>
      </c>
      <c r="AQ353" s="39" t="s">
        <v>771</v>
      </c>
      <c r="AR353" s="23" t="s">
        <v>400</v>
      </c>
      <c r="AS353" s="29">
        <v>454</v>
      </c>
      <c r="AT353" s="29">
        <v>276</v>
      </c>
      <c r="AU353" s="29">
        <v>632</v>
      </c>
      <c r="AV353" s="39" t="s">
        <v>652</v>
      </c>
      <c r="AW353" s="39" t="s">
        <v>777</v>
      </c>
      <c r="AX353" s="29" t="s">
        <v>13</v>
      </c>
      <c r="AY353" s="6" t="s">
        <v>845</v>
      </c>
      <c r="AZ353" s="97" t="s">
        <v>13</v>
      </c>
      <c r="BA353" s="101">
        <v>66.054000000000002</v>
      </c>
      <c r="BD353" s="102">
        <v>863.62390419999997</v>
      </c>
      <c r="BE353" s="25" t="s">
        <v>239</v>
      </c>
      <c r="BF353" s="26">
        <f t="shared" si="144"/>
        <v>737.5872263</v>
      </c>
      <c r="BG353" s="26">
        <f t="shared" si="144"/>
        <v>1012.4086119999999</v>
      </c>
      <c r="BH353" s="83" t="s">
        <v>542</v>
      </c>
      <c r="BI353" s="25" t="s">
        <v>671</v>
      </c>
      <c r="BJ353" s="102">
        <v>737.5872263</v>
      </c>
      <c r="BK353" s="102">
        <v>1012.4086119999999</v>
      </c>
      <c r="BL353" t="s">
        <v>855</v>
      </c>
      <c r="BM353" s="25" t="s">
        <v>13</v>
      </c>
      <c r="BO353" s="25"/>
      <c r="CA353" s="25" t="s">
        <v>13</v>
      </c>
      <c r="CC353" s="25" t="s">
        <v>13</v>
      </c>
    </row>
    <row r="354" spans="1:81">
      <c r="A354" s="6" t="s">
        <v>314</v>
      </c>
      <c r="B354" s="25" t="s">
        <v>294</v>
      </c>
      <c r="C354" s="76">
        <v>106.9</v>
      </c>
      <c r="D354" s="62"/>
      <c r="E354" s="62"/>
      <c r="F354" s="22">
        <f t="shared" si="136"/>
        <v>1496</v>
      </c>
      <c r="G354" s="23" t="s">
        <v>389</v>
      </c>
      <c r="H354" s="23">
        <f t="shared" si="142"/>
        <v>748</v>
      </c>
      <c r="I354" s="23">
        <f t="shared" si="143"/>
        <v>2992</v>
      </c>
      <c r="J354" s="23" t="s">
        <v>481</v>
      </c>
      <c r="K354" s="23" t="s">
        <v>346</v>
      </c>
      <c r="L354" s="21">
        <v>1870</v>
      </c>
      <c r="O354" s="25">
        <v>2500</v>
      </c>
      <c r="P354" s="25">
        <v>2000</v>
      </c>
      <c r="Q354" s="25" t="s">
        <v>358</v>
      </c>
      <c r="R354" s="26" t="s">
        <v>13</v>
      </c>
      <c r="S354" s="6" t="s">
        <v>1131</v>
      </c>
      <c r="T354" s="44" t="s">
        <v>1137</v>
      </c>
      <c r="U354" s="62">
        <v>21.5</v>
      </c>
      <c r="V354" s="62">
        <v>20.6</v>
      </c>
      <c r="W354" s="62">
        <v>20.399999999999999</v>
      </c>
      <c r="X354" s="26">
        <v>657.58927489124665</v>
      </c>
      <c r="Y354" s="26" t="s">
        <v>389</v>
      </c>
      <c r="Z354" s="26">
        <f t="shared" si="145"/>
        <v>460.31249242387264</v>
      </c>
      <c r="AA354" s="26">
        <f t="shared" si="146"/>
        <v>986.38391233687003</v>
      </c>
      <c r="AB354" s="25" t="s">
        <v>1191</v>
      </c>
      <c r="AC354" s="77" t="s">
        <v>400</v>
      </c>
      <c r="AF354" s="26" t="s">
        <v>1229</v>
      </c>
      <c r="AG354" s="25" t="s">
        <v>13</v>
      </c>
      <c r="AH354" s="7" t="s">
        <v>669</v>
      </c>
      <c r="AI354" s="39" t="s">
        <v>732</v>
      </c>
      <c r="AJ354" s="62">
        <v>30.45</v>
      </c>
      <c r="AK354" s="62">
        <v>31</v>
      </c>
      <c r="AL354" s="62">
        <v>29.9</v>
      </c>
      <c r="AM354" s="93">
        <v>564.23573984259997</v>
      </c>
      <c r="AN354" s="26" t="s">
        <v>389</v>
      </c>
      <c r="AO354" s="93">
        <f>AM354-258.79803268145/2</f>
        <v>434.83672350187499</v>
      </c>
      <c r="AP354" s="93">
        <f>AM354+422.557463940892/2</f>
        <v>775.51447181304593</v>
      </c>
      <c r="AQ354" s="39" t="s">
        <v>771</v>
      </c>
      <c r="AR354" s="23" t="s">
        <v>400</v>
      </c>
      <c r="AS354" s="29">
        <v>515</v>
      </c>
      <c r="AT354" s="29">
        <v>299</v>
      </c>
      <c r="AU354" s="29">
        <v>731</v>
      </c>
      <c r="AV354" s="39" t="s">
        <v>652</v>
      </c>
      <c r="AW354" s="39" t="s">
        <v>777</v>
      </c>
      <c r="AX354" s="29" t="s">
        <v>13</v>
      </c>
      <c r="AY354" s="6" t="s">
        <v>845</v>
      </c>
      <c r="AZ354" s="97" t="s">
        <v>13</v>
      </c>
      <c r="BA354" s="101">
        <v>66.093999999999994</v>
      </c>
      <c r="BD354" s="102">
        <v>890.48459209999999</v>
      </c>
      <c r="BE354" s="25" t="s">
        <v>239</v>
      </c>
      <c r="BF354" s="26">
        <f t="shared" si="144"/>
        <v>765.32870860000003</v>
      </c>
      <c r="BG354" s="26">
        <f t="shared" si="144"/>
        <v>1044.188811</v>
      </c>
      <c r="BH354" s="83" t="s">
        <v>542</v>
      </c>
      <c r="BI354" s="25" t="s">
        <v>671</v>
      </c>
      <c r="BJ354" s="102">
        <v>765.32870860000003</v>
      </c>
      <c r="BK354" s="102">
        <v>1044.188811</v>
      </c>
      <c r="BL354" t="s">
        <v>856</v>
      </c>
      <c r="BM354" s="25" t="s">
        <v>13</v>
      </c>
      <c r="BO354" s="25"/>
      <c r="CA354" s="25" t="s">
        <v>13</v>
      </c>
      <c r="CC354" s="25" t="s">
        <v>13</v>
      </c>
    </row>
    <row r="355" spans="1:81">
      <c r="A355" s="6" t="s">
        <v>314</v>
      </c>
      <c r="B355" s="25" t="s">
        <v>294</v>
      </c>
      <c r="C355" s="76">
        <v>107.8</v>
      </c>
      <c r="D355" s="62"/>
      <c r="E355" s="62"/>
      <c r="F355" s="22">
        <f t="shared" si="136"/>
        <v>1200.8</v>
      </c>
      <c r="G355" s="23" t="s">
        <v>389</v>
      </c>
      <c r="H355" s="23">
        <f t="shared" si="142"/>
        <v>600.4</v>
      </c>
      <c r="I355" s="23">
        <f t="shared" si="143"/>
        <v>2401.6</v>
      </c>
      <c r="J355" s="23" t="s">
        <v>481</v>
      </c>
      <c r="K355" s="23" t="s">
        <v>346</v>
      </c>
      <c r="L355" s="21">
        <v>1501</v>
      </c>
      <c r="O355" s="25">
        <v>2500</v>
      </c>
      <c r="P355" s="25">
        <v>2000</v>
      </c>
      <c r="Q355" s="25" t="s">
        <v>359</v>
      </c>
      <c r="R355" s="26" t="s">
        <v>13</v>
      </c>
      <c r="S355" s="6" t="s">
        <v>1131</v>
      </c>
      <c r="T355" s="44" t="s">
        <v>1138</v>
      </c>
      <c r="U355" s="62">
        <v>24</v>
      </c>
      <c r="V355" s="62">
        <v>28.1</v>
      </c>
      <c r="W355" s="62">
        <v>23.03</v>
      </c>
      <c r="X355" s="26">
        <v>581.00295097648734</v>
      </c>
      <c r="Y355" s="26" t="s">
        <v>389</v>
      </c>
      <c r="Z355" s="26">
        <f t="shared" si="145"/>
        <v>406.70206568354109</v>
      </c>
      <c r="AA355" s="26">
        <f t="shared" si="146"/>
        <v>871.50442646473107</v>
      </c>
      <c r="AB355" s="25" t="s">
        <v>1191</v>
      </c>
      <c r="AC355" s="77" t="s">
        <v>400</v>
      </c>
      <c r="AF355" s="26" t="s">
        <v>1230</v>
      </c>
      <c r="AG355" s="25" t="s">
        <v>13</v>
      </c>
      <c r="AH355" s="7" t="s">
        <v>669</v>
      </c>
      <c r="AI355" s="39" t="s">
        <v>733</v>
      </c>
      <c r="AJ355" s="62">
        <v>30.7</v>
      </c>
      <c r="AK355" s="62">
        <v>31.4</v>
      </c>
      <c r="AL355" s="62">
        <v>30</v>
      </c>
      <c r="AM355" s="93">
        <v>303.72948495356098</v>
      </c>
      <c r="AN355" s="26" t="s">
        <v>389</v>
      </c>
      <c r="AO355" s="93">
        <f>AM355-202.108626105753/2</f>
        <v>202.67517190068449</v>
      </c>
      <c r="AP355" s="93">
        <f>AM355+427.791584402565/2</f>
        <v>517.6252771548435</v>
      </c>
      <c r="AQ355" s="39" t="s">
        <v>771</v>
      </c>
      <c r="AR355" s="23" t="s">
        <v>400</v>
      </c>
      <c r="AS355" s="29">
        <v>393</v>
      </c>
      <c r="AT355" s="29">
        <v>259</v>
      </c>
      <c r="AU355" s="29">
        <v>526</v>
      </c>
      <c r="AV355" s="39" t="s">
        <v>652</v>
      </c>
      <c r="AW355" s="39" t="s">
        <v>777</v>
      </c>
      <c r="AX355" s="29" t="s">
        <v>13</v>
      </c>
      <c r="AY355" s="6" t="s">
        <v>845</v>
      </c>
      <c r="AZ355" s="97" t="s">
        <v>13</v>
      </c>
      <c r="BA355" s="101">
        <v>66.02</v>
      </c>
      <c r="BD355" s="102">
        <v>1150.9335960000001</v>
      </c>
      <c r="BE355" s="25" t="s">
        <v>239</v>
      </c>
      <c r="BF355" s="26">
        <f t="shared" si="144"/>
        <v>969.46912650000002</v>
      </c>
      <c r="BG355" s="26">
        <f t="shared" si="144"/>
        <v>1391.7855489999999</v>
      </c>
      <c r="BH355" s="83" t="s">
        <v>542</v>
      </c>
      <c r="BI355" s="25" t="s">
        <v>671</v>
      </c>
      <c r="BJ355" s="102">
        <v>969.46912650000002</v>
      </c>
      <c r="BK355" s="102">
        <v>1391.7855489999999</v>
      </c>
      <c r="BL355" t="s">
        <v>857</v>
      </c>
      <c r="BM355" s="25" t="s">
        <v>13</v>
      </c>
      <c r="BO355" s="25"/>
      <c r="CA355" s="25" t="s">
        <v>13</v>
      </c>
      <c r="CC355" s="25" t="s">
        <v>13</v>
      </c>
    </row>
    <row r="356" spans="1:81">
      <c r="A356" s="6" t="s">
        <v>314</v>
      </c>
      <c r="B356" s="25" t="s">
        <v>294</v>
      </c>
      <c r="C356" s="76">
        <v>108.8</v>
      </c>
      <c r="D356" s="62"/>
      <c r="E356" s="62"/>
      <c r="F356" s="22">
        <f t="shared" si="136"/>
        <v>1015.2</v>
      </c>
      <c r="G356" s="23" t="s">
        <v>389</v>
      </c>
      <c r="H356" s="23">
        <f t="shared" si="142"/>
        <v>507.6</v>
      </c>
      <c r="I356" s="23">
        <f t="shared" si="143"/>
        <v>2030.4</v>
      </c>
      <c r="J356" s="23" t="s">
        <v>481</v>
      </c>
      <c r="K356" s="23" t="s">
        <v>346</v>
      </c>
      <c r="L356" s="21">
        <v>1269</v>
      </c>
      <c r="O356" s="25">
        <v>2500</v>
      </c>
      <c r="P356" s="25">
        <v>2000</v>
      </c>
      <c r="Q356" s="25" t="s">
        <v>360</v>
      </c>
      <c r="R356" s="26" t="s">
        <v>13</v>
      </c>
      <c r="S356" s="6" t="s">
        <v>1131</v>
      </c>
      <c r="T356" s="44" t="s">
        <v>1138</v>
      </c>
      <c r="U356" s="62">
        <v>24</v>
      </c>
      <c r="V356" s="62">
        <v>28.1</v>
      </c>
      <c r="W356" s="62">
        <v>23.03</v>
      </c>
      <c r="X356" s="26">
        <v>649.80219385582814</v>
      </c>
      <c r="Y356" s="26" t="s">
        <v>389</v>
      </c>
      <c r="Z356" s="26">
        <f t="shared" si="145"/>
        <v>454.86153569907964</v>
      </c>
      <c r="AA356" s="26">
        <f t="shared" si="146"/>
        <v>974.7032907837422</v>
      </c>
      <c r="AB356" s="25" t="s">
        <v>1191</v>
      </c>
      <c r="AC356" s="77" t="s">
        <v>400</v>
      </c>
      <c r="AF356" s="26" t="s">
        <v>1231</v>
      </c>
      <c r="AG356" s="25" t="s">
        <v>13</v>
      </c>
      <c r="AH356" s="7" t="s">
        <v>669</v>
      </c>
      <c r="AI356" s="39" t="s">
        <v>731</v>
      </c>
      <c r="AJ356" s="62">
        <v>31.45</v>
      </c>
      <c r="AK356" s="62">
        <v>32.4</v>
      </c>
      <c r="AL356" s="62">
        <v>30.5</v>
      </c>
      <c r="AM356" s="93">
        <v>465.10247239019799</v>
      </c>
      <c r="AN356" s="26" t="s">
        <v>389</v>
      </c>
      <c r="AO356" s="93">
        <f>AM356-246.185526659852/2</f>
        <v>342.00970906027197</v>
      </c>
      <c r="AP356" s="93">
        <f>AM356+430.578552083356/2</f>
        <v>680.39174843187595</v>
      </c>
      <c r="AQ356" s="39" t="s">
        <v>771</v>
      </c>
      <c r="AR356" s="23" t="s">
        <v>400</v>
      </c>
      <c r="AS356" s="29">
        <v>538</v>
      </c>
      <c r="AT356" s="29">
        <v>311</v>
      </c>
      <c r="AU356" s="29">
        <v>765</v>
      </c>
      <c r="AV356" s="39" t="s">
        <v>652</v>
      </c>
      <c r="AW356" s="39" t="s">
        <v>777</v>
      </c>
      <c r="AX356" s="29" t="s">
        <v>13</v>
      </c>
      <c r="AY356" s="6" t="s">
        <v>845</v>
      </c>
      <c r="AZ356" s="97" t="s">
        <v>13</v>
      </c>
      <c r="BA356" s="101">
        <v>65.997500000000002</v>
      </c>
      <c r="BD356" s="102">
        <v>570.17456130000005</v>
      </c>
      <c r="BE356" s="25" t="s">
        <v>239</v>
      </c>
      <c r="BF356" s="26">
        <f t="shared" si="144"/>
        <v>494.77095489999999</v>
      </c>
      <c r="BG356" s="26">
        <f t="shared" si="144"/>
        <v>651.76334350000002</v>
      </c>
      <c r="BH356" s="83" t="s">
        <v>542</v>
      </c>
      <c r="BI356" s="25" t="s">
        <v>671</v>
      </c>
      <c r="BJ356" s="102">
        <v>494.77095489999999</v>
      </c>
      <c r="BK356" s="102">
        <v>651.76334350000002</v>
      </c>
      <c r="BL356" t="s">
        <v>858</v>
      </c>
      <c r="BM356" s="25" t="s">
        <v>13</v>
      </c>
      <c r="BO356" s="25"/>
      <c r="CA356" s="25" t="s">
        <v>13</v>
      </c>
      <c r="CC356" s="25" t="s">
        <v>13</v>
      </c>
    </row>
    <row r="357" spans="1:81">
      <c r="A357" s="6" t="s">
        <v>314</v>
      </c>
      <c r="B357" s="25" t="s">
        <v>294</v>
      </c>
      <c r="C357" s="76">
        <v>110.3</v>
      </c>
      <c r="D357" s="62"/>
      <c r="E357" s="62"/>
      <c r="F357" s="22">
        <f t="shared" si="136"/>
        <v>1064.8</v>
      </c>
      <c r="G357" s="23" t="s">
        <v>389</v>
      </c>
      <c r="H357" s="23">
        <f t="shared" si="142"/>
        <v>532.4</v>
      </c>
      <c r="I357" s="23">
        <f t="shared" si="143"/>
        <v>2129.6</v>
      </c>
      <c r="J357" s="23" t="s">
        <v>481</v>
      </c>
      <c r="K357" s="23" t="s">
        <v>346</v>
      </c>
      <c r="L357" s="21">
        <v>1331</v>
      </c>
      <c r="O357" s="25">
        <v>2500</v>
      </c>
      <c r="P357" s="25">
        <v>2000</v>
      </c>
      <c r="Q357" s="25" t="s">
        <v>361</v>
      </c>
      <c r="R357" s="26" t="s">
        <v>13</v>
      </c>
      <c r="S357" s="6" t="s">
        <v>1131</v>
      </c>
      <c r="T357" s="44" t="s">
        <v>1138</v>
      </c>
      <c r="U357" s="62">
        <v>25</v>
      </c>
      <c r="V357" s="62">
        <v>28.1</v>
      </c>
      <c r="W357" s="62">
        <v>23.03</v>
      </c>
      <c r="X357" s="26">
        <v>658.32757082249691</v>
      </c>
      <c r="Y357" s="26" t="s">
        <v>389</v>
      </c>
      <c r="Z357" s="26">
        <f t="shared" si="145"/>
        <v>460.82929957574783</v>
      </c>
      <c r="AA357" s="26">
        <f t="shared" si="146"/>
        <v>987.49135623374536</v>
      </c>
      <c r="AB357" s="25" t="s">
        <v>1191</v>
      </c>
      <c r="AC357" s="77" t="s">
        <v>400</v>
      </c>
      <c r="AF357" s="26" t="s">
        <v>1232</v>
      </c>
      <c r="AG357" s="25" t="s">
        <v>13</v>
      </c>
      <c r="AH357" s="7" t="s">
        <v>669</v>
      </c>
      <c r="AI357" s="39" t="s">
        <v>730</v>
      </c>
      <c r="AJ357" s="62">
        <v>33.450000000000003</v>
      </c>
      <c r="AK357" s="62">
        <v>33.9</v>
      </c>
      <c r="AL357" s="62">
        <v>33</v>
      </c>
      <c r="AM357" s="93">
        <v>368.335277717537</v>
      </c>
      <c r="AN357" s="26" t="s">
        <v>389</v>
      </c>
      <c r="AO357" s="93">
        <f>AM357-232.031079034962/2</f>
        <v>252.31973820005601</v>
      </c>
      <c r="AP357" s="93">
        <f>AM357+410.380978552691/2</f>
        <v>573.52576699388248</v>
      </c>
      <c r="AQ357" s="39" t="s">
        <v>771</v>
      </c>
      <c r="AR357" s="23" t="s">
        <v>400</v>
      </c>
      <c r="AS357" s="29">
        <v>407</v>
      </c>
      <c r="AT357" s="29">
        <v>301</v>
      </c>
      <c r="AU357" s="29">
        <v>512</v>
      </c>
      <c r="AV357" s="39" t="s">
        <v>652</v>
      </c>
      <c r="AW357" s="39" t="s">
        <v>777</v>
      </c>
      <c r="AX357" s="29" t="s">
        <v>13</v>
      </c>
      <c r="AY357" s="6" t="s">
        <v>845</v>
      </c>
      <c r="AZ357" s="97" t="s">
        <v>13</v>
      </c>
      <c r="BA357" s="101">
        <v>65.9863</v>
      </c>
      <c r="BD357" s="102">
        <v>1873.041559</v>
      </c>
      <c r="BE357" s="25" t="s">
        <v>239</v>
      </c>
      <c r="BF357" s="26">
        <f t="shared" si="144"/>
        <v>1441.7758409999999</v>
      </c>
      <c r="BG357" s="26">
        <f t="shared" si="144"/>
        <v>2624.0508749999999</v>
      </c>
      <c r="BH357" s="83" t="s">
        <v>542</v>
      </c>
      <c r="BI357" s="25" t="s">
        <v>671</v>
      </c>
      <c r="BJ357" s="102">
        <v>1441.7758409999999</v>
      </c>
      <c r="BK357" s="102">
        <v>2624.0508749999999</v>
      </c>
      <c r="BL357" t="s">
        <v>859</v>
      </c>
      <c r="BM357" s="25" t="s">
        <v>13</v>
      </c>
      <c r="BO357" s="25"/>
      <c r="CA357" s="25" t="s">
        <v>13</v>
      </c>
      <c r="CC357" s="25" t="s">
        <v>13</v>
      </c>
    </row>
    <row r="358" spans="1:81">
      <c r="A358" s="6" t="s">
        <v>314</v>
      </c>
      <c r="B358" s="25" t="s">
        <v>294</v>
      </c>
      <c r="C358" s="76">
        <v>111.1</v>
      </c>
      <c r="D358" s="62"/>
      <c r="E358" s="62"/>
      <c r="F358" s="22">
        <f t="shared" si="136"/>
        <v>1636.8</v>
      </c>
      <c r="G358" s="23" t="s">
        <v>389</v>
      </c>
      <c r="H358" s="23">
        <f t="shared" si="142"/>
        <v>818.4</v>
      </c>
      <c r="I358" s="23">
        <f t="shared" si="143"/>
        <v>3273.6</v>
      </c>
      <c r="J358" s="23" t="s">
        <v>481</v>
      </c>
      <c r="K358" s="23" t="s">
        <v>346</v>
      </c>
      <c r="L358" s="21">
        <v>2046</v>
      </c>
      <c r="O358" s="25">
        <v>2500</v>
      </c>
      <c r="P358" s="25">
        <v>2000</v>
      </c>
      <c r="Q358" s="25" t="s">
        <v>362</v>
      </c>
      <c r="R358" s="26" t="s">
        <v>13</v>
      </c>
      <c r="S358" s="6" t="s">
        <v>1131</v>
      </c>
      <c r="T358" s="44" t="s">
        <v>1138</v>
      </c>
      <c r="U358" s="62">
        <v>25</v>
      </c>
      <c r="V358" s="62">
        <v>28.1</v>
      </c>
      <c r="W358" s="62">
        <v>23.03</v>
      </c>
      <c r="X358" s="26">
        <v>649.46376508929768</v>
      </c>
      <c r="Y358" s="26" t="s">
        <v>389</v>
      </c>
      <c r="Z358" s="26">
        <f t="shared" si="145"/>
        <v>454.62463556250833</v>
      </c>
      <c r="AA358" s="26">
        <f t="shared" si="146"/>
        <v>974.19564763394646</v>
      </c>
      <c r="AB358" s="25" t="s">
        <v>1191</v>
      </c>
      <c r="AC358" s="77" t="s">
        <v>400</v>
      </c>
      <c r="AF358" s="26" t="s">
        <v>1233</v>
      </c>
      <c r="AG358" s="25" t="s">
        <v>13</v>
      </c>
      <c r="AH358" s="6" t="s">
        <v>785</v>
      </c>
      <c r="AI358" s="25" t="s">
        <v>801</v>
      </c>
      <c r="AJ358" s="62">
        <f>AVERAGE(AK358:AL358)</f>
        <v>37.75</v>
      </c>
      <c r="AK358" s="62">
        <v>39</v>
      </c>
      <c r="AL358" s="62">
        <v>36.5</v>
      </c>
      <c r="AM358" s="26">
        <f>AS358</f>
        <v>552</v>
      </c>
      <c r="AN358" s="26" t="s">
        <v>389</v>
      </c>
      <c r="AO358" s="26">
        <f>AT358</f>
        <v>477.5</v>
      </c>
      <c r="AP358" s="29">
        <f>AU358</f>
        <v>626.5</v>
      </c>
      <c r="AQ358" s="90" t="s">
        <v>788</v>
      </c>
      <c r="AR358" s="26" t="s">
        <v>532</v>
      </c>
      <c r="AS358" s="29">
        <v>552</v>
      </c>
      <c r="AT358" s="29">
        <f>AS358-74.5</f>
        <v>477.5</v>
      </c>
      <c r="AU358" s="29">
        <f>AS358+74.5</f>
        <v>626.5</v>
      </c>
      <c r="AV358" s="29" t="s">
        <v>786</v>
      </c>
      <c r="AW358" s="39" t="s">
        <v>787</v>
      </c>
      <c r="AX358" s="29" t="s">
        <v>13</v>
      </c>
      <c r="AY358" s="6" t="s">
        <v>845</v>
      </c>
      <c r="AZ358" s="97" t="s">
        <v>13</v>
      </c>
      <c r="BA358" s="101">
        <v>65.9863</v>
      </c>
      <c r="BD358" s="102">
        <v>708.78123029999995</v>
      </c>
      <c r="BE358" s="25" t="s">
        <v>239</v>
      </c>
      <c r="BF358" s="26">
        <f t="shared" si="144"/>
        <v>598.35960290000003</v>
      </c>
      <c r="BG358" s="26">
        <f t="shared" si="144"/>
        <v>843.086097</v>
      </c>
      <c r="BH358" s="83" t="s">
        <v>542</v>
      </c>
      <c r="BI358" s="25" t="s">
        <v>671</v>
      </c>
      <c r="BJ358" s="102">
        <v>598.35960290000003</v>
      </c>
      <c r="BK358" s="102">
        <v>843.086097</v>
      </c>
      <c r="BL358" t="s">
        <v>860</v>
      </c>
      <c r="BM358" s="25" t="s">
        <v>13</v>
      </c>
      <c r="BO358" s="25"/>
      <c r="CA358" s="25" t="s">
        <v>13</v>
      </c>
      <c r="CC358" s="25" t="s">
        <v>13</v>
      </c>
    </row>
    <row r="359" spans="1:81">
      <c r="A359" s="6" t="s">
        <v>314</v>
      </c>
      <c r="B359" s="25" t="s">
        <v>294</v>
      </c>
      <c r="C359" s="76">
        <v>111.5</v>
      </c>
      <c r="D359" s="62"/>
      <c r="E359" s="62"/>
      <c r="F359" s="22">
        <f t="shared" si="136"/>
        <v>1966.4</v>
      </c>
      <c r="G359" s="23" t="s">
        <v>389</v>
      </c>
      <c r="H359" s="23">
        <f t="shared" si="142"/>
        <v>983.2</v>
      </c>
      <c r="I359" s="23">
        <f t="shared" si="143"/>
        <v>3932.8</v>
      </c>
      <c r="J359" s="23" t="s">
        <v>481</v>
      </c>
      <c r="K359" s="23" t="s">
        <v>346</v>
      </c>
      <c r="L359" s="21">
        <v>2458</v>
      </c>
      <c r="O359" s="25">
        <v>2500</v>
      </c>
      <c r="P359" s="25">
        <v>2000</v>
      </c>
      <c r="Q359" s="25" t="s">
        <v>363</v>
      </c>
      <c r="R359" s="26" t="s">
        <v>13</v>
      </c>
      <c r="S359" s="6" t="s">
        <v>1131</v>
      </c>
      <c r="T359" s="44" t="s">
        <v>1138</v>
      </c>
      <c r="U359" s="62">
        <v>27</v>
      </c>
      <c r="V359" s="62">
        <v>28.1</v>
      </c>
      <c r="W359" s="62">
        <v>23.03</v>
      </c>
      <c r="X359" s="26">
        <v>767.08722096740621</v>
      </c>
      <c r="Y359" s="26" t="s">
        <v>389</v>
      </c>
      <c r="Z359" s="26">
        <f t="shared" si="145"/>
        <v>536.96105467718428</v>
      </c>
      <c r="AA359" s="26">
        <f t="shared" si="146"/>
        <v>1150.6308314511093</v>
      </c>
      <c r="AB359" s="25" t="s">
        <v>1191</v>
      </c>
      <c r="AC359" s="77" t="s">
        <v>400</v>
      </c>
      <c r="AF359" s="26" t="s">
        <v>1234</v>
      </c>
      <c r="AG359" s="25" t="s">
        <v>13</v>
      </c>
      <c r="AH359" s="6" t="s">
        <v>785</v>
      </c>
      <c r="AI359" s="25" t="s">
        <v>796</v>
      </c>
      <c r="AJ359" s="62">
        <v>38</v>
      </c>
      <c r="AK359" s="62">
        <f>AJ359+1</f>
        <v>39</v>
      </c>
      <c r="AL359" s="62">
        <f>AJ359-1</f>
        <v>37</v>
      </c>
      <c r="AM359" s="26">
        <f t="shared" ref="AM359:AM377" si="147">AS359</f>
        <v>511.1</v>
      </c>
      <c r="AN359" s="26" t="s">
        <v>389</v>
      </c>
      <c r="AO359" s="26">
        <f t="shared" ref="AO359:AP364" si="148">AT359</f>
        <v>442.5</v>
      </c>
      <c r="AP359" s="29">
        <f t="shared" si="148"/>
        <v>579.70000000000005</v>
      </c>
      <c r="AQ359" s="90" t="s">
        <v>788</v>
      </c>
      <c r="AR359" s="26" t="s">
        <v>532</v>
      </c>
      <c r="AS359" s="29">
        <v>511.1</v>
      </c>
      <c r="AT359" s="29">
        <f>AS359-68.6</f>
        <v>442.5</v>
      </c>
      <c r="AU359" s="29">
        <f>AS359+68.6</f>
        <v>579.70000000000005</v>
      </c>
      <c r="AV359" s="29" t="s">
        <v>786</v>
      </c>
      <c r="AW359" s="39" t="s">
        <v>789</v>
      </c>
      <c r="AX359" s="29" t="s">
        <v>13</v>
      </c>
      <c r="AY359" s="6" t="s">
        <v>845</v>
      </c>
      <c r="AZ359" s="97" t="s">
        <v>13</v>
      </c>
      <c r="BA359" s="101">
        <v>65.921199999999999</v>
      </c>
      <c r="BD359" s="102">
        <v>869.31450489999997</v>
      </c>
      <c r="BE359" s="25" t="s">
        <v>239</v>
      </c>
      <c r="BF359" s="26">
        <f t="shared" si="144"/>
        <v>747.5034915</v>
      </c>
      <c r="BG359" s="26">
        <f t="shared" si="144"/>
        <v>1010.503045</v>
      </c>
      <c r="BH359" s="83" t="s">
        <v>542</v>
      </c>
      <c r="BI359" s="25" t="s">
        <v>671</v>
      </c>
      <c r="BJ359" s="102">
        <v>747.5034915</v>
      </c>
      <c r="BK359" s="102">
        <v>1010.503045</v>
      </c>
      <c r="BL359" t="s">
        <v>861</v>
      </c>
      <c r="BM359" s="25" t="s">
        <v>13</v>
      </c>
      <c r="BO359" s="25"/>
      <c r="CA359" s="25" t="s">
        <v>13</v>
      </c>
      <c r="CC359" s="25" t="s">
        <v>13</v>
      </c>
    </row>
    <row r="360" spans="1:81">
      <c r="A360" s="6" t="s">
        <v>314</v>
      </c>
      <c r="B360" s="25" t="s">
        <v>294</v>
      </c>
      <c r="C360" s="76">
        <v>111.8</v>
      </c>
      <c r="D360" s="62"/>
      <c r="E360" s="62"/>
      <c r="F360" s="22">
        <f t="shared" si="136"/>
        <v>1880</v>
      </c>
      <c r="G360" s="23" t="s">
        <v>389</v>
      </c>
      <c r="H360" s="23">
        <f t="shared" si="142"/>
        <v>940</v>
      </c>
      <c r="I360" s="23">
        <f t="shared" si="143"/>
        <v>3760</v>
      </c>
      <c r="J360" s="23" t="s">
        <v>481</v>
      </c>
      <c r="K360" s="23" t="s">
        <v>346</v>
      </c>
      <c r="L360" s="21">
        <v>2350</v>
      </c>
      <c r="O360" s="25">
        <v>2500</v>
      </c>
      <c r="P360" s="25">
        <v>2000</v>
      </c>
      <c r="Q360" s="25" t="s">
        <v>364</v>
      </c>
      <c r="R360" s="26" t="s">
        <v>13</v>
      </c>
      <c r="S360" s="6" t="s">
        <v>1131</v>
      </c>
      <c r="T360" s="44" t="s">
        <v>1138</v>
      </c>
      <c r="U360" s="62">
        <v>27</v>
      </c>
      <c r="V360" s="62">
        <v>28.1</v>
      </c>
      <c r="W360" s="62">
        <v>23.03</v>
      </c>
      <c r="X360" s="26">
        <v>697.25563252903578</v>
      </c>
      <c r="Y360" s="26" t="s">
        <v>389</v>
      </c>
      <c r="Z360" s="26">
        <f t="shared" si="145"/>
        <v>488.078942770325</v>
      </c>
      <c r="AA360" s="26">
        <f t="shared" si="146"/>
        <v>1045.8834487935537</v>
      </c>
      <c r="AB360" s="25" t="s">
        <v>1191</v>
      </c>
      <c r="AC360" s="77" t="s">
        <v>400</v>
      </c>
      <c r="AF360" s="26" t="s">
        <v>1235</v>
      </c>
      <c r="AG360" s="25" t="s">
        <v>13</v>
      </c>
      <c r="AH360" s="6" t="s">
        <v>785</v>
      </c>
      <c r="AI360" s="25" t="s">
        <v>800</v>
      </c>
      <c r="AJ360" s="62">
        <f>AVERAGE(AK360:AL360)</f>
        <v>38</v>
      </c>
      <c r="AK360" s="62">
        <v>39</v>
      </c>
      <c r="AL360" s="62">
        <v>37</v>
      </c>
      <c r="AM360" s="26">
        <f t="shared" si="147"/>
        <v>527.70000000000005</v>
      </c>
      <c r="AN360" s="26" t="s">
        <v>389</v>
      </c>
      <c r="AO360" s="26">
        <f t="shared" si="148"/>
        <v>456.50000000000006</v>
      </c>
      <c r="AP360" s="29">
        <f t="shared" si="148"/>
        <v>598.90000000000009</v>
      </c>
      <c r="AQ360" s="90" t="s">
        <v>788</v>
      </c>
      <c r="AR360" s="26" t="s">
        <v>532</v>
      </c>
      <c r="AS360" s="29">
        <v>527.70000000000005</v>
      </c>
      <c r="AT360" s="29">
        <f>AS360-71.2</f>
        <v>456.50000000000006</v>
      </c>
      <c r="AU360" s="29">
        <f>AS360+71.2</f>
        <v>598.90000000000009</v>
      </c>
      <c r="AV360" s="29" t="s">
        <v>786</v>
      </c>
      <c r="AW360" s="39" t="s">
        <v>790</v>
      </c>
      <c r="AX360" s="29" t="s">
        <v>13</v>
      </c>
      <c r="AY360" s="6" t="s">
        <v>845</v>
      </c>
      <c r="AZ360" s="97" t="s">
        <v>13</v>
      </c>
      <c r="BA360" s="101">
        <v>65.956999999999994</v>
      </c>
      <c r="BD360" s="102">
        <v>969.45536700000002</v>
      </c>
      <c r="BE360" s="25" t="s">
        <v>239</v>
      </c>
      <c r="BF360" s="26">
        <f t="shared" si="144"/>
        <v>826.81661320000001</v>
      </c>
      <c r="BG360" s="26">
        <f t="shared" si="144"/>
        <v>1150.9539</v>
      </c>
      <c r="BH360" s="83" t="s">
        <v>542</v>
      </c>
      <c r="BI360" s="25" t="s">
        <v>671</v>
      </c>
      <c r="BJ360" s="102">
        <v>826.81661320000001</v>
      </c>
      <c r="BK360" s="102">
        <v>1150.9539</v>
      </c>
      <c r="BL360" t="s">
        <v>862</v>
      </c>
      <c r="BM360" s="25" t="s">
        <v>13</v>
      </c>
      <c r="BO360" s="25"/>
      <c r="CA360" s="25" t="s">
        <v>13</v>
      </c>
      <c r="CC360" s="25" t="s">
        <v>13</v>
      </c>
    </row>
    <row r="361" spans="1:81">
      <c r="A361" s="6" t="s">
        <v>314</v>
      </c>
      <c r="B361" s="25" t="s">
        <v>294</v>
      </c>
      <c r="C361" s="76">
        <v>112.3</v>
      </c>
      <c r="D361" s="62"/>
      <c r="E361" s="62"/>
      <c r="F361" s="22">
        <f t="shared" si="136"/>
        <v>1828.8</v>
      </c>
      <c r="G361" s="23" t="s">
        <v>389</v>
      </c>
      <c r="H361" s="23">
        <f t="shared" si="142"/>
        <v>914.4</v>
      </c>
      <c r="I361" s="23">
        <f t="shared" si="143"/>
        <v>3657.6</v>
      </c>
      <c r="J361" s="23" t="s">
        <v>481</v>
      </c>
      <c r="K361" s="23" t="s">
        <v>346</v>
      </c>
      <c r="L361" s="21">
        <v>2286</v>
      </c>
      <c r="O361" s="25">
        <v>2500</v>
      </c>
      <c r="P361" s="25">
        <v>2000</v>
      </c>
      <c r="Q361" s="25" t="s">
        <v>365</v>
      </c>
      <c r="R361" s="26" t="s">
        <v>13</v>
      </c>
      <c r="S361" s="6" t="s">
        <v>1131</v>
      </c>
      <c r="T361" s="44" t="s">
        <v>1139</v>
      </c>
      <c r="U361" s="62">
        <v>28</v>
      </c>
      <c r="V361" s="62">
        <v>30</v>
      </c>
      <c r="W361" s="62">
        <v>26</v>
      </c>
      <c r="X361" s="26">
        <v>726.1619205400583</v>
      </c>
      <c r="Y361" s="26" t="s">
        <v>389</v>
      </c>
      <c r="Z361" s="26">
        <f t="shared" si="145"/>
        <v>508.31334437804077</v>
      </c>
      <c r="AA361" s="26">
        <f t="shared" si="146"/>
        <v>1089.2428808100874</v>
      </c>
      <c r="AB361" s="25" t="s">
        <v>1191</v>
      </c>
      <c r="AC361" s="77" t="s">
        <v>400</v>
      </c>
      <c r="AF361" s="26">
        <v>17035</v>
      </c>
      <c r="AG361" s="25" t="s">
        <v>13</v>
      </c>
      <c r="AH361" s="6" t="s">
        <v>785</v>
      </c>
      <c r="AI361" s="25" t="s">
        <v>797</v>
      </c>
      <c r="AJ361" s="62">
        <f>AVERAGE(AK361:AL361)</f>
        <v>41</v>
      </c>
      <c r="AK361" s="62">
        <v>42</v>
      </c>
      <c r="AL361" s="62">
        <v>40</v>
      </c>
      <c r="AM361" s="26">
        <f t="shared" si="147"/>
        <v>590.79999999999995</v>
      </c>
      <c r="AN361" s="26" t="s">
        <v>389</v>
      </c>
      <c r="AO361" s="26">
        <f t="shared" si="148"/>
        <v>509.4</v>
      </c>
      <c r="AP361" s="29">
        <f t="shared" si="148"/>
        <v>672.19999999999993</v>
      </c>
      <c r="AQ361" s="90" t="s">
        <v>788</v>
      </c>
      <c r="AR361" s="26" t="s">
        <v>532</v>
      </c>
      <c r="AS361" s="29">
        <v>590.79999999999995</v>
      </c>
      <c r="AT361" s="29">
        <f>AS361-81.4</f>
        <v>509.4</v>
      </c>
      <c r="AU361" s="29">
        <f>AS361+81.4</f>
        <v>672.19999999999993</v>
      </c>
      <c r="AV361" s="29" t="s">
        <v>786</v>
      </c>
      <c r="AW361" s="39" t="s">
        <v>791</v>
      </c>
      <c r="AX361" s="26" t="s">
        <v>13</v>
      </c>
      <c r="AY361" s="6" t="s">
        <v>845</v>
      </c>
      <c r="AZ361" s="97" t="s">
        <v>13</v>
      </c>
      <c r="BA361" s="101">
        <v>65.614099999999993</v>
      </c>
      <c r="BD361" s="102">
        <v>1166.0755569999999</v>
      </c>
      <c r="BE361" s="25" t="s">
        <v>239</v>
      </c>
      <c r="BF361" s="26">
        <f t="shared" si="144"/>
        <v>964.85236910000003</v>
      </c>
      <c r="BG361" s="26">
        <f t="shared" si="144"/>
        <v>1441.999881</v>
      </c>
      <c r="BH361" s="83" t="s">
        <v>542</v>
      </c>
      <c r="BI361" s="25" t="s">
        <v>671</v>
      </c>
      <c r="BJ361" s="102">
        <v>964.85236910000003</v>
      </c>
      <c r="BK361" s="102">
        <v>1441.999881</v>
      </c>
      <c r="BL361" t="s">
        <v>863</v>
      </c>
      <c r="BM361" s="25" t="s">
        <v>13</v>
      </c>
      <c r="BO361" s="25"/>
      <c r="CA361" s="25" t="s">
        <v>13</v>
      </c>
      <c r="CC361" s="25" t="s">
        <v>13</v>
      </c>
    </row>
    <row r="362" spans="1:81">
      <c r="A362" s="6" t="s">
        <v>314</v>
      </c>
      <c r="B362" s="25" t="s">
        <v>294</v>
      </c>
      <c r="C362" s="76">
        <v>112.7</v>
      </c>
      <c r="D362" s="62"/>
      <c r="E362" s="62"/>
      <c r="F362" s="22">
        <f t="shared" si="136"/>
        <v>1419.2</v>
      </c>
      <c r="G362" s="23" t="s">
        <v>389</v>
      </c>
      <c r="H362" s="23">
        <f t="shared" si="142"/>
        <v>709.6</v>
      </c>
      <c r="I362" s="23">
        <f t="shared" si="143"/>
        <v>2838.4</v>
      </c>
      <c r="J362" s="23" t="s">
        <v>481</v>
      </c>
      <c r="K362" s="23" t="s">
        <v>346</v>
      </c>
      <c r="L362" s="21">
        <v>1774</v>
      </c>
      <c r="O362" s="25">
        <v>2500</v>
      </c>
      <c r="P362" s="25">
        <v>2000</v>
      </c>
      <c r="Q362" s="25" t="s">
        <v>366</v>
      </c>
      <c r="R362" s="26" t="s">
        <v>13</v>
      </c>
      <c r="S362" s="6" t="s">
        <v>1131</v>
      </c>
      <c r="T362" s="44" t="s">
        <v>1140</v>
      </c>
      <c r="U362" s="62">
        <v>30</v>
      </c>
      <c r="V362" s="62">
        <v>33.9</v>
      </c>
      <c r="W362" s="62">
        <v>28.1</v>
      </c>
      <c r="X362" s="26">
        <v>835.32707129011112</v>
      </c>
      <c r="Y362" s="26" t="s">
        <v>389</v>
      </c>
      <c r="Z362" s="26">
        <f t="shared" si="145"/>
        <v>584.72894990307771</v>
      </c>
      <c r="AA362" s="26">
        <f t="shared" si="146"/>
        <v>1252.9906069351666</v>
      </c>
      <c r="AB362" s="25" t="s">
        <v>1191</v>
      </c>
      <c r="AC362" s="77" t="s">
        <v>400</v>
      </c>
      <c r="AF362" s="26" t="s">
        <v>1236</v>
      </c>
      <c r="AG362" s="25" t="s">
        <v>13</v>
      </c>
      <c r="AH362" s="6" t="s">
        <v>785</v>
      </c>
      <c r="AI362" s="25" t="s">
        <v>795</v>
      </c>
      <c r="AJ362" s="62">
        <f t="shared" ref="AJ362:AJ368" si="149">AVERAGE(AK362:AL362)</f>
        <v>42</v>
      </c>
      <c r="AK362" s="62">
        <v>45</v>
      </c>
      <c r="AL362" s="62">
        <v>39</v>
      </c>
      <c r="AM362" s="26">
        <f t="shared" si="147"/>
        <v>456.2</v>
      </c>
      <c r="AN362" s="26" t="s">
        <v>389</v>
      </c>
      <c r="AO362" s="26">
        <f t="shared" si="148"/>
        <v>384.6</v>
      </c>
      <c r="AP362" s="29">
        <f t="shared" si="148"/>
        <v>527.79999999999995</v>
      </c>
      <c r="AQ362" s="90" t="s">
        <v>788</v>
      </c>
      <c r="AR362" s="26" t="s">
        <v>532</v>
      </c>
      <c r="AS362" s="26">
        <v>456.2</v>
      </c>
      <c r="AT362" s="29">
        <f>AS362-71.6</f>
        <v>384.6</v>
      </c>
      <c r="AU362" s="29">
        <f>AS362+71.6</f>
        <v>527.79999999999995</v>
      </c>
      <c r="AV362" s="29" t="s">
        <v>786</v>
      </c>
      <c r="AW362" s="39" t="s">
        <v>794</v>
      </c>
      <c r="AX362" s="26" t="s">
        <v>13</v>
      </c>
      <c r="AY362" s="6" t="s">
        <v>845</v>
      </c>
      <c r="AZ362" s="97" t="s">
        <v>13</v>
      </c>
      <c r="BA362" s="101">
        <v>65.614099999999993</v>
      </c>
      <c r="BD362" s="102">
        <v>1704.6735329999999</v>
      </c>
      <c r="BE362" s="25" t="s">
        <v>239</v>
      </c>
      <c r="BF362" s="26">
        <f t="shared" si="144"/>
        <v>1444.3146300000001</v>
      </c>
      <c r="BG362" s="26">
        <f t="shared" si="144"/>
        <v>2074.247136</v>
      </c>
      <c r="BH362" s="83" t="s">
        <v>542</v>
      </c>
      <c r="BI362" s="25" t="s">
        <v>671</v>
      </c>
      <c r="BJ362" s="102">
        <v>1444.3146300000001</v>
      </c>
      <c r="BK362" s="102">
        <v>2074.247136</v>
      </c>
      <c r="BL362" t="s">
        <v>864</v>
      </c>
      <c r="BM362" s="25" t="s">
        <v>13</v>
      </c>
      <c r="BO362" s="25"/>
      <c r="CA362" s="25" t="s">
        <v>13</v>
      </c>
      <c r="CC362" s="25" t="s">
        <v>13</v>
      </c>
    </row>
    <row r="363" spans="1:81">
      <c r="A363" s="6" t="s">
        <v>314</v>
      </c>
      <c r="B363" s="25" t="s">
        <v>294</v>
      </c>
      <c r="C363" s="76">
        <v>113.8</v>
      </c>
      <c r="D363" s="62"/>
      <c r="E363" s="62"/>
      <c r="F363" s="22">
        <f t="shared" si="136"/>
        <v>1295.2</v>
      </c>
      <c r="G363" s="23" t="s">
        <v>389</v>
      </c>
      <c r="H363" s="23">
        <f t="shared" si="142"/>
        <v>647.6</v>
      </c>
      <c r="I363" s="23">
        <f t="shared" si="143"/>
        <v>2590.4</v>
      </c>
      <c r="J363" s="23" t="s">
        <v>481</v>
      </c>
      <c r="K363" s="23" t="s">
        <v>346</v>
      </c>
      <c r="L363" s="21">
        <v>1619</v>
      </c>
      <c r="O363" s="25">
        <v>2500</v>
      </c>
      <c r="P363" s="25">
        <v>2000</v>
      </c>
      <c r="Q363" s="25" t="s">
        <v>367</v>
      </c>
      <c r="R363" s="26" t="s">
        <v>13</v>
      </c>
      <c r="S363" s="6" t="s">
        <v>1131</v>
      </c>
      <c r="T363" s="44" t="s">
        <v>1140</v>
      </c>
      <c r="U363" s="62">
        <v>30</v>
      </c>
      <c r="V363" s="62">
        <v>33.9</v>
      </c>
      <c r="W363" s="62">
        <v>28.1</v>
      </c>
      <c r="X363" s="26">
        <v>959.08532882888346</v>
      </c>
      <c r="Y363" s="26" t="s">
        <v>389</v>
      </c>
      <c r="Z363" s="26">
        <f t="shared" si="145"/>
        <v>671.35973018021843</v>
      </c>
      <c r="AA363" s="26">
        <f t="shared" si="146"/>
        <v>1438.6279932433251</v>
      </c>
      <c r="AB363" s="25" t="s">
        <v>1191</v>
      </c>
      <c r="AC363" s="77" t="s">
        <v>400</v>
      </c>
      <c r="AF363" s="26" t="s">
        <v>1237</v>
      </c>
      <c r="AG363" s="25" t="s">
        <v>13</v>
      </c>
      <c r="AH363" s="6" t="s">
        <v>785</v>
      </c>
      <c r="AI363" s="25" t="s">
        <v>798</v>
      </c>
      <c r="AJ363" s="62">
        <f t="shared" si="149"/>
        <v>51.75</v>
      </c>
      <c r="AK363" s="62">
        <v>55</v>
      </c>
      <c r="AL363" s="62">
        <v>48.5</v>
      </c>
      <c r="AM363" s="26">
        <f t="shared" si="147"/>
        <v>523.29999999999995</v>
      </c>
      <c r="AN363" s="26" t="s">
        <v>389</v>
      </c>
      <c r="AO363" s="26">
        <f t="shared" si="148"/>
        <v>452.59999999999997</v>
      </c>
      <c r="AP363" s="29">
        <f t="shared" si="148"/>
        <v>594</v>
      </c>
      <c r="AQ363" s="90" t="s">
        <v>788</v>
      </c>
      <c r="AR363" s="26" t="s">
        <v>532</v>
      </c>
      <c r="AS363" s="26">
        <v>523.29999999999995</v>
      </c>
      <c r="AT363" s="29">
        <f>AS363-70.7</f>
        <v>452.59999999999997</v>
      </c>
      <c r="AU363" s="29">
        <f>AS363+70.7</f>
        <v>594</v>
      </c>
      <c r="AV363" s="29" t="s">
        <v>786</v>
      </c>
      <c r="AW363" s="39" t="s">
        <v>792</v>
      </c>
      <c r="AX363" s="26" t="s">
        <v>13</v>
      </c>
      <c r="AY363" s="6" t="s">
        <v>845</v>
      </c>
      <c r="AZ363" s="97" t="s">
        <v>13</v>
      </c>
      <c r="BA363" s="101">
        <v>65.956999999999994</v>
      </c>
      <c r="BD363" s="102">
        <v>2098.727265</v>
      </c>
      <c r="BE363" s="25" t="s">
        <v>239</v>
      </c>
      <c r="BF363" s="26">
        <f t="shared" si="144"/>
        <v>1670.8003679999999</v>
      </c>
      <c r="BG363" s="26">
        <f t="shared" si="144"/>
        <v>2800.2634640000001</v>
      </c>
      <c r="BH363" s="83" t="s">
        <v>542</v>
      </c>
      <c r="BI363" s="25" t="s">
        <v>671</v>
      </c>
      <c r="BJ363" s="102">
        <v>1670.8003679999999</v>
      </c>
      <c r="BK363" s="102">
        <v>2800.2634640000001</v>
      </c>
      <c r="BL363" t="s">
        <v>865</v>
      </c>
      <c r="BM363" s="25" t="s">
        <v>13</v>
      </c>
      <c r="BO363" s="25"/>
      <c r="CA363" s="25" t="s">
        <v>13</v>
      </c>
      <c r="CC363" s="25" t="s">
        <v>13</v>
      </c>
    </row>
    <row r="364" spans="1:81">
      <c r="A364" s="6" t="s">
        <v>314</v>
      </c>
      <c r="B364" s="25" t="s">
        <v>294</v>
      </c>
      <c r="C364" s="76">
        <v>114.8</v>
      </c>
      <c r="D364" s="62"/>
      <c r="E364" s="62"/>
      <c r="F364" s="22">
        <f t="shared" si="136"/>
        <v>1514.4</v>
      </c>
      <c r="G364" s="23" t="s">
        <v>389</v>
      </c>
      <c r="H364" s="23">
        <f t="shared" si="142"/>
        <v>757.2</v>
      </c>
      <c r="I364" s="23">
        <f t="shared" si="143"/>
        <v>3028.8</v>
      </c>
      <c r="J364" s="23" t="s">
        <v>481</v>
      </c>
      <c r="K364" s="23" t="s">
        <v>346</v>
      </c>
      <c r="L364" s="21">
        <v>1893</v>
      </c>
      <c r="O364" s="25">
        <v>2500</v>
      </c>
      <c r="P364" s="25">
        <v>2000</v>
      </c>
      <c r="Q364" s="25" t="s">
        <v>368</v>
      </c>
      <c r="R364" s="26" t="s">
        <v>13</v>
      </c>
      <c r="S364" s="6" t="s">
        <v>1131</v>
      </c>
      <c r="T364" s="44" t="s">
        <v>1140</v>
      </c>
      <c r="U364" s="62">
        <v>30</v>
      </c>
      <c r="V364" s="62">
        <v>33.9</v>
      </c>
      <c r="W364" s="62">
        <v>28.1</v>
      </c>
      <c r="X364" s="26">
        <v>939.19491992519613</v>
      </c>
      <c r="Y364" s="26" t="s">
        <v>389</v>
      </c>
      <c r="Z364" s="26">
        <f t="shared" si="145"/>
        <v>657.43644394763726</v>
      </c>
      <c r="AA364" s="26">
        <f t="shared" si="146"/>
        <v>1408.7923798877941</v>
      </c>
      <c r="AB364" s="25" t="s">
        <v>1191</v>
      </c>
      <c r="AC364" s="77" t="s">
        <v>400</v>
      </c>
      <c r="AF364" s="26" t="s">
        <v>1238</v>
      </c>
      <c r="AG364" s="25" t="s">
        <v>13</v>
      </c>
      <c r="AH364" s="6" t="s">
        <v>785</v>
      </c>
      <c r="AI364" s="25" t="s">
        <v>799</v>
      </c>
      <c r="AJ364" s="62">
        <f t="shared" si="149"/>
        <v>53.5</v>
      </c>
      <c r="AK364" s="62">
        <v>56</v>
      </c>
      <c r="AL364" s="62">
        <v>51</v>
      </c>
      <c r="AM364" s="26">
        <f t="shared" si="147"/>
        <v>538.1</v>
      </c>
      <c r="AN364" s="26" t="s">
        <v>389</v>
      </c>
      <c r="AO364" s="26">
        <f t="shared" si="148"/>
        <v>465.6</v>
      </c>
      <c r="AP364" s="29">
        <f t="shared" si="148"/>
        <v>610.6</v>
      </c>
      <c r="AQ364" s="90" t="s">
        <v>788</v>
      </c>
      <c r="AR364" s="26" t="s">
        <v>532</v>
      </c>
      <c r="AS364" s="26">
        <v>538.1</v>
      </c>
      <c r="AT364" s="29">
        <f>AS364-72.5</f>
        <v>465.6</v>
      </c>
      <c r="AU364" s="29">
        <f>AS364+72.5</f>
        <v>610.6</v>
      </c>
      <c r="AV364" s="29" t="s">
        <v>786</v>
      </c>
      <c r="AW364" s="39" t="s">
        <v>793</v>
      </c>
      <c r="AX364" s="26" t="s">
        <v>13</v>
      </c>
      <c r="AY364" s="6" t="s">
        <v>845</v>
      </c>
      <c r="AZ364" s="97" t="s">
        <v>13</v>
      </c>
      <c r="BA364" s="101">
        <v>65.956999999999994</v>
      </c>
      <c r="BD364" s="102">
        <v>1862.614437</v>
      </c>
      <c r="BE364" s="25" t="s">
        <v>239</v>
      </c>
      <c r="BF364" s="26">
        <f t="shared" si="144"/>
        <v>1560.7936790000001</v>
      </c>
      <c r="BG364" s="26">
        <f t="shared" si="144"/>
        <v>2291.6803369999998</v>
      </c>
      <c r="BH364" s="83" t="s">
        <v>542</v>
      </c>
      <c r="BI364" s="25" t="s">
        <v>671</v>
      </c>
      <c r="BJ364" s="102">
        <v>1560.7936790000001</v>
      </c>
      <c r="BK364" s="102">
        <v>2291.6803369999998</v>
      </c>
      <c r="BL364" t="s">
        <v>866</v>
      </c>
      <c r="BM364" s="25" t="s">
        <v>13</v>
      </c>
      <c r="BO364" s="25"/>
      <c r="CA364" s="25" t="s">
        <v>13</v>
      </c>
      <c r="CC364" s="25" t="s">
        <v>13</v>
      </c>
    </row>
    <row r="365" spans="1:81">
      <c r="A365" s="6" t="s">
        <v>314</v>
      </c>
      <c r="B365" s="25" t="s">
        <v>294</v>
      </c>
      <c r="C365" s="76">
        <v>114.9</v>
      </c>
      <c r="D365" s="62"/>
      <c r="E365" s="62"/>
      <c r="F365" s="22">
        <f t="shared" si="136"/>
        <v>1426.4</v>
      </c>
      <c r="G365" s="23" t="s">
        <v>389</v>
      </c>
      <c r="H365" s="23">
        <f t="shared" si="142"/>
        <v>713.2</v>
      </c>
      <c r="I365" s="23">
        <f t="shared" si="143"/>
        <v>2852.8</v>
      </c>
      <c r="J365" s="23" t="s">
        <v>481</v>
      </c>
      <c r="K365" s="23" t="s">
        <v>346</v>
      </c>
      <c r="L365" s="21">
        <v>1783</v>
      </c>
      <c r="O365" s="25">
        <v>2500</v>
      </c>
      <c r="P365" s="25">
        <v>2000</v>
      </c>
      <c r="Q365" s="25" t="s">
        <v>369</v>
      </c>
      <c r="R365" s="26" t="s">
        <v>13</v>
      </c>
      <c r="S365" s="6" t="s">
        <v>1131</v>
      </c>
      <c r="T365" s="44" t="s">
        <v>1141</v>
      </c>
      <c r="U365" s="62">
        <v>31</v>
      </c>
      <c r="V365" s="62">
        <v>33.9</v>
      </c>
      <c r="W365" s="62">
        <v>28.1</v>
      </c>
      <c r="X365" s="26">
        <v>617.62427980288771</v>
      </c>
      <c r="Y365" s="26" t="s">
        <v>389</v>
      </c>
      <c r="Z365" s="26">
        <f t="shared" si="145"/>
        <v>432.33699586202135</v>
      </c>
      <c r="AA365" s="26">
        <f t="shared" si="146"/>
        <v>926.43641970433157</v>
      </c>
      <c r="AB365" s="25" t="s">
        <v>1191</v>
      </c>
      <c r="AC365" s="77" t="s">
        <v>400</v>
      </c>
      <c r="AF365" s="26">
        <v>16985</v>
      </c>
      <c r="AG365" s="25" t="s">
        <v>13</v>
      </c>
      <c r="AH365" s="7" t="s">
        <v>802</v>
      </c>
      <c r="AI365" s="25" t="s">
        <v>803</v>
      </c>
      <c r="AJ365" s="62">
        <v>180</v>
      </c>
      <c r="AK365" s="62">
        <f>AJ365+2</f>
        <v>182</v>
      </c>
      <c r="AL365" s="62">
        <f>AJ365-2</f>
        <v>178</v>
      </c>
      <c r="AM365" s="26">
        <f t="shared" si="147"/>
        <v>1335.53</v>
      </c>
      <c r="AN365" s="26" t="s">
        <v>239</v>
      </c>
      <c r="AO365" s="26">
        <f>AT365</f>
        <v>1078.45</v>
      </c>
      <c r="AP365" s="29">
        <f>AU365</f>
        <v>1676.89</v>
      </c>
      <c r="AQ365" s="29" t="s">
        <v>542</v>
      </c>
      <c r="AR365" s="23" t="s">
        <v>400</v>
      </c>
      <c r="AS365" s="26">
        <v>1335.53</v>
      </c>
      <c r="AT365" s="26">
        <v>1078.45</v>
      </c>
      <c r="AU365" s="26">
        <v>1676.89</v>
      </c>
      <c r="AV365" s="26" t="s">
        <v>651</v>
      </c>
      <c r="AW365" s="25" t="s">
        <v>804</v>
      </c>
      <c r="AX365" s="26" t="s">
        <v>13</v>
      </c>
      <c r="AY365" s="6" t="s">
        <v>888</v>
      </c>
      <c r="AZ365" s="97" t="s">
        <v>13</v>
      </c>
      <c r="BA365" s="62">
        <v>40.338000000000001</v>
      </c>
      <c r="BD365" s="26">
        <v>1001.93186869551</v>
      </c>
      <c r="BE365" s="25" t="s">
        <v>239</v>
      </c>
      <c r="BF365" s="26">
        <f>BD365-0.5*(BD365-BJ365)</f>
        <v>920.65563966438845</v>
      </c>
      <c r="BG365" s="26">
        <f>BD365+0.5*(BK365-BD365)</f>
        <v>1094.4925093638599</v>
      </c>
      <c r="BH365" s="83" t="s">
        <v>887</v>
      </c>
      <c r="BI365" s="25" t="s">
        <v>430</v>
      </c>
      <c r="BJ365" s="26">
        <v>839.37941063326696</v>
      </c>
      <c r="BK365" s="26">
        <v>1187.0531500322099</v>
      </c>
      <c r="BL365" s="26" t="s">
        <v>13</v>
      </c>
      <c r="BM365" s="25" t="s">
        <v>13</v>
      </c>
      <c r="BO365" s="25"/>
      <c r="CA365" s="25" t="s">
        <v>13</v>
      </c>
      <c r="CC365" s="25" t="s">
        <v>13</v>
      </c>
    </row>
    <row r="366" spans="1:81">
      <c r="A366" s="6" t="s">
        <v>314</v>
      </c>
      <c r="B366" s="25" t="s">
        <v>294</v>
      </c>
      <c r="C366" s="76">
        <v>115.3</v>
      </c>
      <c r="D366" s="62"/>
      <c r="E366" s="62"/>
      <c r="F366" s="22">
        <f t="shared" si="136"/>
        <v>1367.2</v>
      </c>
      <c r="G366" s="23" t="s">
        <v>389</v>
      </c>
      <c r="H366" s="23">
        <f t="shared" si="142"/>
        <v>683.6</v>
      </c>
      <c r="I366" s="23">
        <f t="shared" si="143"/>
        <v>2734.4</v>
      </c>
      <c r="J366" s="23" t="s">
        <v>481</v>
      </c>
      <c r="K366" s="23" t="s">
        <v>346</v>
      </c>
      <c r="L366" s="21">
        <v>1709</v>
      </c>
      <c r="O366" s="25">
        <v>2500</v>
      </c>
      <c r="P366" s="25">
        <v>2000</v>
      </c>
      <c r="Q366" s="25" t="s">
        <v>370</v>
      </c>
      <c r="R366" s="26" t="s">
        <v>13</v>
      </c>
      <c r="S366" s="6" t="s">
        <v>1131</v>
      </c>
      <c r="T366" s="44" t="s">
        <v>1140</v>
      </c>
      <c r="U366" s="62">
        <v>31</v>
      </c>
      <c r="V366" s="62">
        <v>33.9</v>
      </c>
      <c r="W366" s="62">
        <v>28.1</v>
      </c>
      <c r="X366" s="26">
        <v>811.49638431323956</v>
      </c>
      <c r="Y366" s="26" t="s">
        <v>389</v>
      </c>
      <c r="Z366" s="26">
        <f t="shared" si="145"/>
        <v>568.04746901926762</v>
      </c>
      <c r="AA366" s="26">
        <f t="shared" si="146"/>
        <v>1217.2445764698593</v>
      </c>
      <c r="AB366" s="25" t="s">
        <v>1191</v>
      </c>
      <c r="AC366" s="77" t="s">
        <v>400</v>
      </c>
      <c r="AF366" s="26" t="s">
        <v>1239</v>
      </c>
      <c r="AG366" s="25" t="s">
        <v>13</v>
      </c>
      <c r="AH366" s="7" t="s">
        <v>812</v>
      </c>
      <c r="AI366" s="25" t="s">
        <v>813</v>
      </c>
      <c r="AJ366" s="62">
        <f t="shared" si="149"/>
        <v>63.4</v>
      </c>
      <c r="AK366" s="62">
        <v>64.3</v>
      </c>
      <c r="AL366" s="62">
        <v>62.5</v>
      </c>
      <c r="AM366" s="26">
        <f t="shared" si="147"/>
        <v>308</v>
      </c>
      <c r="AN366" s="26" t="s">
        <v>389</v>
      </c>
      <c r="AO366" s="66">
        <f>AM366*0.7</f>
        <v>215.6</v>
      </c>
      <c r="AP366" s="100">
        <f>AM366*1.65</f>
        <v>508.2</v>
      </c>
      <c r="AQ366" s="29" t="s">
        <v>512</v>
      </c>
      <c r="AR366" s="23" t="s">
        <v>400</v>
      </c>
      <c r="AS366" s="26">
        <v>308</v>
      </c>
      <c r="AT366" s="26">
        <f>AS366-23</f>
        <v>285</v>
      </c>
      <c r="AU366" s="26">
        <f>AS366+23</f>
        <v>331</v>
      </c>
      <c r="AV366" s="26" t="s">
        <v>236</v>
      </c>
      <c r="AW366" s="25" t="s">
        <v>814</v>
      </c>
      <c r="AX366" s="26" t="s">
        <v>13</v>
      </c>
      <c r="AY366" s="6" t="s">
        <v>888</v>
      </c>
      <c r="AZ366" s="97" t="s">
        <v>13</v>
      </c>
      <c r="BA366" s="62">
        <v>40.933</v>
      </c>
      <c r="BD366" s="26">
        <v>918.96605358407999</v>
      </c>
      <c r="BE366" s="25" t="s">
        <v>239</v>
      </c>
      <c r="BF366" s="26">
        <f t="shared" ref="BF366:BF429" si="150">BD366-0.5*(BD366-BJ366)</f>
        <v>839.74447315549696</v>
      </c>
      <c r="BG366" s="26">
        <f t="shared" ref="BG366:BG429" si="151">BD366+0.5*(BK366-BD366)</f>
        <v>1005.062398157055</v>
      </c>
      <c r="BH366" s="83" t="s">
        <v>738</v>
      </c>
      <c r="BI366" s="25" t="s">
        <v>430</v>
      </c>
      <c r="BJ366" s="26">
        <v>760.52289272691405</v>
      </c>
      <c r="BK366" s="26">
        <v>1091.1587427300301</v>
      </c>
      <c r="BL366" s="26" t="s">
        <v>13</v>
      </c>
      <c r="BM366" s="25" t="s">
        <v>13</v>
      </c>
      <c r="BO366" s="25"/>
      <c r="CA366" s="25" t="s">
        <v>13</v>
      </c>
      <c r="CC366" s="25" t="s">
        <v>13</v>
      </c>
    </row>
    <row r="367" spans="1:81">
      <c r="A367" s="6" t="s">
        <v>314</v>
      </c>
      <c r="B367" s="25" t="s">
        <v>294</v>
      </c>
      <c r="C367" s="76">
        <v>116.1</v>
      </c>
      <c r="D367" s="62"/>
      <c r="E367" s="62"/>
      <c r="F367" s="22">
        <f t="shared" si="136"/>
        <v>1665.6</v>
      </c>
      <c r="G367" s="23" t="s">
        <v>389</v>
      </c>
      <c r="H367" s="23">
        <f t="shared" si="142"/>
        <v>832.8</v>
      </c>
      <c r="I367" s="23">
        <f t="shared" si="143"/>
        <v>3331.2</v>
      </c>
      <c r="J367" s="23" t="s">
        <v>481</v>
      </c>
      <c r="K367" s="23" t="s">
        <v>346</v>
      </c>
      <c r="L367" s="21">
        <v>2082</v>
      </c>
      <c r="O367" s="25">
        <v>2500</v>
      </c>
      <c r="P367" s="25">
        <v>2000</v>
      </c>
      <c r="Q367" s="25" t="s">
        <v>371</v>
      </c>
      <c r="R367" s="26" t="s">
        <v>13</v>
      </c>
      <c r="S367" s="6" t="s">
        <v>1131</v>
      </c>
      <c r="T367" s="44" t="s">
        <v>1140</v>
      </c>
      <c r="U367" s="62">
        <v>31</v>
      </c>
      <c r="V367" s="62">
        <v>33.9</v>
      </c>
      <c r="W367" s="62">
        <v>28.1</v>
      </c>
      <c r="X367" s="26">
        <v>841.3100687183661</v>
      </c>
      <c r="Y367" s="26" t="s">
        <v>389</v>
      </c>
      <c r="Z367" s="26">
        <f t="shared" si="145"/>
        <v>588.91704810285626</v>
      </c>
      <c r="AA367" s="26">
        <f t="shared" si="146"/>
        <v>1261.9651030775492</v>
      </c>
      <c r="AB367" s="25" t="s">
        <v>1191</v>
      </c>
      <c r="AC367" s="77" t="s">
        <v>400</v>
      </c>
      <c r="AF367" s="26" t="s">
        <v>1240</v>
      </c>
      <c r="AG367" s="25" t="s">
        <v>13</v>
      </c>
      <c r="AH367" s="7" t="s">
        <v>812</v>
      </c>
      <c r="AI367" s="25" t="s">
        <v>815</v>
      </c>
      <c r="AJ367" s="62">
        <v>60</v>
      </c>
      <c r="AK367" s="62">
        <f>AJ367+2</f>
        <v>62</v>
      </c>
      <c r="AL367" s="62">
        <f>AJ367-2</f>
        <v>58</v>
      </c>
      <c r="AM367" s="26">
        <f t="shared" si="147"/>
        <v>370</v>
      </c>
      <c r="AN367" s="26" t="s">
        <v>389</v>
      </c>
      <c r="AO367" s="66">
        <f>AM367*0.7</f>
        <v>259</v>
      </c>
      <c r="AP367" s="100">
        <f>AM367*1.65</f>
        <v>610.5</v>
      </c>
      <c r="AQ367" s="29" t="s">
        <v>512</v>
      </c>
      <c r="AR367" s="23" t="s">
        <v>400</v>
      </c>
      <c r="AS367" s="26">
        <v>370</v>
      </c>
      <c r="AT367" s="26">
        <f>AS367-27</f>
        <v>343</v>
      </c>
      <c r="AU367" s="26">
        <f>AS367:AS368+27</f>
        <v>397</v>
      </c>
      <c r="AV367" s="26" t="s">
        <v>236</v>
      </c>
      <c r="AW367" s="25" t="s">
        <v>816</v>
      </c>
      <c r="AX367" s="26" t="s">
        <v>13</v>
      </c>
      <c r="AY367" s="6" t="s">
        <v>888</v>
      </c>
      <c r="AZ367" s="97" t="s">
        <v>13</v>
      </c>
      <c r="BA367" s="62">
        <v>41.795999999999999</v>
      </c>
      <c r="BD367" s="26">
        <v>790.98833805891604</v>
      </c>
      <c r="BE367" s="25" t="s">
        <v>239</v>
      </c>
      <c r="BF367" s="26">
        <f t="shared" si="150"/>
        <v>723.63903533566599</v>
      </c>
      <c r="BG367" s="26">
        <f t="shared" si="151"/>
        <v>864.52301071660202</v>
      </c>
      <c r="BH367" s="83" t="s">
        <v>887</v>
      </c>
      <c r="BI367" s="25" t="s">
        <v>430</v>
      </c>
      <c r="BJ367" s="26">
        <v>656.28973261241606</v>
      </c>
      <c r="BK367" s="26">
        <v>938.05768337428799</v>
      </c>
      <c r="BL367" s="26" t="s">
        <v>13</v>
      </c>
      <c r="BM367" s="25" t="s">
        <v>13</v>
      </c>
      <c r="BO367" s="25"/>
      <c r="CA367" s="25" t="s">
        <v>13</v>
      </c>
      <c r="CC367" s="25" t="s">
        <v>13</v>
      </c>
    </row>
    <row r="368" spans="1:81">
      <c r="A368" s="6" t="s">
        <v>314</v>
      </c>
      <c r="B368" s="25" t="s">
        <v>294</v>
      </c>
      <c r="C368" s="76">
        <v>117.8</v>
      </c>
      <c r="D368" s="62"/>
      <c r="E368" s="62"/>
      <c r="F368" s="22">
        <f t="shared" si="136"/>
        <v>1364</v>
      </c>
      <c r="G368" s="23" t="s">
        <v>389</v>
      </c>
      <c r="H368" s="23">
        <f t="shared" si="142"/>
        <v>682</v>
      </c>
      <c r="I368" s="23">
        <f t="shared" si="143"/>
        <v>2728</v>
      </c>
      <c r="J368" s="23" t="s">
        <v>481</v>
      </c>
      <c r="K368" s="23" t="s">
        <v>346</v>
      </c>
      <c r="L368" s="21">
        <v>1705</v>
      </c>
      <c r="O368" s="25">
        <v>2500</v>
      </c>
      <c r="P368" s="25">
        <v>2000</v>
      </c>
      <c r="Q368" s="25" t="s">
        <v>372</v>
      </c>
      <c r="R368" s="26" t="s">
        <v>13</v>
      </c>
      <c r="S368" s="6" t="s">
        <v>1131</v>
      </c>
      <c r="T368" s="44" t="s">
        <v>1140</v>
      </c>
      <c r="U368" s="62">
        <v>31</v>
      </c>
      <c r="V368" s="62">
        <v>33.9</v>
      </c>
      <c r="W368" s="62">
        <v>28.1</v>
      </c>
      <c r="X368" s="26">
        <v>783.7344522114463</v>
      </c>
      <c r="Y368" s="26" t="s">
        <v>389</v>
      </c>
      <c r="Z368" s="26">
        <f t="shared" si="145"/>
        <v>548.61411654801236</v>
      </c>
      <c r="AA368" s="26">
        <f t="shared" si="146"/>
        <v>1175.6016783171694</v>
      </c>
      <c r="AB368" s="25" t="s">
        <v>1191</v>
      </c>
      <c r="AC368" s="77" t="s">
        <v>400</v>
      </c>
      <c r="AF368" s="26" t="s">
        <v>1241</v>
      </c>
      <c r="AG368" s="25" t="s">
        <v>13</v>
      </c>
      <c r="AH368" s="7" t="s">
        <v>812</v>
      </c>
      <c r="AI368" s="25" t="s">
        <v>813</v>
      </c>
      <c r="AJ368" s="62">
        <f t="shared" si="149"/>
        <v>40.5</v>
      </c>
      <c r="AK368" s="62">
        <v>41</v>
      </c>
      <c r="AL368" s="62">
        <v>40</v>
      </c>
      <c r="AM368" s="26">
        <f t="shared" si="147"/>
        <v>706</v>
      </c>
      <c r="AN368" s="26" t="s">
        <v>389</v>
      </c>
      <c r="AO368" s="66">
        <f>AM368*0.7</f>
        <v>494.2</v>
      </c>
      <c r="AP368" s="100">
        <f>AM368*1.65</f>
        <v>1164.8999999999999</v>
      </c>
      <c r="AQ368" s="29" t="s">
        <v>512</v>
      </c>
      <c r="AR368" s="23" t="s">
        <v>400</v>
      </c>
      <c r="AS368" s="26">
        <v>706</v>
      </c>
      <c r="AT368" s="26">
        <f>AS368-321</f>
        <v>385</v>
      </c>
      <c r="AU368" s="26">
        <f>AS368+321</f>
        <v>1027</v>
      </c>
      <c r="AV368" s="26" t="s">
        <v>236</v>
      </c>
      <c r="AW368" s="25" t="s">
        <v>817</v>
      </c>
      <c r="AX368" s="26" t="s">
        <v>13</v>
      </c>
      <c r="AY368" s="6" t="s">
        <v>888</v>
      </c>
      <c r="AZ368" s="97" t="s">
        <v>13</v>
      </c>
      <c r="BA368" s="62">
        <v>43.762999999999998</v>
      </c>
      <c r="BD368" s="26">
        <v>1018.5811530429401</v>
      </c>
      <c r="BE368" s="25" t="s">
        <v>239</v>
      </c>
      <c r="BF368" s="26">
        <f t="shared" si="150"/>
        <v>927.67034024040458</v>
      </c>
      <c r="BG368" s="26">
        <f t="shared" si="151"/>
        <v>1122.1587894822951</v>
      </c>
      <c r="BH368" s="83" t="s">
        <v>738</v>
      </c>
      <c r="BI368" s="25" t="s">
        <v>430</v>
      </c>
      <c r="BJ368" s="26">
        <v>836.759527437869</v>
      </c>
      <c r="BK368" s="26">
        <v>1225.7364259216499</v>
      </c>
      <c r="BL368" s="26" t="s">
        <v>13</v>
      </c>
      <c r="BM368" s="25" t="s">
        <v>13</v>
      </c>
      <c r="BO368" s="25"/>
      <c r="CA368" s="25" t="s">
        <v>13</v>
      </c>
      <c r="CC368" s="25" t="s">
        <v>13</v>
      </c>
    </row>
    <row r="369" spans="1:81">
      <c r="A369" s="6" t="s">
        <v>314</v>
      </c>
      <c r="B369" s="25" t="s">
        <v>294</v>
      </c>
      <c r="C369" s="76">
        <v>123.3</v>
      </c>
      <c r="D369" s="62"/>
      <c r="E369" s="62"/>
      <c r="F369" s="22">
        <f t="shared" si="136"/>
        <v>736</v>
      </c>
      <c r="G369" s="23" t="s">
        <v>389</v>
      </c>
      <c r="H369" s="23">
        <f t="shared" si="142"/>
        <v>368</v>
      </c>
      <c r="I369" s="23">
        <f t="shared" si="143"/>
        <v>1472</v>
      </c>
      <c r="J369" s="23" t="s">
        <v>481</v>
      </c>
      <c r="K369" s="23" t="s">
        <v>346</v>
      </c>
      <c r="L369" s="21">
        <v>920</v>
      </c>
      <c r="O369" s="25">
        <v>2500</v>
      </c>
      <c r="P369" s="25">
        <v>2000</v>
      </c>
      <c r="Q369" s="25" t="s">
        <v>373</v>
      </c>
      <c r="R369" s="26" t="s">
        <v>13</v>
      </c>
      <c r="S369" s="6" t="s">
        <v>1131</v>
      </c>
      <c r="T369" s="44" t="s">
        <v>1140</v>
      </c>
      <c r="U369" s="62">
        <v>32</v>
      </c>
      <c r="V369" s="62">
        <v>33.9</v>
      </c>
      <c r="W369" s="62">
        <v>28.1</v>
      </c>
      <c r="X369" s="26">
        <v>769.10985779387318</v>
      </c>
      <c r="Y369" s="26" t="s">
        <v>389</v>
      </c>
      <c r="Z369" s="26">
        <f t="shared" si="145"/>
        <v>538.37690045571117</v>
      </c>
      <c r="AA369" s="26">
        <f t="shared" si="146"/>
        <v>1153.6647866908097</v>
      </c>
      <c r="AB369" s="25" t="s">
        <v>1191</v>
      </c>
      <c r="AC369" s="77" t="s">
        <v>400</v>
      </c>
      <c r="AF369" s="26" t="s">
        <v>1242</v>
      </c>
      <c r="AG369" s="25" t="s">
        <v>13</v>
      </c>
      <c r="AH369" s="6" t="s">
        <v>889</v>
      </c>
      <c r="AI369" s="25" t="s">
        <v>890</v>
      </c>
      <c r="AJ369" s="62">
        <v>15.9</v>
      </c>
      <c r="AK369" s="62">
        <v>16</v>
      </c>
      <c r="AL369" s="62">
        <v>15.5</v>
      </c>
      <c r="AM369" s="26">
        <f t="shared" si="147"/>
        <v>479</v>
      </c>
      <c r="AN369" s="26" t="s">
        <v>239</v>
      </c>
      <c r="AO369" s="29">
        <f>AT369</f>
        <v>411</v>
      </c>
      <c r="AP369" s="29">
        <f>AU369</f>
        <v>580</v>
      </c>
      <c r="AQ369" s="29" t="s">
        <v>512</v>
      </c>
      <c r="AR369" s="23" t="s">
        <v>400</v>
      </c>
      <c r="AS369" s="26">
        <v>479</v>
      </c>
      <c r="AT369" s="26">
        <v>411</v>
      </c>
      <c r="AU369" s="26">
        <v>580</v>
      </c>
      <c r="AV369" s="26" t="s">
        <v>651</v>
      </c>
      <c r="AW369" s="25" t="s">
        <v>891</v>
      </c>
      <c r="AX369" s="26" t="s">
        <v>13</v>
      </c>
      <c r="AY369" s="6" t="s">
        <v>888</v>
      </c>
      <c r="AZ369" s="97" t="s">
        <v>13</v>
      </c>
      <c r="BA369" s="62">
        <v>44.825000000000003</v>
      </c>
      <c r="BD369" s="26">
        <v>927.03625086487807</v>
      </c>
      <c r="BE369" s="25" t="s">
        <v>239</v>
      </c>
      <c r="BF369" s="26">
        <f t="shared" si="150"/>
        <v>852.77890398777754</v>
      </c>
      <c r="BG369" s="26">
        <f t="shared" si="151"/>
        <v>1021.4248673442739</v>
      </c>
      <c r="BH369" s="83" t="s">
        <v>887</v>
      </c>
      <c r="BI369" s="25" t="s">
        <v>430</v>
      </c>
      <c r="BJ369" s="26">
        <v>778.52155711067701</v>
      </c>
      <c r="BK369" s="26">
        <v>1115.8134838236699</v>
      </c>
      <c r="BL369" s="26" t="s">
        <v>13</v>
      </c>
      <c r="BM369" s="25" t="s">
        <v>13</v>
      </c>
      <c r="BO369" s="25"/>
      <c r="CA369" s="25" t="s">
        <v>13</v>
      </c>
      <c r="CC369" s="25" t="s">
        <v>13</v>
      </c>
    </row>
    <row r="370" spans="1:81">
      <c r="A370" s="6" t="s">
        <v>314</v>
      </c>
      <c r="B370" s="25" t="s">
        <v>294</v>
      </c>
      <c r="C370" s="76">
        <v>123.6</v>
      </c>
      <c r="D370" s="62"/>
      <c r="E370" s="62"/>
      <c r="F370" s="22">
        <f t="shared" si="136"/>
        <v>607.20000000000005</v>
      </c>
      <c r="G370" s="23" t="s">
        <v>389</v>
      </c>
      <c r="H370" s="23">
        <f t="shared" si="142"/>
        <v>303.60000000000002</v>
      </c>
      <c r="I370" s="23">
        <f t="shared" si="143"/>
        <v>1214.4000000000001</v>
      </c>
      <c r="J370" s="23" t="s">
        <v>481</v>
      </c>
      <c r="K370" s="23" t="s">
        <v>346</v>
      </c>
      <c r="L370" s="21">
        <v>759</v>
      </c>
      <c r="O370" s="25">
        <v>2500</v>
      </c>
      <c r="P370" s="25">
        <v>2000</v>
      </c>
      <c r="Q370" s="25" t="s">
        <v>374</v>
      </c>
      <c r="R370" s="26" t="s">
        <v>13</v>
      </c>
      <c r="S370" s="6" t="s">
        <v>1131</v>
      </c>
      <c r="T370" s="44" t="s">
        <v>1140</v>
      </c>
      <c r="U370" s="62">
        <v>32</v>
      </c>
      <c r="V370" s="62">
        <v>33.9</v>
      </c>
      <c r="W370" s="62">
        <v>28.1</v>
      </c>
      <c r="X370" s="26">
        <v>824.83335358858619</v>
      </c>
      <c r="Y370" s="26" t="s">
        <v>389</v>
      </c>
      <c r="Z370" s="26">
        <f t="shared" si="145"/>
        <v>577.38334751201035</v>
      </c>
      <c r="AA370" s="26">
        <f t="shared" si="146"/>
        <v>1237.2500303828792</v>
      </c>
      <c r="AB370" s="25" t="s">
        <v>1191</v>
      </c>
      <c r="AC370" s="77" t="s">
        <v>400</v>
      </c>
      <c r="AF370" s="26" t="s">
        <v>1243</v>
      </c>
      <c r="AG370" s="25" t="s">
        <v>13</v>
      </c>
      <c r="AH370" s="6" t="s">
        <v>889</v>
      </c>
      <c r="AI370" s="25" t="s">
        <v>890</v>
      </c>
      <c r="AJ370" s="62">
        <v>15.9</v>
      </c>
      <c r="AK370" s="62">
        <v>16</v>
      </c>
      <c r="AL370" s="62">
        <v>15.5</v>
      </c>
      <c r="AM370" s="26">
        <f t="shared" si="147"/>
        <v>548</v>
      </c>
      <c r="AN370" s="26" t="s">
        <v>239</v>
      </c>
      <c r="AO370" s="29">
        <f>AT370</f>
        <v>435</v>
      </c>
      <c r="AP370" s="29">
        <f>AU370</f>
        <v>672</v>
      </c>
      <c r="AQ370" s="29" t="s">
        <v>512</v>
      </c>
      <c r="AR370" s="23" t="s">
        <v>400</v>
      </c>
      <c r="AS370" s="26">
        <v>548</v>
      </c>
      <c r="AT370" s="26">
        <v>435</v>
      </c>
      <c r="AU370" s="26">
        <v>672</v>
      </c>
      <c r="AV370" s="26" t="s">
        <v>651</v>
      </c>
      <c r="AW370" s="25" t="s">
        <v>892</v>
      </c>
      <c r="AX370" s="26" t="s">
        <v>13</v>
      </c>
      <c r="AY370" s="6" t="s">
        <v>888</v>
      </c>
      <c r="AZ370" s="97" t="s">
        <v>13</v>
      </c>
      <c r="BA370" s="62">
        <v>45.701000000000001</v>
      </c>
      <c r="BD370" s="26">
        <v>848.10238140415902</v>
      </c>
      <c r="BE370" s="25" t="s">
        <v>239</v>
      </c>
      <c r="BF370" s="26">
        <f t="shared" si="150"/>
        <v>786.16282491687298</v>
      </c>
      <c r="BG370" s="26">
        <f t="shared" si="151"/>
        <v>913.85979129206908</v>
      </c>
      <c r="BH370" s="83" t="s">
        <v>738</v>
      </c>
      <c r="BI370" s="25" t="s">
        <v>430</v>
      </c>
      <c r="BJ370" s="26">
        <v>724.22326842958705</v>
      </c>
      <c r="BK370" s="26">
        <v>979.61720117997902</v>
      </c>
      <c r="BL370" s="26" t="s">
        <v>13</v>
      </c>
      <c r="BM370" s="25" t="s">
        <v>13</v>
      </c>
      <c r="BO370" s="25"/>
      <c r="CA370" s="25" t="s">
        <v>13</v>
      </c>
      <c r="CC370" s="25" t="s">
        <v>13</v>
      </c>
    </row>
    <row r="371" spans="1:81">
      <c r="A371" s="6" t="s">
        <v>314</v>
      </c>
      <c r="B371" s="25" t="s">
        <v>294</v>
      </c>
      <c r="C371" s="76">
        <v>123.7</v>
      </c>
      <c r="D371" s="62"/>
      <c r="E371" s="62"/>
      <c r="F371" s="22">
        <f t="shared" si="136"/>
        <v>824</v>
      </c>
      <c r="G371" s="23" t="s">
        <v>389</v>
      </c>
      <c r="H371" s="23">
        <f t="shared" si="142"/>
        <v>412</v>
      </c>
      <c r="I371" s="23">
        <f t="shared" si="143"/>
        <v>1648</v>
      </c>
      <c r="J371" s="23" t="s">
        <v>481</v>
      </c>
      <c r="K371" s="23" t="s">
        <v>346</v>
      </c>
      <c r="L371" s="21">
        <v>1030</v>
      </c>
      <c r="O371" s="25">
        <v>2500</v>
      </c>
      <c r="P371" s="25">
        <v>2000</v>
      </c>
      <c r="Q371" s="25" t="s">
        <v>375</v>
      </c>
      <c r="R371" s="26" t="s">
        <v>13</v>
      </c>
      <c r="S371" s="6" t="s">
        <v>1131</v>
      </c>
      <c r="T371" s="44" t="s">
        <v>1142</v>
      </c>
      <c r="U371" s="62">
        <v>51</v>
      </c>
      <c r="V371" s="62">
        <v>53.5</v>
      </c>
      <c r="W371" s="62">
        <v>50</v>
      </c>
      <c r="X371" s="26">
        <v>1057.3769533955708</v>
      </c>
      <c r="Y371" s="26" t="s">
        <v>389</v>
      </c>
      <c r="Z371" s="26">
        <f t="shared" si="145"/>
        <v>740.16386737689947</v>
      </c>
      <c r="AA371" s="26">
        <f t="shared" si="146"/>
        <v>1586.0654300933561</v>
      </c>
      <c r="AB371" s="25" t="s">
        <v>1191</v>
      </c>
      <c r="AC371" s="77" t="s">
        <v>400</v>
      </c>
      <c r="AF371" s="26" t="s">
        <v>1244</v>
      </c>
      <c r="AG371" s="25" t="s">
        <v>13</v>
      </c>
      <c r="AH371" s="6" t="s">
        <v>871</v>
      </c>
      <c r="AI371" s="25" t="s">
        <v>872</v>
      </c>
      <c r="AJ371" s="62">
        <v>312.97000000000003</v>
      </c>
      <c r="AK371" s="62">
        <f>AJ371+0.059</f>
        <v>313.02900000000005</v>
      </c>
      <c r="AL371" s="62">
        <f>AJ371-0.059</f>
        <v>312.911</v>
      </c>
      <c r="AM371" s="26">
        <f t="shared" si="147"/>
        <v>482</v>
      </c>
      <c r="AN371" s="26" t="s">
        <v>239</v>
      </c>
      <c r="AO371" s="29">
        <f t="shared" ref="AO371:AP377" si="152">AT371</f>
        <v>392</v>
      </c>
      <c r="AP371" s="29">
        <f t="shared" si="152"/>
        <v>597</v>
      </c>
      <c r="AQ371" s="29" t="s">
        <v>512</v>
      </c>
      <c r="AR371" s="23" t="s">
        <v>400</v>
      </c>
      <c r="AS371" s="26">
        <v>482</v>
      </c>
      <c r="AT371" s="26">
        <v>392</v>
      </c>
      <c r="AU371" s="26">
        <v>597</v>
      </c>
      <c r="AV371" s="26" t="s">
        <v>651</v>
      </c>
      <c r="AX371" s="26" t="s">
        <v>13</v>
      </c>
      <c r="AY371" s="6" t="s">
        <v>888</v>
      </c>
      <c r="AZ371" s="97" t="s">
        <v>13</v>
      </c>
      <c r="BA371" s="62">
        <v>46.570999999999998</v>
      </c>
      <c r="BD371" s="26">
        <v>1084.14372964839</v>
      </c>
      <c r="BE371" s="25" t="s">
        <v>239</v>
      </c>
      <c r="BF371" s="26">
        <f t="shared" si="150"/>
        <v>994.953712889911</v>
      </c>
      <c r="BG371" s="26">
        <f t="shared" si="151"/>
        <v>1179.4049462942401</v>
      </c>
      <c r="BH371" s="83" t="s">
        <v>887</v>
      </c>
      <c r="BI371" s="25" t="s">
        <v>430</v>
      </c>
      <c r="BJ371" s="26">
        <v>905.76369613143197</v>
      </c>
      <c r="BK371" s="26">
        <v>1274.6661629400901</v>
      </c>
      <c r="BL371" s="26" t="s">
        <v>13</v>
      </c>
      <c r="BM371" s="25" t="s">
        <v>13</v>
      </c>
      <c r="BO371" s="25"/>
      <c r="CA371" s="25" t="s">
        <v>13</v>
      </c>
      <c r="CC371" s="25" t="s">
        <v>13</v>
      </c>
    </row>
    <row r="372" spans="1:81">
      <c r="A372" s="6" t="s">
        <v>314</v>
      </c>
      <c r="B372" s="25" t="s">
        <v>294</v>
      </c>
      <c r="C372" s="76">
        <v>123.8</v>
      </c>
      <c r="D372" s="62"/>
      <c r="E372" s="62"/>
      <c r="F372" s="22">
        <f t="shared" si="136"/>
        <v>1017.6</v>
      </c>
      <c r="G372" s="23" t="s">
        <v>389</v>
      </c>
      <c r="H372" s="23">
        <f t="shared" si="142"/>
        <v>508.8</v>
      </c>
      <c r="I372" s="23">
        <f t="shared" si="143"/>
        <v>2035.2</v>
      </c>
      <c r="J372" s="23" t="s">
        <v>481</v>
      </c>
      <c r="K372" s="23" t="s">
        <v>346</v>
      </c>
      <c r="L372" s="21">
        <v>1272</v>
      </c>
      <c r="O372" s="25">
        <v>2500</v>
      </c>
      <c r="P372" s="25">
        <v>2000</v>
      </c>
      <c r="Q372" s="25" t="s">
        <v>376</v>
      </c>
      <c r="R372" s="26" t="s">
        <v>13</v>
      </c>
      <c r="S372" s="6" t="s">
        <v>1131</v>
      </c>
      <c r="T372" s="44" t="s">
        <v>1142</v>
      </c>
      <c r="U372" s="62">
        <v>51</v>
      </c>
      <c r="V372" s="62">
        <v>53.5</v>
      </c>
      <c r="W372" s="62">
        <v>50</v>
      </c>
      <c r="X372" s="26">
        <v>872.20414877877909</v>
      </c>
      <c r="Y372" s="26" t="s">
        <v>389</v>
      </c>
      <c r="Z372" s="26">
        <f t="shared" si="145"/>
        <v>610.54290414514537</v>
      </c>
      <c r="AA372" s="26">
        <f t="shared" si="146"/>
        <v>1308.3062231681686</v>
      </c>
      <c r="AB372" s="25" t="s">
        <v>1191</v>
      </c>
      <c r="AC372" s="77" t="s">
        <v>400</v>
      </c>
      <c r="AF372" s="26" t="s">
        <v>1245</v>
      </c>
      <c r="AG372" s="25" t="s">
        <v>13</v>
      </c>
      <c r="AH372" s="6" t="s">
        <v>871</v>
      </c>
      <c r="AI372" s="25" t="s">
        <v>872</v>
      </c>
      <c r="AJ372" s="62">
        <v>305.7</v>
      </c>
      <c r="AK372" s="62">
        <f>AJ372+0.009</f>
        <v>305.709</v>
      </c>
      <c r="AL372" s="62">
        <f>AJ372-0.009</f>
        <v>305.69099999999997</v>
      </c>
      <c r="AM372" s="26">
        <f t="shared" si="147"/>
        <v>662</v>
      </c>
      <c r="AN372" s="26" t="s">
        <v>239</v>
      </c>
      <c r="AO372" s="29">
        <f t="shared" si="152"/>
        <v>498</v>
      </c>
      <c r="AP372" s="29">
        <f t="shared" si="152"/>
        <v>915</v>
      </c>
      <c r="AQ372" s="29" t="s">
        <v>512</v>
      </c>
      <c r="AR372" s="23" t="s">
        <v>400</v>
      </c>
      <c r="AS372" s="26">
        <v>662</v>
      </c>
      <c r="AT372" s="26">
        <v>498</v>
      </c>
      <c r="AU372" s="26">
        <v>915</v>
      </c>
      <c r="AV372" s="26" t="s">
        <v>651</v>
      </c>
      <c r="AX372" s="26" t="s">
        <v>13</v>
      </c>
      <c r="AY372" s="6" t="s">
        <v>888</v>
      </c>
      <c r="AZ372" s="97" t="s">
        <v>13</v>
      </c>
      <c r="BA372" s="62">
        <v>47.496000000000002</v>
      </c>
      <c r="BD372" s="26">
        <v>1420.4521301263899</v>
      </c>
      <c r="BE372" s="25" t="s">
        <v>239</v>
      </c>
      <c r="BF372" s="26">
        <f t="shared" si="150"/>
        <v>1289.4154725101798</v>
      </c>
      <c r="BG372" s="26">
        <f t="shared" si="151"/>
        <v>1574.3982482205051</v>
      </c>
      <c r="BH372" s="83" t="s">
        <v>738</v>
      </c>
      <c r="BI372" s="25" t="s">
        <v>430</v>
      </c>
      <c r="BJ372" s="26">
        <v>1158.37881489397</v>
      </c>
      <c r="BK372" s="26">
        <v>1728.3443663146202</v>
      </c>
      <c r="BL372" s="26" t="s">
        <v>13</v>
      </c>
      <c r="BM372" s="25" t="s">
        <v>13</v>
      </c>
      <c r="BO372" s="25"/>
      <c r="CA372" s="25" t="s">
        <v>13</v>
      </c>
      <c r="CC372" s="25" t="s">
        <v>13</v>
      </c>
    </row>
    <row r="373" spans="1:81">
      <c r="A373" s="6" t="s">
        <v>314</v>
      </c>
      <c r="B373" s="25" t="s">
        <v>294</v>
      </c>
      <c r="C373" s="76">
        <v>126.4</v>
      </c>
      <c r="D373" s="62"/>
      <c r="E373" s="62"/>
      <c r="F373" s="22">
        <f t="shared" si="136"/>
        <v>1064.8</v>
      </c>
      <c r="G373" s="23" t="s">
        <v>389</v>
      </c>
      <c r="H373" s="23">
        <f t="shared" si="142"/>
        <v>532.4</v>
      </c>
      <c r="I373" s="23">
        <f t="shared" si="143"/>
        <v>2129.6</v>
      </c>
      <c r="J373" s="23" t="s">
        <v>481</v>
      </c>
      <c r="K373" s="23" t="s">
        <v>346</v>
      </c>
      <c r="L373" s="21">
        <v>1331</v>
      </c>
      <c r="O373" s="25">
        <v>2500</v>
      </c>
      <c r="P373" s="25">
        <v>2000</v>
      </c>
      <c r="Q373" s="25" t="s">
        <v>377</v>
      </c>
      <c r="R373" s="26" t="s">
        <v>13</v>
      </c>
      <c r="S373" s="6" t="s">
        <v>1131</v>
      </c>
      <c r="T373" s="44" t="s">
        <v>1142</v>
      </c>
      <c r="U373" s="62">
        <v>52</v>
      </c>
      <c r="V373" s="62">
        <v>53.5</v>
      </c>
      <c r="W373" s="62">
        <v>50</v>
      </c>
      <c r="X373" s="26">
        <v>809.29824982748607</v>
      </c>
      <c r="Y373" s="26" t="s">
        <v>389</v>
      </c>
      <c r="Z373" s="26">
        <f t="shared" si="145"/>
        <v>566.50877487924026</v>
      </c>
      <c r="AA373" s="26">
        <f t="shared" si="146"/>
        <v>1213.9473747412292</v>
      </c>
      <c r="AB373" s="25" t="s">
        <v>1191</v>
      </c>
      <c r="AC373" s="77" t="s">
        <v>400</v>
      </c>
      <c r="AF373" s="26" t="s">
        <v>1246</v>
      </c>
      <c r="AG373" s="25" t="s">
        <v>13</v>
      </c>
      <c r="AH373" s="6" t="s">
        <v>871</v>
      </c>
      <c r="AI373" s="25" t="s">
        <v>872</v>
      </c>
      <c r="AJ373" s="62">
        <v>303.70999999999998</v>
      </c>
      <c r="AK373" s="62">
        <f>AJ373+0.004</f>
        <v>303.714</v>
      </c>
      <c r="AL373" s="62">
        <f>AJ373-0.004</f>
        <v>303.70599999999996</v>
      </c>
      <c r="AM373" s="26">
        <f t="shared" si="147"/>
        <v>714</v>
      </c>
      <c r="AN373" s="26" t="s">
        <v>239</v>
      </c>
      <c r="AO373" s="29">
        <f t="shared" si="152"/>
        <v>550</v>
      </c>
      <c r="AP373" s="29">
        <f t="shared" si="152"/>
        <v>956</v>
      </c>
      <c r="AQ373" s="29" t="s">
        <v>512</v>
      </c>
      <c r="AR373" s="23" t="s">
        <v>400</v>
      </c>
      <c r="AS373" s="26">
        <v>714</v>
      </c>
      <c r="AT373" s="26">
        <v>550</v>
      </c>
      <c r="AU373" s="26">
        <v>956</v>
      </c>
      <c r="AV373" s="26" t="s">
        <v>651</v>
      </c>
      <c r="AX373" s="26" t="s">
        <v>13</v>
      </c>
      <c r="AY373" s="6" t="s">
        <v>888</v>
      </c>
      <c r="AZ373" s="97" t="s">
        <v>13</v>
      </c>
      <c r="BA373" s="62">
        <v>48.137</v>
      </c>
      <c r="BD373" s="26">
        <v>1907.6348237872999</v>
      </c>
      <c r="BE373" s="25" t="s">
        <v>239</v>
      </c>
      <c r="BF373" s="26">
        <f t="shared" si="150"/>
        <v>1725.5142603998349</v>
      </c>
      <c r="BG373" s="26">
        <f t="shared" si="151"/>
        <v>2143.7477781686648</v>
      </c>
      <c r="BH373" s="83" t="s">
        <v>887</v>
      </c>
      <c r="BI373" s="25" t="s">
        <v>430</v>
      </c>
      <c r="BJ373" s="26">
        <v>1543.39369701237</v>
      </c>
      <c r="BK373" s="26">
        <v>2379.8607325500298</v>
      </c>
      <c r="BL373" s="26" t="s">
        <v>13</v>
      </c>
      <c r="BM373" s="25" t="s">
        <v>13</v>
      </c>
      <c r="BO373" s="25"/>
      <c r="CA373" s="25" t="s">
        <v>13</v>
      </c>
      <c r="CC373" s="25" t="s">
        <v>13</v>
      </c>
    </row>
    <row r="374" spans="1:81">
      <c r="A374" s="6" t="s">
        <v>314</v>
      </c>
      <c r="B374" s="25" t="s">
        <v>294</v>
      </c>
      <c r="C374" s="76">
        <v>126.6</v>
      </c>
      <c r="D374" s="62"/>
      <c r="E374" s="62"/>
      <c r="F374" s="22">
        <f t="shared" si="136"/>
        <v>1509.6</v>
      </c>
      <c r="G374" s="23" t="s">
        <v>389</v>
      </c>
      <c r="H374" s="23">
        <f t="shared" si="142"/>
        <v>754.8</v>
      </c>
      <c r="I374" s="23">
        <f t="shared" si="143"/>
        <v>3019.2</v>
      </c>
      <c r="J374" s="23" t="s">
        <v>481</v>
      </c>
      <c r="K374" s="23" t="s">
        <v>346</v>
      </c>
      <c r="L374" s="21">
        <v>1887</v>
      </c>
      <c r="O374" s="25">
        <v>2500</v>
      </c>
      <c r="P374" s="25">
        <v>2000</v>
      </c>
      <c r="Q374" s="25" t="s">
        <v>378</v>
      </c>
      <c r="R374" s="26" t="s">
        <v>13</v>
      </c>
      <c r="S374" s="6" t="s">
        <v>1131</v>
      </c>
      <c r="T374" s="44" t="s">
        <v>1142</v>
      </c>
      <c r="U374" s="62">
        <v>52</v>
      </c>
      <c r="V374" s="62">
        <v>53.5</v>
      </c>
      <c r="W374" s="62">
        <v>50</v>
      </c>
      <c r="X374" s="26">
        <v>767.79641139244791</v>
      </c>
      <c r="Y374" s="26" t="s">
        <v>389</v>
      </c>
      <c r="Z374" s="26">
        <f t="shared" si="145"/>
        <v>537.45748797471356</v>
      </c>
      <c r="AA374" s="26">
        <f t="shared" si="146"/>
        <v>1151.6946170886717</v>
      </c>
      <c r="AB374" s="25" t="s">
        <v>1191</v>
      </c>
      <c r="AC374" s="77" t="s">
        <v>400</v>
      </c>
      <c r="AF374" s="26" t="s">
        <v>1247</v>
      </c>
      <c r="AG374" s="25" t="s">
        <v>13</v>
      </c>
      <c r="AH374" s="6" t="s">
        <v>871</v>
      </c>
      <c r="AI374" s="25" t="s">
        <v>872</v>
      </c>
      <c r="AJ374" s="62">
        <v>302.7</v>
      </c>
      <c r="AK374" s="62">
        <f>AJ374+0.094</f>
        <v>302.79399999999998</v>
      </c>
      <c r="AL374" s="62">
        <f>AJ374-0.094</f>
        <v>302.60599999999999</v>
      </c>
      <c r="AM374" s="26">
        <f t="shared" si="147"/>
        <v>558.33333333333337</v>
      </c>
      <c r="AN374" s="26" t="s">
        <v>239</v>
      </c>
      <c r="AO374" s="29">
        <f t="shared" si="152"/>
        <v>427.33333333333331</v>
      </c>
      <c r="AP374" s="29">
        <f t="shared" si="152"/>
        <v>750</v>
      </c>
      <c r="AQ374" s="29" t="s">
        <v>512</v>
      </c>
      <c r="AR374" s="23" t="s">
        <v>400</v>
      </c>
      <c r="AS374" s="26">
        <f>AVERAGE(526,582,567)</f>
        <v>558.33333333333337</v>
      </c>
      <c r="AT374" s="26">
        <f>AVERAGE(406,436,440)</f>
        <v>427.33333333333331</v>
      </c>
      <c r="AU374" s="26">
        <f>AVERAGE(701,795,754)</f>
        <v>750</v>
      </c>
      <c r="AV374" s="26" t="s">
        <v>651</v>
      </c>
      <c r="AW374" s="25" t="s">
        <v>893</v>
      </c>
      <c r="AX374" s="26" t="s">
        <v>13</v>
      </c>
      <c r="AY374" s="6" t="s">
        <v>888</v>
      </c>
      <c r="AZ374" s="97" t="s">
        <v>13</v>
      </c>
      <c r="BA374" s="62">
        <v>49.000999999999998</v>
      </c>
      <c r="BD374" s="26">
        <v>1754.5304882714599</v>
      </c>
      <c r="BE374" s="25" t="s">
        <v>239</v>
      </c>
      <c r="BF374" s="26">
        <f t="shared" si="150"/>
        <v>1590.5468141905098</v>
      </c>
      <c r="BG374" s="26">
        <f t="shared" si="151"/>
        <v>1961.3283541354101</v>
      </c>
      <c r="BH374" s="83" t="s">
        <v>738</v>
      </c>
      <c r="BI374" s="25" t="s">
        <v>430</v>
      </c>
      <c r="BJ374" s="26">
        <v>1426.56314010956</v>
      </c>
      <c r="BK374" s="26">
        <v>2168.1262199993603</v>
      </c>
      <c r="BL374" s="26" t="s">
        <v>13</v>
      </c>
      <c r="BM374" s="25" t="s">
        <v>13</v>
      </c>
      <c r="BO374" s="25"/>
      <c r="CA374" s="25" t="s">
        <v>13</v>
      </c>
      <c r="CC374" s="25" t="s">
        <v>13</v>
      </c>
    </row>
    <row r="375" spans="1:81">
      <c r="A375" s="6" t="s">
        <v>314</v>
      </c>
      <c r="B375" s="25" t="s">
        <v>294</v>
      </c>
      <c r="C375" s="76">
        <v>127.5</v>
      </c>
      <c r="D375" s="62"/>
      <c r="E375" s="62"/>
      <c r="F375" s="22">
        <f t="shared" si="136"/>
        <v>1704</v>
      </c>
      <c r="G375" s="23" t="s">
        <v>389</v>
      </c>
      <c r="H375" s="23">
        <f t="shared" si="142"/>
        <v>852</v>
      </c>
      <c r="I375" s="23">
        <f t="shared" si="143"/>
        <v>3408</v>
      </c>
      <c r="J375" s="23" t="s">
        <v>481</v>
      </c>
      <c r="K375" s="23" t="s">
        <v>346</v>
      </c>
      <c r="L375" s="21">
        <v>2130</v>
      </c>
      <c r="O375" s="25">
        <v>2500</v>
      </c>
      <c r="P375" s="25">
        <v>2000</v>
      </c>
      <c r="Q375" s="25" t="s">
        <v>379</v>
      </c>
      <c r="R375" s="26" t="s">
        <v>13</v>
      </c>
      <c r="S375" s="6" t="s">
        <v>1131</v>
      </c>
      <c r="T375" s="44" t="s">
        <v>1142</v>
      </c>
      <c r="U375" s="62">
        <v>52</v>
      </c>
      <c r="V375" s="62">
        <v>53.5</v>
      </c>
      <c r="W375" s="62">
        <v>50</v>
      </c>
      <c r="X375" s="26">
        <v>907.49529050724902</v>
      </c>
      <c r="Y375" s="26" t="s">
        <v>389</v>
      </c>
      <c r="Z375" s="26">
        <f t="shared" si="145"/>
        <v>635.24670335507426</v>
      </c>
      <c r="AA375" s="26">
        <f t="shared" si="146"/>
        <v>1361.2429357608735</v>
      </c>
      <c r="AB375" s="25" t="s">
        <v>1191</v>
      </c>
      <c r="AC375" s="77" t="s">
        <v>400</v>
      </c>
      <c r="AF375" s="26" t="s">
        <v>1248</v>
      </c>
      <c r="AG375" s="25" t="s">
        <v>13</v>
      </c>
      <c r="AH375" s="6" t="s">
        <v>871</v>
      </c>
      <c r="AI375" s="25" t="s">
        <v>872</v>
      </c>
      <c r="AJ375" s="62">
        <v>293.55</v>
      </c>
      <c r="AK375" s="62">
        <f>AJ375+0.029</f>
        <v>293.57900000000001</v>
      </c>
      <c r="AL375" s="62">
        <f>AJ375-0.029</f>
        <v>293.52100000000002</v>
      </c>
      <c r="AM375" s="26">
        <f t="shared" si="147"/>
        <v>437</v>
      </c>
      <c r="AN375" s="26" t="s">
        <v>239</v>
      </c>
      <c r="AO375" s="29">
        <f t="shared" si="152"/>
        <v>370</v>
      </c>
      <c r="AP375" s="29">
        <f t="shared" si="152"/>
        <v>513</v>
      </c>
      <c r="AQ375" s="29" t="s">
        <v>512</v>
      </c>
      <c r="AR375" s="23" t="s">
        <v>400</v>
      </c>
      <c r="AS375" s="26">
        <v>437</v>
      </c>
      <c r="AT375" s="26">
        <v>370</v>
      </c>
      <c r="AU375" s="26">
        <v>513</v>
      </c>
      <c r="AV375" s="26" t="s">
        <v>651</v>
      </c>
      <c r="AX375" s="26" t="s">
        <v>13</v>
      </c>
      <c r="AY375" s="6" t="s">
        <v>888</v>
      </c>
      <c r="AZ375" s="97" t="s">
        <v>13</v>
      </c>
      <c r="BA375" s="62">
        <v>49.831000000000003</v>
      </c>
      <c r="BD375" s="26">
        <v>1226.9821491242501</v>
      </c>
      <c r="BE375" s="25" t="s">
        <v>239</v>
      </c>
      <c r="BF375" s="26">
        <f t="shared" si="150"/>
        <v>1121.3604615172151</v>
      </c>
      <c r="BG375" s="26">
        <f t="shared" si="151"/>
        <v>1359.9898639707351</v>
      </c>
      <c r="BH375" s="83" t="s">
        <v>887</v>
      </c>
      <c r="BI375" s="25" t="s">
        <v>430</v>
      </c>
      <c r="BJ375" s="26">
        <v>1015.73877391018</v>
      </c>
      <c r="BK375" s="26">
        <v>1492.9975788172201</v>
      </c>
      <c r="BL375" s="26" t="s">
        <v>13</v>
      </c>
      <c r="BM375" s="25" t="s">
        <v>13</v>
      </c>
      <c r="BO375" s="25"/>
      <c r="CA375" s="25" t="s">
        <v>13</v>
      </c>
      <c r="CC375" s="25" t="s">
        <v>13</v>
      </c>
    </row>
    <row r="376" spans="1:81">
      <c r="A376" s="6" t="s">
        <v>314</v>
      </c>
      <c r="B376" s="25" t="s">
        <v>294</v>
      </c>
      <c r="C376" s="76">
        <v>129.80000000000001</v>
      </c>
      <c r="D376" s="62"/>
      <c r="E376" s="62"/>
      <c r="F376" s="22">
        <f t="shared" si="136"/>
        <v>940</v>
      </c>
      <c r="G376" s="23" t="s">
        <v>389</v>
      </c>
      <c r="H376" s="23">
        <f t="shared" si="142"/>
        <v>470</v>
      </c>
      <c r="I376" s="23">
        <f t="shared" si="143"/>
        <v>1880</v>
      </c>
      <c r="J376" s="23" t="s">
        <v>481</v>
      </c>
      <c r="K376" s="23" t="s">
        <v>346</v>
      </c>
      <c r="L376" s="21">
        <v>1175</v>
      </c>
      <c r="O376" s="25">
        <v>2500</v>
      </c>
      <c r="P376" s="25">
        <v>2000</v>
      </c>
      <c r="Q376" s="25" t="s">
        <v>380</v>
      </c>
      <c r="R376" s="26" t="s">
        <v>13</v>
      </c>
      <c r="S376" s="6" t="s">
        <v>1131</v>
      </c>
      <c r="T376" s="44" t="s">
        <v>1142</v>
      </c>
      <c r="U376" s="62">
        <v>52</v>
      </c>
      <c r="V376" s="62">
        <v>53.5</v>
      </c>
      <c r="W376" s="62">
        <v>50</v>
      </c>
      <c r="X376" s="26">
        <v>966.16500825385901</v>
      </c>
      <c r="Y376" s="26" t="s">
        <v>389</v>
      </c>
      <c r="Z376" s="26">
        <f t="shared" si="145"/>
        <v>676.31550577770122</v>
      </c>
      <c r="AA376" s="26">
        <f t="shared" si="146"/>
        <v>1449.2475123807885</v>
      </c>
      <c r="AB376" s="25" t="s">
        <v>1191</v>
      </c>
      <c r="AC376" s="77" t="s">
        <v>400</v>
      </c>
      <c r="AF376" s="26" t="s">
        <v>1249</v>
      </c>
      <c r="AG376" s="25" t="s">
        <v>13</v>
      </c>
      <c r="AH376" s="6" t="s">
        <v>871</v>
      </c>
      <c r="AI376" s="25" t="s">
        <v>872</v>
      </c>
      <c r="AJ376" s="62">
        <v>288.45999999999998</v>
      </c>
      <c r="AK376" s="62">
        <f>AJ376+0.089</f>
        <v>288.54899999999998</v>
      </c>
      <c r="AL376" s="62">
        <f>AJ376-0.089</f>
        <v>288.37099999999998</v>
      </c>
      <c r="AM376" s="26">
        <f t="shared" si="147"/>
        <v>412.5</v>
      </c>
      <c r="AN376" s="26" t="s">
        <v>239</v>
      </c>
      <c r="AO376" s="29">
        <f t="shared" si="152"/>
        <v>337.5</v>
      </c>
      <c r="AP376" s="29">
        <f t="shared" si="152"/>
        <v>515.75</v>
      </c>
      <c r="AQ376" s="29" t="s">
        <v>512</v>
      </c>
      <c r="AR376" s="23" t="s">
        <v>400</v>
      </c>
      <c r="AS376" s="26">
        <f>AVERAGE(522,350,343,435)</f>
        <v>412.5</v>
      </c>
      <c r="AT376" s="26">
        <f>AVERAGE(401,291,289,369)</f>
        <v>337.5</v>
      </c>
      <c r="AU376" s="26">
        <f>AVERAGE(702,430,413,518)</f>
        <v>515.75</v>
      </c>
      <c r="AV376" s="26" t="s">
        <v>651</v>
      </c>
      <c r="AW376" s="25" t="s">
        <v>894</v>
      </c>
      <c r="AX376" s="26" t="s">
        <v>13</v>
      </c>
      <c r="AY376" s="6" t="s">
        <v>888</v>
      </c>
      <c r="AZ376" s="97" t="s">
        <v>13</v>
      </c>
      <c r="BA376" s="62">
        <v>50.704999999999998</v>
      </c>
      <c r="BD376" s="26">
        <v>1157.47112389621</v>
      </c>
      <c r="BE376" s="25" t="s">
        <v>239</v>
      </c>
      <c r="BF376" s="26">
        <f t="shared" si="150"/>
        <v>1051.782914450589</v>
      </c>
      <c r="BG376" s="26">
        <f t="shared" si="151"/>
        <v>1267.9814317915</v>
      </c>
      <c r="BH376" s="83" t="s">
        <v>738</v>
      </c>
      <c r="BI376" s="25" t="s">
        <v>430</v>
      </c>
      <c r="BJ376" s="26">
        <v>946.09470500496798</v>
      </c>
      <c r="BK376" s="26">
        <v>1378.49173968679</v>
      </c>
      <c r="BL376" s="26" t="s">
        <v>13</v>
      </c>
      <c r="BM376" s="25" t="s">
        <v>13</v>
      </c>
      <c r="BO376" s="25"/>
      <c r="CA376" s="25" t="s">
        <v>13</v>
      </c>
      <c r="CC376" s="25" t="s">
        <v>13</v>
      </c>
    </row>
    <row r="377" spans="1:81">
      <c r="A377" s="6" t="s">
        <v>314</v>
      </c>
      <c r="B377" s="25" t="s">
        <v>294</v>
      </c>
      <c r="C377" s="76">
        <v>130.19999999999999</v>
      </c>
      <c r="D377" s="62"/>
      <c r="E377" s="62"/>
      <c r="F377" s="22">
        <f t="shared" si="136"/>
        <v>1023.2</v>
      </c>
      <c r="G377" s="23" t="s">
        <v>389</v>
      </c>
      <c r="H377" s="23">
        <f t="shared" si="142"/>
        <v>511.6</v>
      </c>
      <c r="I377" s="23">
        <f t="shared" si="143"/>
        <v>2046.4</v>
      </c>
      <c r="J377" s="23" t="s">
        <v>481</v>
      </c>
      <c r="K377" s="23" t="s">
        <v>346</v>
      </c>
      <c r="L377" s="21">
        <v>1279</v>
      </c>
      <c r="O377" s="25">
        <v>2500</v>
      </c>
      <c r="P377" s="25">
        <v>2000</v>
      </c>
      <c r="Q377" s="25" t="s">
        <v>381</v>
      </c>
      <c r="R377" s="26" t="s">
        <v>13</v>
      </c>
      <c r="S377" s="6" t="s">
        <v>1131</v>
      </c>
      <c r="T377" s="44" t="s">
        <v>1142</v>
      </c>
      <c r="U377" s="62">
        <v>53</v>
      </c>
      <c r="V377" s="62">
        <v>53.5</v>
      </c>
      <c r="W377" s="62">
        <v>50</v>
      </c>
      <c r="X377" s="26">
        <v>966.16500825385901</v>
      </c>
      <c r="Y377" s="26" t="s">
        <v>389</v>
      </c>
      <c r="Z377" s="26">
        <f t="shared" si="145"/>
        <v>676.31550577770122</v>
      </c>
      <c r="AA377" s="26">
        <f t="shared" si="146"/>
        <v>1449.2475123807885</v>
      </c>
      <c r="AB377" s="25" t="s">
        <v>1191</v>
      </c>
      <c r="AC377" s="77" t="s">
        <v>400</v>
      </c>
      <c r="AF377" s="26" t="s">
        <v>1250</v>
      </c>
      <c r="AG377" s="25" t="s">
        <v>13</v>
      </c>
      <c r="AH377" s="6" t="s">
        <v>871</v>
      </c>
      <c r="AI377" s="25" t="s">
        <v>872</v>
      </c>
      <c r="AJ377" s="62">
        <v>273.31</v>
      </c>
      <c r="AK377" s="62">
        <f>AJ377+0.5</f>
        <v>273.81</v>
      </c>
      <c r="AL377" s="62">
        <f>AJ377-0.5</f>
        <v>272.81</v>
      </c>
      <c r="AM377" s="26">
        <f t="shared" si="147"/>
        <v>735</v>
      </c>
      <c r="AN377" s="26" t="s">
        <v>239</v>
      </c>
      <c r="AO377" s="29">
        <f t="shared" si="152"/>
        <v>594</v>
      </c>
      <c r="AP377" s="29">
        <f t="shared" si="152"/>
        <v>915.25</v>
      </c>
      <c r="AQ377" s="29" t="s">
        <v>512</v>
      </c>
      <c r="AR377" s="23" t="s">
        <v>400</v>
      </c>
      <c r="AS377" s="26">
        <f>AVERAGE(772,760,690,718)</f>
        <v>735</v>
      </c>
      <c r="AT377" s="26">
        <f>AVERAGE(634,602,559,581)</f>
        <v>594</v>
      </c>
      <c r="AU377" s="26">
        <f>AVERAGE(936,977,865,883)</f>
        <v>915.25</v>
      </c>
      <c r="AV377" s="26" t="s">
        <v>651</v>
      </c>
      <c r="AW377" s="25" t="s">
        <v>894</v>
      </c>
      <c r="AX377" s="26" t="s">
        <v>13</v>
      </c>
      <c r="AY377" s="6" t="s">
        <v>888</v>
      </c>
      <c r="AZ377" s="97" t="s">
        <v>13</v>
      </c>
      <c r="BA377" s="62">
        <v>50.856000000000002</v>
      </c>
      <c r="BD377" s="26">
        <v>1135.37905734027</v>
      </c>
      <c r="BE377" s="25" t="s">
        <v>239</v>
      </c>
      <c r="BF377" s="26">
        <f t="shared" si="150"/>
        <v>1041.6441646251151</v>
      </c>
      <c r="BG377" s="26">
        <f t="shared" si="151"/>
        <v>1253.0243354407301</v>
      </c>
      <c r="BH377" s="83" t="s">
        <v>887</v>
      </c>
      <c r="BI377" s="25" t="s">
        <v>430</v>
      </c>
      <c r="BJ377" s="26">
        <v>947.90927190996001</v>
      </c>
      <c r="BK377" s="26">
        <v>1370.6696135411901</v>
      </c>
      <c r="BL377" s="26" t="s">
        <v>13</v>
      </c>
      <c r="BM377" s="25" t="s">
        <v>13</v>
      </c>
      <c r="BO377" s="25"/>
      <c r="CA377" s="25" t="s">
        <v>13</v>
      </c>
      <c r="CC377" s="25" t="s">
        <v>13</v>
      </c>
    </row>
    <row r="378" spans="1:81">
      <c r="A378" s="6" t="s">
        <v>314</v>
      </c>
      <c r="B378" s="25" t="s">
        <v>294</v>
      </c>
      <c r="C378" s="76">
        <v>130.80000000000001</v>
      </c>
      <c r="D378" s="62"/>
      <c r="E378" s="62"/>
      <c r="F378" s="22">
        <f t="shared" si="136"/>
        <v>842.4</v>
      </c>
      <c r="G378" s="23" t="s">
        <v>389</v>
      </c>
      <c r="H378" s="23">
        <f t="shared" si="142"/>
        <v>421.2</v>
      </c>
      <c r="I378" s="23">
        <f t="shared" si="143"/>
        <v>1684.8</v>
      </c>
      <c r="J378" s="23" t="s">
        <v>481</v>
      </c>
      <c r="K378" s="23" t="s">
        <v>346</v>
      </c>
      <c r="L378" s="21">
        <v>1053</v>
      </c>
      <c r="O378" s="25">
        <v>2500</v>
      </c>
      <c r="P378" s="25">
        <v>2000</v>
      </c>
      <c r="Q378" s="25" t="s">
        <v>382</v>
      </c>
      <c r="R378" s="26" t="s">
        <v>13</v>
      </c>
      <c r="S378" s="6" t="s">
        <v>1131</v>
      </c>
      <c r="T378" s="44" t="s">
        <v>1142</v>
      </c>
      <c r="U378" s="62">
        <v>53</v>
      </c>
      <c r="V378" s="62">
        <v>53.5</v>
      </c>
      <c r="W378" s="62">
        <v>50</v>
      </c>
      <c r="X378" s="26">
        <v>872.20414877877909</v>
      </c>
      <c r="Y378" s="26" t="s">
        <v>389</v>
      </c>
      <c r="Z378" s="26">
        <f t="shared" si="145"/>
        <v>610.54290414514537</v>
      </c>
      <c r="AA378" s="26">
        <f t="shared" si="146"/>
        <v>1308.3062231681686</v>
      </c>
      <c r="AB378" s="25" t="s">
        <v>1191</v>
      </c>
      <c r="AC378" s="77" t="s">
        <v>400</v>
      </c>
      <c r="AF378" s="26" t="s">
        <v>1251</v>
      </c>
      <c r="AG378" s="25" t="s">
        <v>13</v>
      </c>
      <c r="AH378" s="6" t="s">
        <v>1084</v>
      </c>
      <c r="AI378" s="25" t="s">
        <v>1085</v>
      </c>
      <c r="AJ378" s="62">
        <f>AVERAGE(AK378:AL378)</f>
        <v>199.9</v>
      </c>
      <c r="AK378" s="62">
        <v>200.5</v>
      </c>
      <c r="AL378" s="62">
        <v>199.3</v>
      </c>
      <c r="AM378" s="29">
        <f>AVERAGE(AO378:AP378)</f>
        <v>1050</v>
      </c>
      <c r="AN378" s="39" t="s">
        <v>389</v>
      </c>
      <c r="AO378" s="26">
        <f>AP378/2</f>
        <v>700</v>
      </c>
      <c r="AP378" s="29">
        <f>AS378</f>
        <v>1400</v>
      </c>
      <c r="AQ378" s="29" t="s">
        <v>1086</v>
      </c>
      <c r="AR378" s="29" t="s">
        <v>422</v>
      </c>
      <c r="AS378" s="26">
        <v>1400</v>
      </c>
      <c r="AT378" s="26">
        <f>AS378-200</f>
        <v>1200</v>
      </c>
      <c r="AU378" s="26">
        <f>AS378+200</f>
        <v>1600</v>
      </c>
      <c r="AV378" s="26" t="s">
        <v>60</v>
      </c>
      <c r="AW378" s="110" t="s">
        <v>1087</v>
      </c>
      <c r="AX378" s="26" t="s">
        <v>13</v>
      </c>
      <c r="AY378" s="6" t="s">
        <v>888</v>
      </c>
      <c r="AZ378" s="97" t="s">
        <v>13</v>
      </c>
      <c r="BA378" s="62">
        <v>51.98</v>
      </c>
      <c r="BD378" s="26">
        <v>1285.0984415114801</v>
      </c>
      <c r="BE378" s="25" t="s">
        <v>239</v>
      </c>
      <c r="BF378" s="26">
        <f t="shared" si="150"/>
        <v>1176.3210056135949</v>
      </c>
      <c r="BG378" s="26">
        <f t="shared" si="151"/>
        <v>1428.4936856295851</v>
      </c>
      <c r="BH378" s="83" t="s">
        <v>738</v>
      </c>
      <c r="BI378" s="25" t="s">
        <v>430</v>
      </c>
      <c r="BJ378" s="26">
        <v>1067.54356971571</v>
      </c>
      <c r="BK378" s="26">
        <v>1571.8889297476901</v>
      </c>
      <c r="BL378" s="26" t="s">
        <v>13</v>
      </c>
      <c r="BM378" s="25" t="s">
        <v>13</v>
      </c>
      <c r="BO378" s="25"/>
      <c r="CA378" s="25" t="s">
        <v>13</v>
      </c>
      <c r="CC378" s="25" t="s">
        <v>13</v>
      </c>
    </row>
    <row r="379" spans="1:81">
      <c r="A379" s="6" t="s">
        <v>314</v>
      </c>
      <c r="B379" s="25" t="s">
        <v>294</v>
      </c>
      <c r="C379" s="76">
        <v>131.30000000000001</v>
      </c>
      <c r="D379" s="62"/>
      <c r="E379" s="62"/>
      <c r="F379" s="22">
        <f t="shared" si="136"/>
        <v>1909.6</v>
      </c>
      <c r="G379" s="23" t="s">
        <v>389</v>
      </c>
      <c r="H379" s="23">
        <f t="shared" si="142"/>
        <v>954.8</v>
      </c>
      <c r="I379" s="23">
        <f t="shared" si="143"/>
        <v>3819.2</v>
      </c>
      <c r="J379" s="23" t="s">
        <v>481</v>
      </c>
      <c r="K379" s="23" t="s">
        <v>346</v>
      </c>
      <c r="L379" s="21">
        <v>2387</v>
      </c>
      <c r="O379" s="25">
        <v>2500</v>
      </c>
      <c r="P379" s="25">
        <v>2000</v>
      </c>
      <c r="Q379" s="25" t="s">
        <v>383</v>
      </c>
      <c r="R379" s="26" t="s">
        <v>13</v>
      </c>
      <c r="S379" s="6" t="s">
        <v>1131</v>
      </c>
      <c r="T379" s="44" t="s">
        <v>1142</v>
      </c>
      <c r="U379" s="62">
        <v>53</v>
      </c>
      <c r="V379" s="62">
        <v>53.5</v>
      </c>
      <c r="W379" s="62">
        <v>50</v>
      </c>
      <c r="X379" s="26">
        <v>889.49799270439746</v>
      </c>
      <c r="Y379" s="26" t="s">
        <v>389</v>
      </c>
      <c r="Z379" s="26">
        <f t="shared" si="145"/>
        <v>622.64859489307821</v>
      </c>
      <c r="AA379" s="26">
        <f t="shared" si="146"/>
        <v>1334.2469890565962</v>
      </c>
      <c r="AB379" s="25" t="s">
        <v>1191</v>
      </c>
      <c r="AC379" s="77" t="s">
        <v>400</v>
      </c>
      <c r="AF379" s="26" t="s">
        <v>1252</v>
      </c>
      <c r="AG379" s="25" t="s">
        <v>13</v>
      </c>
      <c r="AH379" s="6" t="s">
        <v>1084</v>
      </c>
      <c r="AI379" s="25" t="s">
        <v>1088</v>
      </c>
      <c r="AJ379" s="62">
        <f t="shared" ref="AJ379:AJ383" si="153">AVERAGE(AK379:AL379)</f>
        <v>199.9</v>
      </c>
      <c r="AK379" s="62">
        <v>200.5</v>
      </c>
      <c r="AL379" s="62">
        <v>199.3</v>
      </c>
      <c r="AM379" s="29">
        <f t="shared" ref="AM379:AM383" si="154">AVERAGE(AO379:AP379)</f>
        <v>1125</v>
      </c>
      <c r="AN379" s="39" t="s">
        <v>389</v>
      </c>
      <c r="AO379" s="26">
        <f t="shared" ref="AO379:AO383" si="155">AP379/2</f>
        <v>750</v>
      </c>
      <c r="AP379" s="29">
        <f t="shared" ref="AP379:AP383" si="156">AS379</f>
        <v>1500</v>
      </c>
      <c r="AQ379" s="29" t="s">
        <v>1086</v>
      </c>
      <c r="AR379" s="29" t="s">
        <v>422</v>
      </c>
      <c r="AS379" s="26">
        <v>1500</v>
      </c>
      <c r="AT379" s="26">
        <f>AS379-400</f>
        <v>1100</v>
      </c>
      <c r="AU379" s="26">
        <f>AS379+400</f>
        <v>1900</v>
      </c>
      <c r="AV379" s="26" t="s">
        <v>60</v>
      </c>
      <c r="AW379" s="110" t="s">
        <v>1089</v>
      </c>
      <c r="AX379" s="26" t="s">
        <v>13</v>
      </c>
      <c r="AY379" s="6" t="s">
        <v>888</v>
      </c>
      <c r="AZ379" s="97" t="s">
        <v>13</v>
      </c>
      <c r="BA379" s="62">
        <v>51.98</v>
      </c>
      <c r="BD379" s="26">
        <v>1011.62153068053</v>
      </c>
      <c r="BE379" s="25" t="s">
        <v>239</v>
      </c>
      <c r="BF379" s="26">
        <f t="shared" si="150"/>
        <v>925.9902268172815</v>
      </c>
      <c r="BG379" s="26">
        <f t="shared" si="151"/>
        <v>1115.29583792576</v>
      </c>
      <c r="BH379" s="83" t="s">
        <v>887</v>
      </c>
      <c r="BI379" s="25" t="s">
        <v>430</v>
      </c>
      <c r="BJ379" s="26">
        <v>840.35892295403301</v>
      </c>
      <c r="BK379" s="26">
        <v>1218.97014517099</v>
      </c>
      <c r="BL379" s="26" t="s">
        <v>13</v>
      </c>
      <c r="BM379" s="25" t="s">
        <v>13</v>
      </c>
      <c r="BO379" s="25"/>
      <c r="CA379" s="25" t="s">
        <v>13</v>
      </c>
      <c r="CC379" s="25" t="s">
        <v>13</v>
      </c>
    </row>
    <row r="380" spans="1:81">
      <c r="A380" s="6" t="s">
        <v>314</v>
      </c>
      <c r="B380" s="25" t="s">
        <v>294</v>
      </c>
      <c r="C380" s="76">
        <v>132</v>
      </c>
      <c r="D380" s="62"/>
      <c r="E380" s="62"/>
      <c r="F380" s="22">
        <f t="shared" si="136"/>
        <v>2561.6</v>
      </c>
      <c r="G380" s="23" t="s">
        <v>389</v>
      </c>
      <c r="H380" s="23">
        <f t="shared" si="142"/>
        <v>1280.8</v>
      </c>
      <c r="I380" s="23">
        <f t="shared" si="143"/>
        <v>5123.2</v>
      </c>
      <c r="J380" s="23" t="s">
        <v>481</v>
      </c>
      <c r="K380" s="23" t="s">
        <v>346</v>
      </c>
      <c r="L380" s="21">
        <v>3202</v>
      </c>
      <c r="O380" s="25">
        <v>2500</v>
      </c>
      <c r="P380" s="25">
        <v>2000</v>
      </c>
      <c r="Q380" s="25" t="s">
        <v>384</v>
      </c>
      <c r="R380" s="26" t="s">
        <v>13</v>
      </c>
      <c r="S380" s="6" t="s">
        <v>1131</v>
      </c>
      <c r="T380" s="44" t="s">
        <v>1142</v>
      </c>
      <c r="U380" s="62">
        <v>54</v>
      </c>
      <c r="V380" s="62">
        <v>56</v>
      </c>
      <c r="W380" s="62">
        <v>54</v>
      </c>
      <c r="X380" s="26">
        <v>1472.2529650286142</v>
      </c>
      <c r="Y380" s="26" t="s">
        <v>389</v>
      </c>
      <c r="Z380" s="26">
        <f t="shared" si="145"/>
        <v>1030.5770755200299</v>
      </c>
      <c r="AA380" s="26">
        <f t="shared" si="146"/>
        <v>2208.3794475429213</v>
      </c>
      <c r="AB380" s="25" t="s">
        <v>1191</v>
      </c>
      <c r="AC380" s="77" t="s">
        <v>400</v>
      </c>
      <c r="AF380" s="26" t="s">
        <v>1253</v>
      </c>
      <c r="AG380" s="25" t="s">
        <v>13</v>
      </c>
      <c r="AH380" s="6" t="s">
        <v>1084</v>
      </c>
      <c r="AI380" s="25" t="s">
        <v>1090</v>
      </c>
      <c r="AJ380" s="62">
        <f t="shared" si="153"/>
        <v>199.9</v>
      </c>
      <c r="AK380" s="62">
        <v>200.5</v>
      </c>
      <c r="AL380" s="62">
        <v>199.3</v>
      </c>
      <c r="AM380" s="29">
        <f t="shared" si="154"/>
        <v>900</v>
      </c>
      <c r="AN380" s="39" t="s">
        <v>389</v>
      </c>
      <c r="AO380" s="26">
        <f t="shared" si="155"/>
        <v>600</v>
      </c>
      <c r="AP380" s="29">
        <f t="shared" si="156"/>
        <v>1200</v>
      </c>
      <c r="AQ380" s="29" t="s">
        <v>1086</v>
      </c>
      <c r="AR380" s="29" t="s">
        <v>422</v>
      </c>
      <c r="AS380" s="26">
        <v>1200</v>
      </c>
      <c r="AT380" s="26">
        <f>AS380-150</f>
        <v>1050</v>
      </c>
      <c r="AU380" s="26">
        <f>AS380+150</f>
        <v>1350</v>
      </c>
      <c r="AV380" s="26" t="s">
        <v>60</v>
      </c>
      <c r="AW380" s="110" t="s">
        <v>1089</v>
      </c>
      <c r="AX380" s="26"/>
      <c r="AY380" s="6" t="s">
        <v>888</v>
      </c>
      <c r="AZ380" s="97" t="s">
        <v>13</v>
      </c>
      <c r="BA380" s="62">
        <v>53.628</v>
      </c>
      <c r="BD380" s="26">
        <v>1027.7586666966999</v>
      </c>
      <c r="BE380" s="25" t="s">
        <v>239</v>
      </c>
      <c r="BF380" s="26">
        <f t="shared" si="150"/>
        <v>938.23146053295955</v>
      </c>
      <c r="BG380" s="26">
        <f t="shared" si="151"/>
        <v>1135.1109567348249</v>
      </c>
      <c r="BH380" s="83" t="s">
        <v>738</v>
      </c>
      <c r="BI380" s="25" t="s">
        <v>430</v>
      </c>
      <c r="BJ380" s="26">
        <v>848.70425436921903</v>
      </c>
      <c r="BK380" s="26">
        <v>1242.46324677295</v>
      </c>
      <c r="BL380" s="26" t="s">
        <v>13</v>
      </c>
      <c r="BM380" s="25" t="s">
        <v>13</v>
      </c>
      <c r="BO380" s="25"/>
      <c r="CA380" s="25" t="s">
        <v>13</v>
      </c>
      <c r="CC380" s="25" t="s">
        <v>13</v>
      </c>
    </row>
    <row r="381" spans="1:81">
      <c r="A381" s="6" t="s">
        <v>444</v>
      </c>
      <c r="B381" s="25" t="s">
        <v>316</v>
      </c>
      <c r="C381" s="62">
        <v>201.54</v>
      </c>
      <c r="D381" s="62"/>
      <c r="E381" s="62"/>
      <c r="F381" s="25">
        <f t="shared" si="136"/>
        <v>710</v>
      </c>
      <c r="G381" s="23" t="s">
        <v>389</v>
      </c>
      <c r="H381" s="26">
        <f>M381*$P381/$O381</f>
        <v>448.6</v>
      </c>
      <c r="I381" s="26">
        <f>N381*$P381/$O381</f>
        <v>971.4</v>
      </c>
      <c r="J381" s="23" t="s">
        <v>417</v>
      </c>
      <c r="K381" s="23" t="s">
        <v>416</v>
      </c>
      <c r="L381" s="26">
        <v>1065</v>
      </c>
      <c r="M381" s="26">
        <v>672.9</v>
      </c>
      <c r="N381" s="26">
        <v>1457.1</v>
      </c>
      <c r="O381" s="25">
        <v>3000</v>
      </c>
      <c r="P381" s="25">
        <v>2000</v>
      </c>
      <c r="Q381" s="26" t="s">
        <v>393</v>
      </c>
      <c r="R381" s="26" t="s">
        <v>13</v>
      </c>
      <c r="S381" s="6" t="s">
        <v>1131</v>
      </c>
      <c r="T381" s="44" t="s">
        <v>1142</v>
      </c>
      <c r="U381" s="62">
        <v>54</v>
      </c>
      <c r="V381" s="62">
        <v>56</v>
      </c>
      <c r="W381" s="62">
        <v>54</v>
      </c>
      <c r="X381" s="26">
        <v>954.26039280899295</v>
      </c>
      <c r="Y381" s="26" t="s">
        <v>389</v>
      </c>
      <c r="Z381" s="26">
        <f t="shared" si="145"/>
        <v>667.98227496629499</v>
      </c>
      <c r="AA381" s="26">
        <f t="shared" si="146"/>
        <v>1431.3905892134894</v>
      </c>
      <c r="AB381" s="25" t="s">
        <v>1191</v>
      </c>
      <c r="AC381" s="77" t="s">
        <v>400</v>
      </c>
      <c r="AF381" s="26" t="s">
        <v>1254</v>
      </c>
      <c r="AG381" s="25" t="s">
        <v>13</v>
      </c>
      <c r="AH381" s="6" t="s">
        <v>1084</v>
      </c>
      <c r="AI381" s="25" t="s">
        <v>1091</v>
      </c>
      <c r="AJ381" s="62">
        <f t="shared" si="153"/>
        <v>199.9</v>
      </c>
      <c r="AK381" s="62">
        <v>200.5</v>
      </c>
      <c r="AL381" s="62">
        <v>199.3</v>
      </c>
      <c r="AM381" s="29">
        <f t="shared" si="154"/>
        <v>975</v>
      </c>
      <c r="AN381" s="39" t="s">
        <v>389</v>
      </c>
      <c r="AO381" s="26">
        <f t="shared" si="155"/>
        <v>650</v>
      </c>
      <c r="AP381" s="29">
        <f t="shared" si="156"/>
        <v>1300</v>
      </c>
      <c r="AQ381" s="29" t="s">
        <v>1086</v>
      </c>
      <c r="AR381" s="29" t="s">
        <v>422</v>
      </c>
      <c r="AS381" s="26">
        <v>1300</v>
      </c>
      <c r="AT381" s="26">
        <f>AS381-100</f>
        <v>1200</v>
      </c>
      <c r="AU381" s="26">
        <f>AS381+100</f>
        <v>1400</v>
      </c>
      <c r="AV381" s="26" t="s">
        <v>60</v>
      </c>
      <c r="AW381" s="110" t="s">
        <v>1087</v>
      </c>
      <c r="AX381" s="26" t="s">
        <v>13</v>
      </c>
      <c r="AY381" s="6" t="s">
        <v>888</v>
      </c>
      <c r="AZ381" s="97" t="s">
        <v>13</v>
      </c>
      <c r="BA381" s="62">
        <v>54.677999999999997</v>
      </c>
      <c r="BD381" s="26">
        <v>647.83244615184901</v>
      </c>
      <c r="BE381" s="25" t="s">
        <v>239</v>
      </c>
      <c r="BF381" s="26">
        <f t="shared" si="150"/>
        <v>599.08806432664653</v>
      </c>
      <c r="BG381" s="26">
        <f t="shared" si="151"/>
        <v>709.18267907528002</v>
      </c>
      <c r="BH381" s="83" t="s">
        <v>887</v>
      </c>
      <c r="BI381" s="25" t="s">
        <v>430</v>
      </c>
      <c r="BJ381" s="26">
        <v>550.34368250144405</v>
      </c>
      <c r="BK381" s="26">
        <v>770.53291199871103</v>
      </c>
      <c r="BL381" s="26" t="s">
        <v>13</v>
      </c>
      <c r="BM381" s="25" t="s">
        <v>13</v>
      </c>
      <c r="BO381" s="25"/>
      <c r="CA381" s="25" t="s">
        <v>13</v>
      </c>
      <c r="CC381" s="25" t="s">
        <v>13</v>
      </c>
    </row>
    <row r="382" spans="1:81">
      <c r="A382" s="6" t="s">
        <v>444</v>
      </c>
      <c r="B382" s="25" t="s">
        <v>316</v>
      </c>
      <c r="C382" s="62">
        <v>201.76</v>
      </c>
      <c r="D382" s="62"/>
      <c r="E382" s="62"/>
      <c r="F382" s="25">
        <f t="shared" si="136"/>
        <v>1189.5999999999999</v>
      </c>
      <c r="G382" s="23" t="s">
        <v>389</v>
      </c>
      <c r="H382" s="26">
        <f t="shared" ref="H382:I441" si="157">M382*$P382/$O382</f>
        <v>729.6</v>
      </c>
      <c r="I382" s="26">
        <f t="shared" si="157"/>
        <v>1649.6</v>
      </c>
      <c r="J382" s="23" t="s">
        <v>417</v>
      </c>
      <c r="K382" s="23" t="s">
        <v>416</v>
      </c>
      <c r="L382" s="26">
        <v>1784.4</v>
      </c>
      <c r="M382" s="26">
        <v>1094.4000000000001</v>
      </c>
      <c r="N382" s="26">
        <v>2474.4</v>
      </c>
      <c r="O382" s="25">
        <v>3000</v>
      </c>
      <c r="P382" s="25">
        <v>2000</v>
      </c>
      <c r="Q382" s="26" t="s">
        <v>393</v>
      </c>
      <c r="R382" s="26" t="s">
        <v>13</v>
      </c>
      <c r="S382" s="6" t="s">
        <v>1131</v>
      </c>
      <c r="T382" s="44" t="s">
        <v>1142</v>
      </c>
      <c r="U382" s="62">
        <v>54</v>
      </c>
      <c r="V382" s="62">
        <v>56</v>
      </c>
      <c r="W382" s="62">
        <v>54</v>
      </c>
      <c r="X382" s="26">
        <v>881.44750646221678</v>
      </c>
      <c r="Y382" s="26" t="s">
        <v>389</v>
      </c>
      <c r="Z382" s="26">
        <f t="shared" si="145"/>
        <v>617.01325452355172</v>
      </c>
      <c r="AA382" s="26">
        <f t="shared" si="146"/>
        <v>1322.1712596933253</v>
      </c>
      <c r="AB382" s="25" t="s">
        <v>1191</v>
      </c>
      <c r="AC382" s="77" t="s">
        <v>400</v>
      </c>
      <c r="AF382" s="26" t="s">
        <v>1255</v>
      </c>
      <c r="AG382" s="25" t="s">
        <v>13</v>
      </c>
      <c r="AH382" s="6" t="s">
        <v>1084</v>
      </c>
      <c r="AI382" s="25" t="s">
        <v>1092</v>
      </c>
      <c r="AJ382" s="62">
        <f t="shared" si="153"/>
        <v>197.27500000000001</v>
      </c>
      <c r="AK382" s="62">
        <v>199.3</v>
      </c>
      <c r="AL382" s="62">
        <v>195.25</v>
      </c>
      <c r="AM382" s="29">
        <f t="shared" si="154"/>
        <v>1125</v>
      </c>
      <c r="AN382" s="39" t="s">
        <v>389</v>
      </c>
      <c r="AO382" s="26">
        <f t="shared" si="155"/>
        <v>750</v>
      </c>
      <c r="AP382" s="29">
        <f t="shared" si="156"/>
        <v>1500</v>
      </c>
      <c r="AQ382" s="29" t="s">
        <v>1086</v>
      </c>
      <c r="AR382" s="29" t="s">
        <v>422</v>
      </c>
      <c r="AS382" s="26">
        <v>1500</v>
      </c>
      <c r="AT382" s="26">
        <f>AS382-100</f>
        <v>1400</v>
      </c>
      <c r="AU382" s="26">
        <f>AS382+100</f>
        <v>1600</v>
      </c>
      <c r="AV382" s="26" t="s">
        <v>60</v>
      </c>
      <c r="AW382" s="110" t="s">
        <v>1093</v>
      </c>
      <c r="AX382" s="26" t="s">
        <v>13</v>
      </c>
      <c r="AY382" s="6" t="s">
        <v>888</v>
      </c>
      <c r="AZ382" s="97" t="s">
        <v>13</v>
      </c>
      <c r="BA382" s="62">
        <v>55.540999999999997</v>
      </c>
      <c r="BD382" s="26">
        <v>796.67056478419204</v>
      </c>
      <c r="BE382" s="25" t="s">
        <v>239</v>
      </c>
      <c r="BF382" s="26">
        <f t="shared" si="150"/>
        <v>733.14887607030653</v>
      </c>
      <c r="BG382" s="26">
        <f t="shared" si="151"/>
        <v>878.18823963837053</v>
      </c>
      <c r="BH382" s="83" t="s">
        <v>738</v>
      </c>
      <c r="BI382" s="25" t="s">
        <v>430</v>
      </c>
      <c r="BJ382" s="26">
        <v>669.62718735642102</v>
      </c>
      <c r="BK382" s="26">
        <v>959.70591449254903</v>
      </c>
      <c r="BL382" s="26" t="s">
        <v>13</v>
      </c>
      <c r="BM382" s="25" t="s">
        <v>13</v>
      </c>
      <c r="CA382" s="25" t="s">
        <v>13</v>
      </c>
      <c r="CC382" s="25" t="s">
        <v>13</v>
      </c>
    </row>
    <row r="383" spans="1:81">
      <c r="A383" s="6" t="s">
        <v>444</v>
      </c>
      <c r="B383" s="25" t="s">
        <v>316</v>
      </c>
      <c r="C383" s="62">
        <v>201.84</v>
      </c>
      <c r="D383" s="62"/>
      <c r="E383" s="62"/>
      <c r="F383" s="25">
        <f t="shared" si="136"/>
        <v>1494.7333333333333</v>
      </c>
      <c r="G383" s="23" t="s">
        <v>389</v>
      </c>
      <c r="H383" s="26">
        <f t="shared" si="157"/>
        <v>911.13333333333321</v>
      </c>
      <c r="I383" s="26">
        <f t="shared" si="157"/>
        <v>2078.3333333333335</v>
      </c>
      <c r="J383" s="23" t="s">
        <v>417</v>
      </c>
      <c r="K383" s="23" t="s">
        <v>416</v>
      </c>
      <c r="L383" s="26">
        <v>2242.1</v>
      </c>
      <c r="M383" s="26">
        <v>1366.6999999999998</v>
      </c>
      <c r="N383" s="26">
        <v>3117.5</v>
      </c>
      <c r="O383" s="25">
        <v>3000</v>
      </c>
      <c r="P383" s="25">
        <v>2000</v>
      </c>
      <c r="Q383" s="26" t="s">
        <v>393</v>
      </c>
      <c r="R383" s="26" t="s">
        <v>13</v>
      </c>
      <c r="S383" s="6" t="s">
        <v>1131</v>
      </c>
      <c r="T383" s="44" t="s">
        <v>1142</v>
      </c>
      <c r="U383" s="62">
        <v>54</v>
      </c>
      <c r="V383" s="62">
        <v>56</v>
      </c>
      <c r="W383" s="62">
        <v>54</v>
      </c>
      <c r="X383" s="26">
        <v>1426.6246918952738</v>
      </c>
      <c r="Y383" s="26" t="s">
        <v>389</v>
      </c>
      <c r="Z383" s="26">
        <f t="shared" si="145"/>
        <v>998.63728432669166</v>
      </c>
      <c r="AA383" s="26">
        <f t="shared" si="146"/>
        <v>2139.9370378429107</v>
      </c>
      <c r="AB383" s="25" t="s">
        <v>1191</v>
      </c>
      <c r="AC383" s="77" t="s">
        <v>400</v>
      </c>
      <c r="AF383" s="26" t="s">
        <v>1256</v>
      </c>
      <c r="AG383" s="25" t="s">
        <v>13</v>
      </c>
      <c r="AH383" s="6" t="s">
        <v>1084</v>
      </c>
      <c r="AI383" s="25" t="s">
        <v>1094</v>
      </c>
      <c r="AJ383" s="62">
        <f t="shared" si="153"/>
        <v>185.1</v>
      </c>
      <c r="AK383" s="62">
        <v>187.5</v>
      </c>
      <c r="AL383" s="62">
        <v>182.7</v>
      </c>
      <c r="AM383" s="29">
        <f t="shared" si="154"/>
        <v>900</v>
      </c>
      <c r="AN383" s="39" t="s">
        <v>389</v>
      </c>
      <c r="AO383" s="26">
        <f t="shared" si="155"/>
        <v>600</v>
      </c>
      <c r="AP383" s="29">
        <f t="shared" si="156"/>
        <v>1200</v>
      </c>
      <c r="AQ383" s="29" t="s">
        <v>1086</v>
      </c>
      <c r="AR383" s="29" t="s">
        <v>422</v>
      </c>
      <c r="AS383" s="26">
        <v>1200</v>
      </c>
      <c r="AT383" s="26">
        <f>AS383-150</f>
        <v>1050</v>
      </c>
      <c r="AU383" s="26">
        <f>AS383+150</f>
        <v>1350</v>
      </c>
      <c r="AV383" s="26" t="s">
        <v>60</v>
      </c>
      <c r="AW383" s="110" t="s">
        <v>1095</v>
      </c>
      <c r="AX383" s="26" t="s">
        <v>13</v>
      </c>
      <c r="AY383" s="6" t="s">
        <v>888</v>
      </c>
      <c r="AZ383" s="97" t="s">
        <v>13</v>
      </c>
      <c r="BA383" s="62">
        <v>35.607546149164918</v>
      </c>
      <c r="BD383" s="26">
        <v>910.30280328803701</v>
      </c>
      <c r="BE383" s="25" t="s">
        <v>239</v>
      </c>
      <c r="BF383" s="26">
        <f t="shared" si="150"/>
        <v>830.07406628591252</v>
      </c>
      <c r="BG383" s="26">
        <f t="shared" si="151"/>
        <v>1000.6382706646335</v>
      </c>
      <c r="BH383" s="83" t="s">
        <v>887</v>
      </c>
      <c r="BI383" s="25" t="s">
        <v>430</v>
      </c>
      <c r="BJ383" s="26">
        <v>749.84532928378803</v>
      </c>
      <c r="BK383" s="26">
        <v>1090.97373804123</v>
      </c>
      <c r="BL383" s="26" t="s">
        <v>13</v>
      </c>
      <c r="BM383" s="25" t="s">
        <v>13</v>
      </c>
      <c r="CA383" s="25" t="s">
        <v>13</v>
      </c>
      <c r="CC383" s="25" t="s">
        <v>13</v>
      </c>
    </row>
    <row r="384" spans="1:81">
      <c r="A384" s="6" t="s">
        <v>444</v>
      </c>
      <c r="B384" s="25" t="s">
        <v>316</v>
      </c>
      <c r="C384" s="62">
        <v>201.91</v>
      </c>
      <c r="D384" s="62"/>
      <c r="E384" s="62"/>
      <c r="F384" s="25">
        <f t="shared" si="136"/>
        <v>1502</v>
      </c>
      <c r="G384" s="23" t="s">
        <v>389</v>
      </c>
      <c r="H384" s="26">
        <f t="shared" si="157"/>
        <v>917.33333333333337</v>
      </c>
      <c r="I384" s="26">
        <f t="shared" si="157"/>
        <v>2086.6666666666665</v>
      </c>
      <c r="J384" s="23" t="s">
        <v>417</v>
      </c>
      <c r="K384" s="23" t="s">
        <v>416</v>
      </c>
      <c r="L384" s="26">
        <v>2253</v>
      </c>
      <c r="M384" s="26">
        <v>1376</v>
      </c>
      <c r="N384" s="26">
        <v>3130</v>
      </c>
      <c r="O384" s="25">
        <v>3000</v>
      </c>
      <c r="P384" s="25">
        <v>2000</v>
      </c>
      <c r="Q384" s="26" t="s">
        <v>393</v>
      </c>
      <c r="R384" s="26" t="s">
        <v>13</v>
      </c>
      <c r="S384" s="6" t="s">
        <v>1131</v>
      </c>
      <c r="T384" s="44" t="s">
        <v>1142</v>
      </c>
      <c r="U384" s="62">
        <v>54</v>
      </c>
      <c r="V384" s="62">
        <v>56</v>
      </c>
      <c r="W384" s="62">
        <v>54</v>
      </c>
      <c r="X384" s="26">
        <v>1383.7482218020671</v>
      </c>
      <c r="Y384" s="26" t="s">
        <v>389</v>
      </c>
      <c r="Z384" s="26">
        <f t="shared" si="145"/>
        <v>968.62375526144683</v>
      </c>
      <c r="AA384" s="26">
        <f t="shared" si="146"/>
        <v>2075.6223327031007</v>
      </c>
      <c r="AB384" s="25" t="s">
        <v>1191</v>
      </c>
      <c r="AC384" s="77" t="s">
        <v>400</v>
      </c>
      <c r="AF384" s="26" t="s">
        <v>1257</v>
      </c>
      <c r="AG384" s="25" t="s">
        <v>13</v>
      </c>
      <c r="AM384" s="26"/>
      <c r="AN384" s="26"/>
      <c r="AO384" s="26"/>
      <c r="AP384" s="26"/>
      <c r="AQ384" s="29"/>
      <c r="AR384" s="26"/>
      <c r="AS384" s="26"/>
      <c r="AT384" s="26"/>
      <c r="AU384" s="26"/>
      <c r="AV384" s="26"/>
      <c r="AX384" s="26" t="s">
        <v>13</v>
      </c>
      <c r="AY384" s="6" t="s">
        <v>888</v>
      </c>
      <c r="AZ384" s="97" t="s">
        <v>13</v>
      </c>
      <c r="BA384" s="62">
        <v>36.39642076317984</v>
      </c>
      <c r="BD384" s="26">
        <v>871.97461896363495</v>
      </c>
      <c r="BE384" s="25" t="s">
        <v>239</v>
      </c>
      <c r="BF384" s="26">
        <f t="shared" si="150"/>
        <v>793.23319561907499</v>
      </c>
      <c r="BG384" s="26">
        <f t="shared" si="151"/>
        <v>971.64903026297748</v>
      </c>
      <c r="BH384" s="83" t="s">
        <v>738</v>
      </c>
      <c r="BI384" s="25" t="s">
        <v>430</v>
      </c>
      <c r="BJ384" s="26">
        <v>714.49177227451503</v>
      </c>
      <c r="BK384" s="26">
        <v>1071.3234415623201</v>
      </c>
      <c r="BL384" s="26" t="s">
        <v>13</v>
      </c>
      <c r="BM384" s="25" t="s">
        <v>13</v>
      </c>
      <c r="CA384" s="25" t="s">
        <v>13</v>
      </c>
      <c r="CC384" s="25" t="s">
        <v>13</v>
      </c>
    </row>
    <row r="385" spans="1:81">
      <c r="A385" s="6" t="s">
        <v>444</v>
      </c>
      <c r="B385" s="25" t="s">
        <v>316</v>
      </c>
      <c r="C385" s="62">
        <v>202.1</v>
      </c>
      <c r="D385" s="62"/>
      <c r="E385" s="62"/>
      <c r="F385" s="25">
        <f t="shared" si="136"/>
        <v>1508.8666666666666</v>
      </c>
      <c r="G385" s="23" t="s">
        <v>389</v>
      </c>
      <c r="H385" s="26">
        <f t="shared" si="157"/>
        <v>925.33333333333348</v>
      </c>
      <c r="I385" s="26">
        <f t="shared" si="157"/>
        <v>2092.4</v>
      </c>
      <c r="J385" s="23" t="s">
        <v>417</v>
      </c>
      <c r="K385" s="23" t="s">
        <v>416</v>
      </c>
      <c r="L385" s="26">
        <v>2263.3000000000002</v>
      </c>
      <c r="M385" s="26">
        <v>1388.0000000000002</v>
      </c>
      <c r="N385" s="26">
        <v>3138.6000000000004</v>
      </c>
      <c r="O385" s="25">
        <v>3000</v>
      </c>
      <c r="P385" s="25">
        <v>2000</v>
      </c>
      <c r="Q385" s="26" t="s">
        <v>393</v>
      </c>
      <c r="R385" s="26" t="s">
        <v>13</v>
      </c>
      <c r="S385" s="6" t="s">
        <v>1131</v>
      </c>
      <c r="T385" s="44" t="s">
        <v>1142</v>
      </c>
      <c r="U385" s="62">
        <v>55</v>
      </c>
      <c r="V385" s="62">
        <v>56</v>
      </c>
      <c r="W385" s="62">
        <v>54</v>
      </c>
      <c r="X385" s="26">
        <v>1343.3819032353972</v>
      </c>
      <c r="Y385" s="26" t="s">
        <v>389</v>
      </c>
      <c r="Z385" s="26">
        <f t="shared" si="145"/>
        <v>940.36733226477793</v>
      </c>
      <c r="AA385" s="26">
        <f t="shared" si="146"/>
        <v>2015.0728548530958</v>
      </c>
      <c r="AB385" s="25" t="s">
        <v>1191</v>
      </c>
      <c r="AC385" s="77" t="s">
        <v>400</v>
      </c>
      <c r="AF385" s="26" t="s">
        <v>1258</v>
      </c>
      <c r="AG385" s="25" t="s">
        <v>13</v>
      </c>
      <c r="AM385" s="26"/>
      <c r="AN385" s="26"/>
      <c r="AO385" s="26"/>
      <c r="AP385" s="26"/>
      <c r="AQ385" s="29"/>
      <c r="AR385" s="26"/>
      <c r="AS385" s="26"/>
      <c r="AT385" s="26"/>
      <c r="AU385" s="26"/>
      <c r="AV385" s="26"/>
      <c r="AX385" s="26" t="s">
        <v>13</v>
      </c>
      <c r="AY385" s="6" t="s">
        <v>888</v>
      </c>
      <c r="AZ385" s="97" t="s">
        <v>13</v>
      </c>
      <c r="BA385" s="62">
        <v>36.963283521536276</v>
      </c>
      <c r="BD385" s="26">
        <v>883.00408334850692</v>
      </c>
      <c r="BE385" s="25" t="s">
        <v>239</v>
      </c>
      <c r="BF385" s="26">
        <f t="shared" si="150"/>
        <v>813.54624001117395</v>
      </c>
      <c r="BG385" s="26">
        <f t="shared" si="151"/>
        <v>978.47934964976344</v>
      </c>
      <c r="BH385" s="83" t="s">
        <v>887</v>
      </c>
      <c r="BI385" s="25" t="s">
        <v>430</v>
      </c>
      <c r="BJ385" s="26">
        <v>744.08839667384098</v>
      </c>
      <c r="BK385" s="26">
        <v>1073.9546159510201</v>
      </c>
      <c r="BL385" s="26" t="s">
        <v>13</v>
      </c>
      <c r="BM385" s="25" t="s">
        <v>13</v>
      </c>
      <c r="CA385" s="25" t="s">
        <v>13</v>
      </c>
      <c r="CC385" s="25" t="s">
        <v>13</v>
      </c>
    </row>
    <row r="386" spans="1:81">
      <c r="A386" s="6" t="s">
        <v>444</v>
      </c>
      <c r="B386" s="25" t="s">
        <v>316</v>
      </c>
      <c r="C386" s="62">
        <v>202.58</v>
      </c>
      <c r="D386" s="62"/>
      <c r="E386" s="62"/>
      <c r="F386" s="25">
        <f t="shared" si="136"/>
        <v>1064.5333333333333</v>
      </c>
      <c r="G386" s="23" t="s">
        <v>389</v>
      </c>
      <c r="H386" s="26">
        <f t="shared" si="157"/>
        <v>661.6</v>
      </c>
      <c r="I386" s="26">
        <f t="shared" si="157"/>
        <v>1467.4666666666667</v>
      </c>
      <c r="J386" s="23" t="s">
        <v>417</v>
      </c>
      <c r="K386" s="23" t="s">
        <v>416</v>
      </c>
      <c r="L386" s="26">
        <v>1596.8</v>
      </c>
      <c r="M386" s="26">
        <v>992.4</v>
      </c>
      <c r="N386" s="26">
        <v>2201.1999999999998</v>
      </c>
      <c r="O386" s="25">
        <v>3000</v>
      </c>
      <c r="P386" s="25">
        <v>2000</v>
      </c>
      <c r="Q386" s="26" t="s">
        <v>393</v>
      </c>
      <c r="R386" s="26" t="s">
        <v>13</v>
      </c>
      <c r="S386" s="6" t="s">
        <v>1131</v>
      </c>
      <c r="T386" s="44" t="s">
        <v>1142</v>
      </c>
      <c r="U386" s="62">
        <v>55</v>
      </c>
      <c r="V386" s="62">
        <v>56</v>
      </c>
      <c r="W386" s="62">
        <v>54</v>
      </c>
      <c r="X386" s="26">
        <v>1383.7482218020671</v>
      </c>
      <c r="Y386" s="26" t="s">
        <v>389</v>
      </c>
      <c r="Z386" s="26">
        <f t="shared" si="145"/>
        <v>968.62375526144683</v>
      </c>
      <c r="AA386" s="26">
        <f t="shared" si="146"/>
        <v>2075.6223327031007</v>
      </c>
      <c r="AB386" s="25" t="s">
        <v>1191</v>
      </c>
      <c r="AC386" s="77" t="s">
        <v>400</v>
      </c>
      <c r="AF386" s="26" t="s">
        <v>1259</v>
      </c>
      <c r="AG386" s="25" t="s">
        <v>13</v>
      </c>
      <c r="AM386" s="26"/>
      <c r="AN386" s="26"/>
      <c r="AO386" s="26"/>
      <c r="AP386" s="26"/>
      <c r="AQ386" s="29"/>
      <c r="AR386" s="26"/>
      <c r="AS386" s="26"/>
      <c r="AT386" s="26"/>
      <c r="AU386" s="26"/>
      <c r="AV386" s="26"/>
      <c r="AX386" s="26" t="s">
        <v>13</v>
      </c>
      <c r="AY386" s="6" t="s">
        <v>888</v>
      </c>
      <c r="AZ386" s="97" t="s">
        <v>13</v>
      </c>
      <c r="BA386" s="62">
        <v>36.963283521536276</v>
      </c>
      <c r="BD386" s="26">
        <v>830.59834251235395</v>
      </c>
      <c r="BE386" s="25" t="s">
        <v>239</v>
      </c>
      <c r="BF386" s="26">
        <f t="shared" si="150"/>
        <v>757.33070106069454</v>
      </c>
      <c r="BG386" s="26">
        <f t="shared" si="151"/>
        <v>914.59003761246549</v>
      </c>
      <c r="BH386" s="83" t="s">
        <v>738</v>
      </c>
      <c r="BI386" s="25" t="s">
        <v>430</v>
      </c>
      <c r="BJ386" s="26">
        <v>684.06305960903501</v>
      </c>
      <c r="BK386" s="26">
        <v>998.58173271257692</v>
      </c>
      <c r="BL386" s="26" t="s">
        <v>13</v>
      </c>
      <c r="BM386" s="25" t="s">
        <v>13</v>
      </c>
      <c r="CA386" s="25" t="s">
        <v>13</v>
      </c>
      <c r="CC386" s="25" t="s">
        <v>13</v>
      </c>
    </row>
    <row r="387" spans="1:81">
      <c r="A387" s="6" t="s">
        <v>444</v>
      </c>
      <c r="B387" s="25" t="s">
        <v>316</v>
      </c>
      <c r="C387" s="62">
        <v>202.78</v>
      </c>
      <c r="D387" s="62"/>
      <c r="E387" s="62"/>
      <c r="F387" s="25">
        <f t="shared" si="136"/>
        <v>1613.2666666666667</v>
      </c>
      <c r="G387" s="23" t="s">
        <v>389</v>
      </c>
      <c r="H387" s="26">
        <f t="shared" si="157"/>
        <v>982.13333333333333</v>
      </c>
      <c r="I387" s="26">
        <f t="shared" si="157"/>
        <v>2244.4</v>
      </c>
      <c r="J387" s="23" t="s">
        <v>417</v>
      </c>
      <c r="K387" s="23" t="s">
        <v>416</v>
      </c>
      <c r="L387" s="26">
        <v>2419.9</v>
      </c>
      <c r="M387" s="26">
        <v>1473.2</v>
      </c>
      <c r="N387" s="26">
        <v>3366.6000000000004</v>
      </c>
      <c r="O387" s="25">
        <v>3000</v>
      </c>
      <c r="P387" s="25">
        <v>2000</v>
      </c>
      <c r="Q387" s="26" t="s">
        <v>393</v>
      </c>
      <c r="R387" s="26" t="s">
        <v>13</v>
      </c>
      <c r="S387" s="6" t="s">
        <v>1131</v>
      </c>
      <c r="T387" s="44" t="s">
        <v>1142</v>
      </c>
      <c r="U387" s="62">
        <v>55</v>
      </c>
      <c r="V387" s="62">
        <v>56</v>
      </c>
      <c r="W387" s="62">
        <v>54</v>
      </c>
      <c r="X387" s="26">
        <v>898.58335033862318</v>
      </c>
      <c r="Y387" s="26" t="s">
        <v>389</v>
      </c>
      <c r="Z387" s="26">
        <f t="shared" si="145"/>
        <v>629.00834523703622</v>
      </c>
      <c r="AA387" s="26">
        <f t="shared" si="146"/>
        <v>1347.8750255079349</v>
      </c>
      <c r="AB387" s="25" t="s">
        <v>1191</v>
      </c>
      <c r="AC387" s="77" t="s">
        <v>400</v>
      </c>
      <c r="AF387" s="26" t="s">
        <v>1260</v>
      </c>
      <c r="AG387" s="25" t="s">
        <v>13</v>
      </c>
      <c r="AM387" s="26"/>
      <c r="AN387" s="26"/>
      <c r="AO387" s="26"/>
      <c r="AP387" s="26"/>
      <c r="AQ387" s="29"/>
      <c r="AR387" s="26"/>
      <c r="AS387" s="26"/>
      <c r="AT387" s="26"/>
      <c r="AU387" s="26"/>
      <c r="AV387" s="26"/>
      <c r="AX387" s="26" t="s">
        <v>13</v>
      </c>
      <c r="AY387" s="6" t="s">
        <v>888</v>
      </c>
      <c r="AZ387" s="97" t="s">
        <v>13</v>
      </c>
      <c r="BA387" s="62">
        <v>37.636080870917574</v>
      </c>
      <c r="BD387" s="26">
        <v>814.00923849256708</v>
      </c>
      <c r="BE387" s="25" t="s">
        <v>239</v>
      </c>
      <c r="BF387" s="26">
        <f t="shared" si="150"/>
        <v>712.05643672129509</v>
      </c>
      <c r="BG387" s="26">
        <f t="shared" si="151"/>
        <v>981.05398354299359</v>
      </c>
      <c r="BH387" s="83" t="s">
        <v>887</v>
      </c>
      <c r="BI387" s="25" t="s">
        <v>430</v>
      </c>
      <c r="BJ387" s="26">
        <v>610.10363495002298</v>
      </c>
      <c r="BK387" s="26">
        <v>1148.09872859342</v>
      </c>
      <c r="BL387" s="26" t="s">
        <v>13</v>
      </c>
      <c r="BM387" s="25" t="s">
        <v>13</v>
      </c>
      <c r="CA387" s="25" t="s">
        <v>13</v>
      </c>
      <c r="CC387" s="25" t="s">
        <v>13</v>
      </c>
    </row>
    <row r="388" spans="1:81">
      <c r="A388" s="6" t="s">
        <v>444</v>
      </c>
      <c r="B388" s="25" t="s">
        <v>316</v>
      </c>
      <c r="C388" s="62">
        <v>203.34</v>
      </c>
      <c r="D388" s="62"/>
      <c r="E388" s="62"/>
      <c r="F388" s="25">
        <f t="shared" si="136"/>
        <v>1486.8</v>
      </c>
      <c r="G388" s="23" t="s">
        <v>389</v>
      </c>
      <c r="H388" s="26">
        <f t="shared" si="157"/>
        <v>907.26666666666654</v>
      </c>
      <c r="I388" s="26">
        <f t="shared" si="157"/>
        <v>2066.3333333333335</v>
      </c>
      <c r="J388" s="23" t="s">
        <v>417</v>
      </c>
      <c r="K388" s="23" t="s">
        <v>416</v>
      </c>
      <c r="L388" s="26">
        <v>2230.1999999999998</v>
      </c>
      <c r="M388" s="26">
        <v>1360.8999999999999</v>
      </c>
      <c r="N388" s="26">
        <v>3099.5</v>
      </c>
      <c r="O388" s="25">
        <v>3000</v>
      </c>
      <c r="P388" s="25">
        <v>2000</v>
      </c>
      <c r="Q388" s="26" t="s">
        <v>393</v>
      </c>
      <c r="R388" s="26" t="s">
        <v>13</v>
      </c>
      <c r="S388" s="6" t="s">
        <v>1131</v>
      </c>
      <c r="T388" s="44" t="s">
        <v>1142</v>
      </c>
      <c r="U388" s="62">
        <v>55</v>
      </c>
      <c r="V388" s="62">
        <v>56</v>
      </c>
      <c r="W388" s="62">
        <v>54</v>
      </c>
      <c r="X388" s="26">
        <v>1089.3841265786425</v>
      </c>
      <c r="Y388" s="26" t="s">
        <v>389</v>
      </c>
      <c r="Z388" s="26">
        <f t="shared" si="145"/>
        <v>762.56888860504966</v>
      </c>
      <c r="AA388" s="26">
        <f t="shared" si="146"/>
        <v>1634.0761898679639</v>
      </c>
      <c r="AB388" s="25" t="s">
        <v>1191</v>
      </c>
      <c r="AC388" s="77" t="s">
        <v>400</v>
      </c>
      <c r="AF388" s="26" t="s">
        <v>1261</v>
      </c>
      <c r="AG388" s="25" t="s">
        <v>13</v>
      </c>
      <c r="AM388" s="26"/>
      <c r="AN388" s="26"/>
      <c r="AO388" s="26"/>
      <c r="AP388" s="26"/>
      <c r="AQ388" s="29"/>
      <c r="AR388" s="26"/>
      <c r="AS388" s="26"/>
      <c r="AT388" s="26"/>
      <c r="AU388" s="26"/>
      <c r="AV388" s="26"/>
      <c r="AX388" s="26" t="s">
        <v>13</v>
      </c>
      <c r="AY388" s="6" t="s">
        <v>888</v>
      </c>
      <c r="AZ388" s="97" t="s">
        <v>13</v>
      </c>
      <c r="BA388" s="62">
        <v>38.109405639326525</v>
      </c>
      <c r="BD388" s="26">
        <v>898.79664636703501</v>
      </c>
      <c r="BE388" s="25" t="s">
        <v>239</v>
      </c>
      <c r="BF388" s="26">
        <f t="shared" si="150"/>
        <v>818.61502653442153</v>
      </c>
      <c r="BG388" s="26">
        <f t="shared" si="151"/>
        <v>1003.4343554823924</v>
      </c>
      <c r="BH388" s="83" t="s">
        <v>738</v>
      </c>
      <c r="BI388" s="25" t="s">
        <v>430</v>
      </c>
      <c r="BJ388" s="26">
        <v>738.43340670180805</v>
      </c>
      <c r="BK388" s="26">
        <v>1108.0720645977499</v>
      </c>
      <c r="BL388" s="26" t="s">
        <v>13</v>
      </c>
      <c r="BM388" s="25" t="s">
        <v>13</v>
      </c>
      <c r="CA388" s="25" t="s">
        <v>13</v>
      </c>
      <c r="CC388" s="25" t="s">
        <v>13</v>
      </c>
    </row>
    <row r="389" spans="1:81">
      <c r="A389" s="6" t="s">
        <v>444</v>
      </c>
      <c r="B389" s="25" t="s">
        <v>316</v>
      </c>
      <c r="C389" s="62">
        <v>203.54</v>
      </c>
      <c r="D389" s="62"/>
      <c r="E389" s="62"/>
      <c r="F389" s="25">
        <f t="shared" si="136"/>
        <v>1297.8666666666666</v>
      </c>
      <c r="G389" s="23" t="s">
        <v>389</v>
      </c>
      <c r="H389" s="26">
        <f t="shared" si="157"/>
        <v>800.93333333333328</v>
      </c>
      <c r="I389" s="26">
        <f t="shared" si="157"/>
        <v>1794.8</v>
      </c>
      <c r="J389" s="23" t="s">
        <v>417</v>
      </c>
      <c r="K389" s="23" t="s">
        <v>416</v>
      </c>
      <c r="L389" s="26">
        <v>1946.8</v>
      </c>
      <c r="M389" s="26">
        <v>1201.4000000000001</v>
      </c>
      <c r="N389" s="26">
        <v>2692.2</v>
      </c>
      <c r="O389" s="25">
        <v>3000</v>
      </c>
      <c r="P389" s="25">
        <v>2000</v>
      </c>
      <c r="Q389" s="26" t="s">
        <v>393</v>
      </c>
      <c r="R389" s="26" t="s">
        <v>13</v>
      </c>
      <c r="S389" s="6" t="s">
        <v>1131</v>
      </c>
      <c r="T389" s="44" t="s">
        <v>1142</v>
      </c>
      <c r="U389" s="62">
        <v>56</v>
      </c>
      <c r="V389" s="62">
        <v>56</v>
      </c>
      <c r="W389" s="62">
        <v>54</v>
      </c>
      <c r="X389" s="26">
        <v>1343.3819032353972</v>
      </c>
      <c r="Y389" s="26" t="s">
        <v>389</v>
      </c>
      <c r="Z389" s="26">
        <f t="shared" si="145"/>
        <v>940.36733226477793</v>
      </c>
      <c r="AA389" s="26">
        <f t="shared" si="146"/>
        <v>2015.0728548530958</v>
      </c>
      <c r="AB389" s="25" t="s">
        <v>1191</v>
      </c>
      <c r="AC389" s="77" t="s">
        <v>400</v>
      </c>
      <c r="AF389" s="26" t="s">
        <v>1262</v>
      </c>
      <c r="AG389" s="25" t="s">
        <v>13</v>
      </c>
      <c r="AM389" s="26"/>
      <c r="AN389" s="26"/>
      <c r="AO389" s="26"/>
      <c r="AP389" s="26"/>
      <c r="AQ389" s="29"/>
      <c r="AR389" s="26"/>
      <c r="AS389" s="26"/>
      <c r="AT389" s="26"/>
      <c r="AU389" s="26"/>
      <c r="AV389" s="26"/>
      <c r="AX389" s="26" t="s">
        <v>13</v>
      </c>
      <c r="AY389" s="6" t="s">
        <v>888</v>
      </c>
      <c r="AZ389" s="97" t="s">
        <v>13</v>
      </c>
      <c r="BA389" s="62">
        <v>38.781076024973515</v>
      </c>
      <c r="BD389" s="26">
        <v>893.23335022550896</v>
      </c>
      <c r="BE389" s="25" t="s">
        <v>239</v>
      </c>
      <c r="BF389" s="26">
        <f t="shared" si="150"/>
        <v>814.57431053127846</v>
      </c>
      <c r="BG389" s="26">
        <f t="shared" si="151"/>
        <v>971.43401519820952</v>
      </c>
      <c r="BH389" s="83" t="s">
        <v>887</v>
      </c>
      <c r="BI389" s="25" t="s">
        <v>430</v>
      </c>
      <c r="BJ389" s="26">
        <v>735.91527083704796</v>
      </c>
      <c r="BK389" s="26">
        <v>1049.6346801709101</v>
      </c>
      <c r="BL389" s="26" t="s">
        <v>13</v>
      </c>
      <c r="BM389" s="25" t="s">
        <v>13</v>
      </c>
      <c r="CA389" s="25" t="s">
        <v>13</v>
      </c>
      <c r="CC389" s="25" t="s">
        <v>13</v>
      </c>
    </row>
    <row r="390" spans="1:81">
      <c r="A390" s="6" t="s">
        <v>444</v>
      </c>
      <c r="B390" s="25" t="s">
        <v>316</v>
      </c>
      <c r="C390" s="62">
        <v>203.87</v>
      </c>
      <c r="D390" s="62"/>
      <c r="E390" s="62"/>
      <c r="F390" s="25">
        <f t="shared" si="136"/>
        <v>1942.5333333333333</v>
      </c>
      <c r="G390" s="23" t="s">
        <v>389</v>
      </c>
      <c r="H390" s="26">
        <f t="shared" si="157"/>
        <v>1154.5999999999999</v>
      </c>
      <c r="I390" s="26">
        <f t="shared" si="157"/>
        <v>2730.4666666666672</v>
      </c>
      <c r="J390" s="23" t="s">
        <v>417</v>
      </c>
      <c r="K390" s="23" t="s">
        <v>416</v>
      </c>
      <c r="L390" s="26">
        <v>2913.8</v>
      </c>
      <c r="M390" s="26">
        <v>1731.9</v>
      </c>
      <c r="N390" s="26">
        <v>4095.7000000000003</v>
      </c>
      <c r="O390" s="25">
        <v>3000</v>
      </c>
      <c r="P390" s="25">
        <v>2000</v>
      </c>
      <c r="Q390" s="26" t="s">
        <v>393</v>
      </c>
      <c r="R390" s="26" t="s">
        <v>13</v>
      </c>
      <c r="S390" s="6" t="s">
        <v>1131</v>
      </c>
      <c r="T390" s="44" t="s">
        <v>1142</v>
      </c>
      <c r="U390" s="62">
        <v>56</v>
      </c>
      <c r="V390" s="62">
        <v>56</v>
      </c>
      <c r="W390" s="62">
        <v>54</v>
      </c>
      <c r="X390" s="26">
        <v>1383.7482218020671</v>
      </c>
      <c r="Y390" s="26" t="s">
        <v>389</v>
      </c>
      <c r="Z390" s="26">
        <f t="shared" si="145"/>
        <v>968.62375526144683</v>
      </c>
      <c r="AA390" s="26">
        <f t="shared" si="146"/>
        <v>2075.6223327031007</v>
      </c>
      <c r="AB390" s="25" t="s">
        <v>1191</v>
      </c>
      <c r="AC390" s="77" t="s">
        <v>400</v>
      </c>
      <c r="AF390" s="26" t="s">
        <v>1263</v>
      </c>
      <c r="AG390" s="25" t="s">
        <v>13</v>
      </c>
      <c r="AM390" s="26"/>
      <c r="AN390" s="26"/>
      <c r="AO390" s="26"/>
      <c r="AP390" s="26"/>
      <c r="AQ390" s="29"/>
      <c r="AR390" s="26"/>
      <c r="AS390" s="26"/>
      <c r="AT390" s="26"/>
      <c r="AU390" s="26"/>
      <c r="AV390" s="26"/>
      <c r="AX390" s="26" t="s">
        <v>13</v>
      </c>
      <c r="AY390" s="6" t="s">
        <v>888</v>
      </c>
      <c r="AZ390" s="97" t="s">
        <v>13</v>
      </c>
      <c r="BA390" s="62">
        <v>38.781076024973515</v>
      </c>
      <c r="BD390" s="26">
        <v>887.00646628929007</v>
      </c>
      <c r="BE390" s="25" t="s">
        <v>239</v>
      </c>
      <c r="BF390" s="26">
        <f t="shared" si="150"/>
        <v>810.383142662046</v>
      </c>
      <c r="BG390" s="26">
        <f t="shared" si="151"/>
        <v>971.98970220919</v>
      </c>
      <c r="BH390" s="83" t="s">
        <v>738</v>
      </c>
      <c r="BI390" s="25" t="s">
        <v>430</v>
      </c>
      <c r="BJ390" s="26">
        <v>733.75981903480192</v>
      </c>
      <c r="BK390" s="26">
        <v>1056.9729381290899</v>
      </c>
      <c r="BL390" s="26" t="s">
        <v>13</v>
      </c>
      <c r="BM390" s="25" t="s">
        <v>13</v>
      </c>
      <c r="CA390" s="25" t="s">
        <v>13</v>
      </c>
      <c r="CC390" s="25" t="s">
        <v>13</v>
      </c>
    </row>
    <row r="391" spans="1:81">
      <c r="A391" s="6" t="s">
        <v>444</v>
      </c>
      <c r="B391" s="25" t="s">
        <v>316</v>
      </c>
      <c r="C391" s="62">
        <v>204.09</v>
      </c>
      <c r="D391" s="62"/>
      <c r="E391" s="62"/>
      <c r="F391" s="25">
        <f t="shared" si="136"/>
        <v>1021.3333333333334</v>
      </c>
      <c r="G391" s="23" t="s">
        <v>389</v>
      </c>
      <c r="H391" s="26">
        <f t="shared" si="157"/>
        <v>631.86666666666667</v>
      </c>
      <c r="I391" s="26">
        <f t="shared" si="157"/>
        <v>1410.8</v>
      </c>
      <c r="J391" s="23" t="s">
        <v>417</v>
      </c>
      <c r="K391" s="23" t="s">
        <v>416</v>
      </c>
      <c r="L391" s="26">
        <v>1532</v>
      </c>
      <c r="M391" s="26">
        <v>947.8</v>
      </c>
      <c r="N391" s="26">
        <v>2116.1999999999998</v>
      </c>
      <c r="O391" s="25">
        <v>3000</v>
      </c>
      <c r="P391" s="25">
        <v>2000</v>
      </c>
      <c r="Q391" s="26" t="s">
        <v>393</v>
      </c>
      <c r="R391" s="26" t="s">
        <v>13</v>
      </c>
      <c r="S391" s="6" t="s">
        <v>1131</v>
      </c>
      <c r="T391" s="44" t="s">
        <v>1143</v>
      </c>
      <c r="U391" s="62">
        <v>78</v>
      </c>
      <c r="V391" s="62">
        <v>83.6</v>
      </c>
      <c r="W391" s="62">
        <v>72.099999999999994</v>
      </c>
      <c r="X391" s="26">
        <v>991.73882996091913</v>
      </c>
      <c r="Y391" s="26" t="s">
        <v>389</v>
      </c>
      <c r="Z391" s="26">
        <f t="shared" si="145"/>
        <v>694.2171809726434</v>
      </c>
      <c r="AA391" s="26">
        <f t="shared" si="146"/>
        <v>1487.6082449413786</v>
      </c>
      <c r="AB391" s="25" t="s">
        <v>1191</v>
      </c>
      <c r="AC391" s="77" t="s">
        <v>400</v>
      </c>
      <c r="AF391" s="26" t="s">
        <v>1264</v>
      </c>
      <c r="AG391" s="25" t="s">
        <v>13</v>
      </c>
      <c r="AM391" s="26"/>
      <c r="AN391" s="26"/>
      <c r="AO391" s="26"/>
      <c r="AP391" s="26"/>
      <c r="AQ391" s="29"/>
      <c r="AR391" s="26"/>
      <c r="AS391" s="26"/>
      <c r="AT391" s="26"/>
      <c r="AU391" s="26"/>
      <c r="AV391" s="26"/>
      <c r="AX391" s="26" t="s">
        <v>13</v>
      </c>
      <c r="AY391" s="6" t="s">
        <v>888</v>
      </c>
      <c r="AZ391" s="97" t="s">
        <v>13</v>
      </c>
      <c r="BA391" s="62">
        <v>38.781076024973515</v>
      </c>
      <c r="BD391" s="26">
        <v>950.08859292076306</v>
      </c>
      <c r="BE391" s="25" t="s">
        <v>239</v>
      </c>
      <c r="BF391" s="26">
        <f t="shared" si="150"/>
        <v>863.66025207833559</v>
      </c>
      <c r="BG391" s="26">
        <f t="shared" si="151"/>
        <v>1053.9852708104565</v>
      </c>
      <c r="BH391" s="83" t="s">
        <v>887</v>
      </c>
      <c r="BI391" s="25" t="s">
        <v>430</v>
      </c>
      <c r="BJ391" s="26">
        <v>777.231911235908</v>
      </c>
      <c r="BK391" s="26">
        <v>1157.8819487001501</v>
      </c>
      <c r="BL391" s="26" t="s">
        <v>13</v>
      </c>
      <c r="BM391" s="25" t="s">
        <v>13</v>
      </c>
      <c r="CA391" s="25" t="s">
        <v>13</v>
      </c>
      <c r="CC391" s="25" t="s">
        <v>13</v>
      </c>
    </row>
    <row r="392" spans="1:81">
      <c r="A392" s="6" t="s">
        <v>444</v>
      </c>
      <c r="B392" s="25" t="s">
        <v>316</v>
      </c>
      <c r="C392" s="62">
        <v>204.39</v>
      </c>
      <c r="D392" s="62"/>
      <c r="E392" s="62"/>
      <c r="F392" s="25">
        <f t="shared" si="136"/>
        <v>1854.4666666666667</v>
      </c>
      <c r="G392" s="23" t="s">
        <v>389</v>
      </c>
      <c r="H392" s="26">
        <f t="shared" si="157"/>
        <v>1122.4666666666665</v>
      </c>
      <c r="I392" s="26">
        <f t="shared" si="157"/>
        <v>2586.4666666666667</v>
      </c>
      <c r="J392" s="23" t="s">
        <v>417</v>
      </c>
      <c r="K392" s="23" t="s">
        <v>416</v>
      </c>
      <c r="L392" s="26">
        <v>2781.7</v>
      </c>
      <c r="M392" s="26">
        <v>1683.6999999999998</v>
      </c>
      <c r="N392" s="26">
        <v>3879.7</v>
      </c>
      <c r="O392" s="25">
        <v>3000</v>
      </c>
      <c r="P392" s="25">
        <v>2000</v>
      </c>
      <c r="Q392" s="26" t="s">
        <v>393</v>
      </c>
      <c r="R392" s="26" t="s">
        <v>13</v>
      </c>
      <c r="S392" s="6" t="s">
        <v>1131</v>
      </c>
      <c r="T392" s="44" t="s">
        <v>1144</v>
      </c>
      <c r="U392" s="62">
        <v>81</v>
      </c>
      <c r="V392" s="62">
        <v>89.8</v>
      </c>
      <c r="W392" s="62">
        <v>72</v>
      </c>
      <c r="X392" s="26">
        <v>609.55253284932758</v>
      </c>
      <c r="Y392" s="26" t="s">
        <v>389</v>
      </c>
      <c r="Z392" s="26">
        <f t="shared" si="145"/>
        <v>426.68677299452929</v>
      </c>
      <c r="AA392" s="26">
        <f t="shared" si="146"/>
        <v>914.32879927399131</v>
      </c>
      <c r="AB392" s="25" t="s">
        <v>1191</v>
      </c>
      <c r="AC392" s="77" t="s">
        <v>400</v>
      </c>
      <c r="AF392" s="26">
        <v>285978</v>
      </c>
      <c r="AG392" s="25" t="s">
        <v>13</v>
      </c>
      <c r="AM392" s="26"/>
      <c r="AN392" s="26"/>
      <c r="AO392" s="26"/>
      <c r="AP392" s="26"/>
      <c r="AQ392" s="29"/>
      <c r="AR392" s="26"/>
      <c r="AS392" s="26"/>
      <c r="AT392" s="26"/>
      <c r="AU392" s="26"/>
      <c r="AV392" s="26"/>
      <c r="AX392" s="26" t="s">
        <v>13</v>
      </c>
      <c r="AY392" s="6" t="s">
        <v>888</v>
      </c>
      <c r="AZ392" s="97" t="s">
        <v>13</v>
      </c>
      <c r="BA392" s="62">
        <v>38.781076024973515</v>
      </c>
      <c r="BD392" s="26">
        <v>947.83722766744904</v>
      </c>
      <c r="BE392" s="25" t="s">
        <v>239</v>
      </c>
      <c r="BF392" s="26">
        <f t="shared" si="150"/>
        <v>857.68730185019751</v>
      </c>
      <c r="BG392" s="26">
        <f t="shared" si="151"/>
        <v>1043.7933369411144</v>
      </c>
      <c r="BH392" s="83" t="s">
        <v>738</v>
      </c>
      <c r="BI392" s="25" t="s">
        <v>430</v>
      </c>
      <c r="BJ392" s="26">
        <v>767.53737603294599</v>
      </c>
      <c r="BK392" s="26">
        <v>1139.7494462147799</v>
      </c>
      <c r="BL392" s="26" t="s">
        <v>13</v>
      </c>
      <c r="BM392" s="25" t="s">
        <v>13</v>
      </c>
      <c r="CA392" s="25" t="s">
        <v>13</v>
      </c>
      <c r="CC392" s="25" t="s">
        <v>13</v>
      </c>
    </row>
    <row r="393" spans="1:81">
      <c r="A393" s="6" t="s">
        <v>444</v>
      </c>
      <c r="B393" s="25" t="s">
        <v>316</v>
      </c>
      <c r="C393" s="62">
        <v>204.62</v>
      </c>
      <c r="D393" s="62"/>
      <c r="E393" s="62"/>
      <c r="F393" s="25">
        <f t="shared" si="136"/>
        <v>1427.1333333333334</v>
      </c>
      <c r="G393" s="23" t="s">
        <v>389</v>
      </c>
      <c r="H393" s="26">
        <f t="shared" si="157"/>
        <v>871.66666666666652</v>
      </c>
      <c r="I393" s="26">
        <f t="shared" si="157"/>
        <v>1982.5999999999997</v>
      </c>
      <c r="J393" s="23" t="s">
        <v>417</v>
      </c>
      <c r="K393" s="23" t="s">
        <v>416</v>
      </c>
      <c r="L393" s="26">
        <v>2140.6999999999998</v>
      </c>
      <c r="M393" s="26">
        <v>1307.4999999999998</v>
      </c>
      <c r="N393" s="26">
        <v>2973.8999999999996</v>
      </c>
      <c r="O393" s="25">
        <v>3000</v>
      </c>
      <c r="P393" s="25">
        <v>2000</v>
      </c>
      <c r="Q393" s="26" t="s">
        <v>393</v>
      </c>
      <c r="R393" s="26" t="s">
        <v>13</v>
      </c>
      <c r="S393" s="6" t="s">
        <v>1131</v>
      </c>
      <c r="T393" s="44" t="s">
        <v>1145</v>
      </c>
      <c r="U393" s="62">
        <v>85</v>
      </c>
      <c r="V393" s="62">
        <v>86.3</v>
      </c>
      <c r="W393" s="62">
        <v>83.6</v>
      </c>
      <c r="X393" s="26">
        <v>663.67702037323272</v>
      </c>
      <c r="Y393" s="26" t="s">
        <v>389</v>
      </c>
      <c r="Z393" s="26">
        <f t="shared" si="145"/>
        <v>464.57391426126287</v>
      </c>
      <c r="AA393" s="26">
        <f t="shared" si="146"/>
        <v>995.51553055984914</v>
      </c>
      <c r="AB393" s="25" t="s">
        <v>1191</v>
      </c>
      <c r="AC393" s="77" t="s">
        <v>400</v>
      </c>
      <c r="AF393" s="26" t="s">
        <v>1265</v>
      </c>
      <c r="AG393" s="25" t="s">
        <v>13</v>
      </c>
      <c r="AM393" s="26"/>
      <c r="AN393" s="26"/>
      <c r="AO393" s="26"/>
      <c r="AP393" s="26"/>
      <c r="AQ393" s="29"/>
      <c r="AR393" s="26"/>
      <c r="AS393" s="26"/>
      <c r="AT393" s="26"/>
      <c r="AU393" s="26"/>
      <c r="AV393" s="26"/>
      <c r="AX393" s="26" t="s">
        <v>13</v>
      </c>
      <c r="AY393" s="6" t="s">
        <v>888</v>
      </c>
      <c r="AZ393" s="97" t="s">
        <v>13</v>
      </c>
      <c r="BA393" s="62">
        <v>39.44598462821466</v>
      </c>
      <c r="BD393" s="26">
        <v>787.86608868674296</v>
      </c>
      <c r="BE393" s="25" t="s">
        <v>239</v>
      </c>
      <c r="BF393" s="26">
        <f t="shared" si="150"/>
        <v>708.05149019826354</v>
      </c>
      <c r="BG393" s="26">
        <f t="shared" si="151"/>
        <v>882.207151883199</v>
      </c>
      <c r="BH393" s="83" t="s">
        <v>887</v>
      </c>
      <c r="BI393" s="25" t="s">
        <v>430</v>
      </c>
      <c r="BJ393" s="26">
        <v>628.236891709784</v>
      </c>
      <c r="BK393" s="26">
        <v>976.54821507965494</v>
      </c>
      <c r="BL393" s="26" t="s">
        <v>13</v>
      </c>
      <c r="BM393" s="25" t="s">
        <v>13</v>
      </c>
      <c r="CA393" s="25" t="s">
        <v>13</v>
      </c>
      <c r="CC393" s="25" t="s">
        <v>13</v>
      </c>
    </row>
    <row r="394" spans="1:81">
      <c r="A394" s="6" t="s">
        <v>444</v>
      </c>
      <c r="B394" s="25" t="s">
        <v>316</v>
      </c>
      <c r="C394" s="62">
        <v>204.64</v>
      </c>
      <c r="D394" s="62"/>
      <c r="E394" s="62"/>
      <c r="F394" s="25">
        <f t="shared" ref="F394:F449" si="158">L394*$P394/$O394</f>
        <v>1973.3333333333333</v>
      </c>
      <c r="G394" s="23" t="s">
        <v>389</v>
      </c>
      <c r="H394" s="26">
        <f t="shared" si="157"/>
        <v>1251.5333333333333</v>
      </c>
      <c r="I394" s="26">
        <f t="shared" si="157"/>
        <v>2695.1333333333332</v>
      </c>
      <c r="J394" s="23" t="s">
        <v>417</v>
      </c>
      <c r="K394" s="23" t="s">
        <v>416</v>
      </c>
      <c r="L394" s="26">
        <v>2960</v>
      </c>
      <c r="M394" s="26">
        <v>1877.3</v>
      </c>
      <c r="N394" s="26">
        <v>4042.7</v>
      </c>
      <c r="O394" s="25">
        <v>3000</v>
      </c>
      <c r="P394" s="25">
        <v>2000</v>
      </c>
      <c r="Q394" s="26" t="s">
        <v>393</v>
      </c>
      <c r="R394" s="26" t="s">
        <v>13</v>
      </c>
      <c r="S394" s="6" t="s">
        <v>1131</v>
      </c>
      <c r="T394" s="44" t="s">
        <v>1145</v>
      </c>
      <c r="U394" s="62">
        <v>86</v>
      </c>
      <c r="V394" s="62">
        <v>87</v>
      </c>
      <c r="W394" s="62">
        <v>84</v>
      </c>
      <c r="X394" s="26">
        <v>610.44956525691077</v>
      </c>
      <c r="Y394" s="26" t="s">
        <v>389</v>
      </c>
      <c r="Z394" s="26">
        <f t="shared" si="145"/>
        <v>427.31469567983754</v>
      </c>
      <c r="AA394" s="26">
        <f t="shared" si="146"/>
        <v>915.67434788536616</v>
      </c>
      <c r="AB394" s="25" t="s">
        <v>1191</v>
      </c>
      <c r="AC394" s="77" t="s">
        <v>400</v>
      </c>
      <c r="AF394" s="26" t="s">
        <v>1266</v>
      </c>
      <c r="AG394" s="25" t="s">
        <v>13</v>
      </c>
      <c r="AM394" s="26"/>
      <c r="AN394" s="26"/>
      <c r="AO394" s="26"/>
      <c r="AP394" s="26"/>
      <c r="AQ394" s="29"/>
      <c r="AR394" s="26"/>
      <c r="AS394" s="26"/>
      <c r="AT394" s="26"/>
      <c r="AU394" s="26"/>
      <c r="AV394" s="26"/>
      <c r="AX394" s="26" t="s">
        <v>13</v>
      </c>
      <c r="AY394" s="6" t="s">
        <v>888</v>
      </c>
      <c r="AZ394" s="97" t="s">
        <v>13</v>
      </c>
      <c r="BA394" s="62">
        <v>39.44598462821466</v>
      </c>
      <c r="BD394" s="26">
        <v>945.83320886979004</v>
      </c>
      <c r="BE394" s="25" t="s">
        <v>239</v>
      </c>
      <c r="BF394" s="26">
        <f t="shared" si="150"/>
        <v>869.84479106128651</v>
      </c>
      <c r="BG394" s="26">
        <f t="shared" si="151"/>
        <v>1043.649340872975</v>
      </c>
      <c r="BH394" s="83" t="s">
        <v>738</v>
      </c>
      <c r="BI394" s="25" t="s">
        <v>430</v>
      </c>
      <c r="BJ394" s="26">
        <v>793.85637325278299</v>
      </c>
      <c r="BK394" s="26">
        <v>1141.46547287616</v>
      </c>
      <c r="BL394" s="26"/>
      <c r="BM394" s="25" t="s">
        <v>13</v>
      </c>
      <c r="CA394" s="25" t="s">
        <v>13</v>
      </c>
      <c r="CC394" s="25" t="s">
        <v>13</v>
      </c>
    </row>
    <row r="395" spans="1:81">
      <c r="A395" s="6" t="s">
        <v>444</v>
      </c>
      <c r="B395" s="25" t="s">
        <v>316</v>
      </c>
      <c r="C395" s="62">
        <v>204.66</v>
      </c>
      <c r="D395" s="62"/>
      <c r="E395" s="62"/>
      <c r="F395" s="25">
        <f t="shared" si="158"/>
        <v>2023.8</v>
      </c>
      <c r="G395" s="23" t="s">
        <v>389</v>
      </c>
      <c r="H395" s="26">
        <f t="shared" si="157"/>
        <v>1269.6666666666665</v>
      </c>
      <c r="I395" s="26">
        <f t="shared" si="157"/>
        <v>2777.9333333333329</v>
      </c>
      <c r="J395" s="23" t="s">
        <v>417</v>
      </c>
      <c r="K395" s="23" t="s">
        <v>416</v>
      </c>
      <c r="L395" s="26">
        <v>3035.7</v>
      </c>
      <c r="M395" s="26">
        <v>1904.4999999999998</v>
      </c>
      <c r="N395" s="26">
        <v>4166.8999999999996</v>
      </c>
      <c r="O395" s="25">
        <v>3000</v>
      </c>
      <c r="P395" s="25">
        <v>2000</v>
      </c>
      <c r="Q395" s="26" t="s">
        <v>393</v>
      </c>
      <c r="R395" s="26" t="s">
        <v>13</v>
      </c>
      <c r="S395" s="6" t="s">
        <v>1131</v>
      </c>
      <c r="T395" s="44" t="s">
        <v>1146</v>
      </c>
      <c r="U395" s="62">
        <v>88</v>
      </c>
      <c r="V395" s="62">
        <v>89</v>
      </c>
      <c r="W395" s="62">
        <v>87</v>
      </c>
      <c r="X395" s="26">
        <v>764.4268590020589</v>
      </c>
      <c r="Y395" s="26" t="s">
        <v>389</v>
      </c>
      <c r="Z395" s="26">
        <f t="shared" si="145"/>
        <v>535.0988013014412</v>
      </c>
      <c r="AA395" s="26">
        <f t="shared" si="146"/>
        <v>1146.6402885030884</v>
      </c>
      <c r="AB395" s="25" t="s">
        <v>1191</v>
      </c>
      <c r="AC395" s="77" t="s">
        <v>400</v>
      </c>
      <c r="AF395" s="26" t="s">
        <v>1267</v>
      </c>
      <c r="AG395" s="25" t="s">
        <v>13</v>
      </c>
      <c r="AM395" s="26"/>
      <c r="AN395" s="26"/>
      <c r="AO395" s="26"/>
      <c r="AP395" s="26"/>
      <c r="AQ395" s="29"/>
      <c r="AR395" s="26"/>
      <c r="AS395" s="26"/>
      <c r="AT395" s="26"/>
      <c r="AU395" s="26"/>
      <c r="AV395" s="26"/>
      <c r="AX395" s="26" t="s">
        <v>13</v>
      </c>
      <c r="AY395" s="6" t="s">
        <v>888</v>
      </c>
      <c r="AZ395" s="97" t="s">
        <v>13</v>
      </c>
      <c r="BA395" s="62">
        <v>40.250636734509882</v>
      </c>
      <c r="BD395" s="26">
        <v>966.73149516740398</v>
      </c>
      <c r="BE395" s="25" t="s">
        <v>239</v>
      </c>
      <c r="BF395" s="26">
        <f t="shared" si="150"/>
        <v>883.96749589067804</v>
      </c>
      <c r="BG395" s="26">
        <f t="shared" si="151"/>
        <v>1076.4194836132119</v>
      </c>
      <c r="BH395" s="83" t="s">
        <v>887</v>
      </c>
      <c r="BI395" s="25" t="s">
        <v>430</v>
      </c>
      <c r="BJ395" s="26">
        <v>801.20349661395198</v>
      </c>
      <c r="BK395" s="26">
        <v>1186.10747205902</v>
      </c>
      <c r="BL395" s="26"/>
      <c r="BM395" s="25" t="s">
        <v>13</v>
      </c>
      <c r="CA395" s="25" t="s">
        <v>13</v>
      </c>
      <c r="CC395" s="25" t="s">
        <v>13</v>
      </c>
    </row>
    <row r="396" spans="1:81">
      <c r="A396" s="6" t="s">
        <v>444</v>
      </c>
      <c r="B396" s="25" t="s">
        <v>316</v>
      </c>
      <c r="C396" s="62">
        <v>205.91</v>
      </c>
      <c r="D396" s="62"/>
      <c r="E396" s="62"/>
      <c r="F396" s="25">
        <f t="shared" si="158"/>
        <v>2157.8666666666668</v>
      </c>
      <c r="G396" s="23" t="s">
        <v>389</v>
      </c>
      <c r="H396" s="26">
        <f t="shared" si="157"/>
        <v>1351.2</v>
      </c>
      <c r="I396" s="26">
        <f t="shared" si="157"/>
        <v>2964.5333333333333</v>
      </c>
      <c r="J396" s="23" t="s">
        <v>417</v>
      </c>
      <c r="K396" s="23" t="s">
        <v>416</v>
      </c>
      <c r="L396" s="26">
        <v>3236.8</v>
      </c>
      <c r="M396" s="26">
        <v>2026.8000000000002</v>
      </c>
      <c r="N396" s="26">
        <v>4446.8</v>
      </c>
      <c r="O396" s="25">
        <v>3000</v>
      </c>
      <c r="P396" s="25">
        <v>2000</v>
      </c>
      <c r="Q396" s="26" t="s">
        <v>393</v>
      </c>
      <c r="R396" s="26" t="s">
        <v>13</v>
      </c>
      <c r="S396" s="6" t="s">
        <v>1131</v>
      </c>
      <c r="T396" s="44" t="s">
        <v>1147</v>
      </c>
      <c r="U396" s="62">
        <v>89.5</v>
      </c>
      <c r="V396" s="62">
        <v>90.5</v>
      </c>
      <c r="W396" s="62">
        <v>88.5</v>
      </c>
      <c r="X396" s="26">
        <v>875.82985090773866</v>
      </c>
      <c r="Y396" s="26" t="s">
        <v>389</v>
      </c>
      <c r="Z396" s="26">
        <f t="shared" si="145"/>
        <v>613.08089563541705</v>
      </c>
      <c r="AA396" s="26">
        <f t="shared" si="146"/>
        <v>1313.744776361608</v>
      </c>
      <c r="AB396" s="25" t="s">
        <v>1191</v>
      </c>
      <c r="AC396" s="77" t="s">
        <v>400</v>
      </c>
      <c r="AF396" s="26" t="s">
        <v>1268</v>
      </c>
      <c r="AG396" s="25" t="s">
        <v>13</v>
      </c>
      <c r="AM396" s="26"/>
      <c r="AN396" s="26"/>
      <c r="AO396" s="26"/>
      <c r="AP396" s="26"/>
      <c r="AQ396" s="29"/>
      <c r="AR396" s="26"/>
      <c r="AS396" s="26"/>
      <c r="AT396" s="26"/>
      <c r="AU396" s="26"/>
      <c r="AV396" s="26"/>
      <c r="AX396" s="26" t="s">
        <v>13</v>
      </c>
      <c r="AY396" s="6" t="s">
        <v>888</v>
      </c>
      <c r="AZ396" s="97" t="s">
        <v>13</v>
      </c>
      <c r="BA396" s="62">
        <v>40.917799265219642</v>
      </c>
      <c r="BD396" s="26">
        <v>864.55422921072704</v>
      </c>
      <c r="BE396" s="25" t="s">
        <v>239</v>
      </c>
      <c r="BF396" s="26">
        <f t="shared" si="150"/>
        <v>792.88017493597999</v>
      </c>
      <c r="BG396" s="26">
        <f t="shared" si="151"/>
        <v>953.09341680433351</v>
      </c>
      <c r="BH396" s="83" t="s">
        <v>738</v>
      </c>
      <c r="BI396" s="25" t="s">
        <v>430</v>
      </c>
      <c r="BJ396" s="26">
        <v>721.20612066123306</v>
      </c>
      <c r="BK396" s="26">
        <v>1041.63260439794</v>
      </c>
      <c r="BL396" s="26" t="s">
        <v>13</v>
      </c>
      <c r="BM396" s="25" t="s">
        <v>13</v>
      </c>
      <c r="CA396" s="25" t="s">
        <v>13</v>
      </c>
      <c r="CC396" s="25" t="s">
        <v>13</v>
      </c>
    </row>
    <row r="397" spans="1:81">
      <c r="A397" s="6" t="s">
        <v>444</v>
      </c>
      <c r="B397" s="25" t="s">
        <v>316</v>
      </c>
      <c r="C397" s="62">
        <v>205.93</v>
      </c>
      <c r="D397" s="62"/>
      <c r="E397" s="62"/>
      <c r="F397" s="25">
        <f t="shared" si="158"/>
        <v>2103.8666666666668</v>
      </c>
      <c r="G397" s="23" t="s">
        <v>389</v>
      </c>
      <c r="H397" s="26">
        <f t="shared" si="157"/>
        <v>1316.6666666666667</v>
      </c>
      <c r="I397" s="26">
        <f t="shared" si="157"/>
        <v>2891.0666666666666</v>
      </c>
      <c r="J397" s="23" t="s">
        <v>417</v>
      </c>
      <c r="K397" s="23" t="s">
        <v>416</v>
      </c>
      <c r="L397" s="26">
        <v>3155.8</v>
      </c>
      <c r="M397" s="26">
        <v>1975.0000000000002</v>
      </c>
      <c r="N397" s="26">
        <v>4336.6000000000004</v>
      </c>
      <c r="O397" s="25">
        <v>3000</v>
      </c>
      <c r="P397" s="25">
        <v>2000</v>
      </c>
      <c r="Q397" s="26" t="s">
        <v>393</v>
      </c>
      <c r="R397" s="26" t="s">
        <v>13</v>
      </c>
      <c r="S397" s="6" t="s">
        <v>1131</v>
      </c>
      <c r="T397" s="44" t="s">
        <v>1147</v>
      </c>
      <c r="U397" s="62">
        <v>91</v>
      </c>
      <c r="V397" s="62">
        <v>92</v>
      </c>
      <c r="W397" s="62">
        <v>90</v>
      </c>
      <c r="X397" s="26">
        <v>704.62278029144181</v>
      </c>
      <c r="Y397" s="26" t="s">
        <v>389</v>
      </c>
      <c r="Z397" s="26">
        <f t="shared" si="145"/>
        <v>493.23594620400922</v>
      </c>
      <c r="AA397" s="26">
        <f t="shared" si="146"/>
        <v>1056.9341704371627</v>
      </c>
      <c r="AB397" s="25" t="s">
        <v>1191</v>
      </c>
      <c r="AC397" s="77" t="s">
        <v>400</v>
      </c>
      <c r="AF397" s="26" t="s">
        <v>1269</v>
      </c>
      <c r="AG397" s="25" t="s">
        <v>13</v>
      </c>
      <c r="AM397" s="26"/>
      <c r="AN397" s="26"/>
      <c r="AO397" s="26"/>
      <c r="AP397" s="26"/>
      <c r="AQ397" s="29"/>
      <c r="AR397" s="26"/>
      <c r="AS397" s="26"/>
      <c r="AT397" s="26"/>
      <c r="AU397" s="26"/>
      <c r="AV397" s="26"/>
      <c r="AX397" s="26" t="s">
        <v>13</v>
      </c>
      <c r="AY397" s="6" t="s">
        <v>888</v>
      </c>
      <c r="AZ397" s="97" t="s">
        <v>13</v>
      </c>
      <c r="BA397" s="62">
        <v>41.46775756756147</v>
      </c>
      <c r="BD397" s="26">
        <v>963.43918405232193</v>
      </c>
      <c r="BE397" s="25" t="s">
        <v>239</v>
      </c>
      <c r="BF397" s="26">
        <f t="shared" si="150"/>
        <v>873.18163077666304</v>
      </c>
      <c r="BG397" s="26">
        <f t="shared" si="151"/>
        <v>1061.2837948759161</v>
      </c>
      <c r="BH397" s="83" t="s">
        <v>887</v>
      </c>
      <c r="BI397" s="25" t="s">
        <v>430</v>
      </c>
      <c r="BJ397" s="26">
        <v>782.92407750100404</v>
      </c>
      <c r="BK397" s="26">
        <v>1159.12840569951</v>
      </c>
      <c r="BL397" s="26" t="s">
        <v>13</v>
      </c>
      <c r="BM397" s="25" t="s">
        <v>13</v>
      </c>
      <c r="CA397" s="25" t="s">
        <v>13</v>
      </c>
      <c r="CC397" s="25" t="s">
        <v>13</v>
      </c>
    </row>
    <row r="398" spans="1:81">
      <c r="A398" s="6" t="s">
        <v>444</v>
      </c>
      <c r="B398" s="25" t="s">
        <v>316</v>
      </c>
      <c r="C398" s="62">
        <v>207.22</v>
      </c>
      <c r="D398" s="62"/>
      <c r="E398" s="62"/>
      <c r="F398" s="25">
        <f t="shared" si="158"/>
        <v>1962.8</v>
      </c>
      <c r="G398" s="23" t="s">
        <v>389</v>
      </c>
      <c r="H398" s="26">
        <f t="shared" si="157"/>
        <v>1245.6666666666665</v>
      </c>
      <c r="I398" s="26">
        <f t="shared" si="157"/>
        <v>2679.9333333333329</v>
      </c>
      <c r="J398" s="23" t="s">
        <v>417</v>
      </c>
      <c r="K398" s="23" t="s">
        <v>416</v>
      </c>
      <c r="L398" s="26">
        <v>2944.2</v>
      </c>
      <c r="M398" s="26">
        <v>1868.4999999999998</v>
      </c>
      <c r="N398" s="26">
        <v>4019.8999999999996</v>
      </c>
      <c r="O398" s="25">
        <v>3000</v>
      </c>
      <c r="P398" s="25">
        <v>2000</v>
      </c>
      <c r="Q398" s="26" t="s">
        <v>393</v>
      </c>
      <c r="R398" s="26" t="s">
        <v>13</v>
      </c>
      <c r="S398" s="6" t="s">
        <v>1131</v>
      </c>
      <c r="T398" s="44" t="s">
        <v>1148</v>
      </c>
      <c r="U398" s="62">
        <v>94</v>
      </c>
      <c r="V398" s="62">
        <v>96</v>
      </c>
      <c r="W398" s="62">
        <v>92</v>
      </c>
      <c r="X398" s="26">
        <v>511.54093212057654</v>
      </c>
      <c r="Y398" s="26" t="s">
        <v>389</v>
      </c>
      <c r="Z398" s="26">
        <f t="shared" si="145"/>
        <v>358.07865248440356</v>
      </c>
      <c r="AA398" s="26">
        <f t="shared" si="146"/>
        <v>767.31139818086478</v>
      </c>
      <c r="AB398" s="25" t="s">
        <v>1191</v>
      </c>
      <c r="AC398" s="77" t="s">
        <v>400</v>
      </c>
      <c r="AF398" s="26">
        <v>55001</v>
      </c>
      <c r="AG398" s="25" t="s">
        <v>13</v>
      </c>
      <c r="AM398" s="26"/>
      <c r="AN398" s="26"/>
      <c r="AO398" s="26"/>
      <c r="AP398" s="26"/>
      <c r="AQ398" s="29"/>
      <c r="AR398" s="26"/>
      <c r="AS398" s="26"/>
      <c r="AT398" s="26"/>
      <c r="AU398" s="26"/>
      <c r="AV398" s="26"/>
      <c r="AX398" s="26" t="s">
        <v>13</v>
      </c>
      <c r="AY398" s="6" t="s">
        <v>888</v>
      </c>
      <c r="AZ398" s="97" t="s">
        <v>13</v>
      </c>
      <c r="BA398" s="62">
        <v>42.387359974756009</v>
      </c>
      <c r="BD398" s="26">
        <v>885.72793898355997</v>
      </c>
      <c r="BE398" s="25" t="s">
        <v>239</v>
      </c>
      <c r="BF398" s="26">
        <f t="shared" si="150"/>
        <v>811.30860682087098</v>
      </c>
      <c r="BG398" s="26">
        <f t="shared" si="151"/>
        <v>978.42720669347</v>
      </c>
      <c r="BH398" s="83" t="s">
        <v>738</v>
      </c>
      <c r="BI398" s="25" t="s">
        <v>430</v>
      </c>
      <c r="BJ398" s="26">
        <v>736.88927465818199</v>
      </c>
      <c r="BK398" s="26">
        <v>1071.1264744033799</v>
      </c>
      <c r="BL398" s="26" t="s">
        <v>13</v>
      </c>
      <c r="BM398" s="25" t="s">
        <v>13</v>
      </c>
      <c r="CA398" s="25" t="s">
        <v>13</v>
      </c>
      <c r="CC398" s="25" t="s">
        <v>13</v>
      </c>
    </row>
    <row r="399" spans="1:81">
      <c r="A399" s="6" t="s">
        <v>444</v>
      </c>
      <c r="B399" s="25" t="s">
        <v>316</v>
      </c>
      <c r="C399" s="62">
        <v>207.31</v>
      </c>
      <c r="D399" s="62"/>
      <c r="E399" s="62"/>
      <c r="F399" s="25">
        <f t="shared" si="158"/>
        <v>2275.6</v>
      </c>
      <c r="G399" s="23" t="s">
        <v>389</v>
      </c>
      <c r="H399" s="26">
        <f t="shared" si="157"/>
        <v>1405.2</v>
      </c>
      <c r="I399" s="26">
        <f t="shared" si="157"/>
        <v>3146</v>
      </c>
      <c r="J399" s="23" t="s">
        <v>417</v>
      </c>
      <c r="K399" s="23" t="s">
        <v>416</v>
      </c>
      <c r="L399" s="26">
        <v>3413.4</v>
      </c>
      <c r="M399" s="26">
        <v>2107.8000000000002</v>
      </c>
      <c r="N399" s="26">
        <v>4719</v>
      </c>
      <c r="O399" s="25">
        <v>3000</v>
      </c>
      <c r="P399" s="25">
        <v>2000</v>
      </c>
      <c r="Q399" s="26" t="s">
        <v>393</v>
      </c>
      <c r="R399" s="26" t="s">
        <v>13</v>
      </c>
      <c r="S399" s="6" t="s">
        <v>1131</v>
      </c>
      <c r="T399" s="44" t="s">
        <v>1148</v>
      </c>
      <c r="U399" s="62">
        <v>94</v>
      </c>
      <c r="V399" s="62">
        <v>96</v>
      </c>
      <c r="W399" s="62">
        <v>92</v>
      </c>
      <c r="X399" s="26">
        <v>721.06018301916947</v>
      </c>
      <c r="Y399" s="26" t="s">
        <v>389</v>
      </c>
      <c r="Z399" s="26">
        <f t="shared" si="145"/>
        <v>504.74212811341857</v>
      </c>
      <c r="AA399" s="26">
        <f t="shared" si="146"/>
        <v>1081.5902745287542</v>
      </c>
      <c r="AB399" s="25" t="s">
        <v>1191</v>
      </c>
      <c r="AC399" s="77" t="s">
        <v>400</v>
      </c>
      <c r="AF399" s="26">
        <v>36925</v>
      </c>
      <c r="AG399" s="25" t="s">
        <v>13</v>
      </c>
      <c r="AM399" s="26"/>
      <c r="AN399" s="26"/>
      <c r="AO399" s="26"/>
      <c r="AP399" s="26"/>
      <c r="AQ399" s="29"/>
      <c r="AR399" s="26"/>
      <c r="AS399" s="26"/>
      <c r="AT399" s="26"/>
      <c r="AU399" s="26"/>
      <c r="AV399" s="26"/>
      <c r="AX399" s="26" t="s">
        <v>13</v>
      </c>
      <c r="AY399" s="6" t="s">
        <v>888</v>
      </c>
      <c r="AZ399" s="97" t="s">
        <v>13</v>
      </c>
      <c r="BA399" s="62">
        <v>43.068046070277454</v>
      </c>
      <c r="BD399" s="26">
        <v>945.05197650413606</v>
      </c>
      <c r="BE399" s="25" t="s">
        <v>239</v>
      </c>
      <c r="BF399" s="26">
        <f t="shared" si="150"/>
        <v>858.29400213873305</v>
      </c>
      <c r="BG399" s="26">
        <f t="shared" si="151"/>
        <v>1044.842504623608</v>
      </c>
      <c r="BH399" s="83" t="s">
        <v>887</v>
      </c>
      <c r="BI399" s="25" t="s">
        <v>430</v>
      </c>
      <c r="BJ399" s="26">
        <v>771.53602777333003</v>
      </c>
      <c r="BK399" s="26">
        <v>1144.6330327430801</v>
      </c>
      <c r="BL399" s="26" t="s">
        <v>13</v>
      </c>
      <c r="BM399" s="25" t="s">
        <v>13</v>
      </c>
      <c r="CA399" s="25" t="s">
        <v>13</v>
      </c>
      <c r="CC399" s="25" t="s">
        <v>13</v>
      </c>
    </row>
    <row r="400" spans="1:81">
      <c r="A400" s="6" t="s">
        <v>444</v>
      </c>
      <c r="B400" s="25" t="s">
        <v>316</v>
      </c>
      <c r="C400" s="62">
        <v>207.49</v>
      </c>
      <c r="D400" s="62"/>
      <c r="E400" s="62"/>
      <c r="F400" s="25">
        <f t="shared" si="158"/>
        <v>2723.7333333333331</v>
      </c>
      <c r="G400" s="23" t="s">
        <v>389</v>
      </c>
      <c r="H400" s="26">
        <f t="shared" si="157"/>
        <v>1657.0666666666666</v>
      </c>
      <c r="I400" s="26">
        <f t="shared" si="157"/>
        <v>3790.4</v>
      </c>
      <c r="J400" s="23" t="s">
        <v>417</v>
      </c>
      <c r="K400" s="23" t="s">
        <v>416</v>
      </c>
      <c r="L400" s="26">
        <v>4085.6</v>
      </c>
      <c r="M400" s="26">
        <v>2485.6</v>
      </c>
      <c r="N400" s="26">
        <v>5685.6</v>
      </c>
      <c r="O400" s="25">
        <v>3000</v>
      </c>
      <c r="P400" s="25">
        <v>2000</v>
      </c>
      <c r="Q400" s="26" t="s">
        <v>393</v>
      </c>
      <c r="R400" s="26" t="s">
        <v>13</v>
      </c>
      <c r="S400" s="6" t="s">
        <v>1131</v>
      </c>
      <c r="T400" s="44" t="s">
        <v>1148</v>
      </c>
      <c r="U400" s="62">
        <v>94</v>
      </c>
      <c r="V400" s="62">
        <v>96</v>
      </c>
      <c r="W400" s="62">
        <v>92</v>
      </c>
      <c r="X400" s="26">
        <v>906.44503873260385</v>
      </c>
      <c r="Y400" s="26" t="s">
        <v>389</v>
      </c>
      <c r="Z400" s="26">
        <f t="shared" si="145"/>
        <v>634.51152711282271</v>
      </c>
      <c r="AA400" s="26">
        <f t="shared" si="146"/>
        <v>1359.6675580989058</v>
      </c>
      <c r="AB400" s="25" t="s">
        <v>1191</v>
      </c>
      <c r="AC400" s="77" t="s">
        <v>400</v>
      </c>
      <c r="AF400" s="26" t="s">
        <v>1270</v>
      </c>
      <c r="AG400" s="25" t="s">
        <v>13</v>
      </c>
      <c r="AM400" s="26"/>
      <c r="AN400" s="26"/>
      <c r="AO400" s="26"/>
      <c r="AP400" s="26"/>
      <c r="AQ400" s="29"/>
      <c r="AR400" s="26"/>
      <c r="AS400" s="26"/>
      <c r="AT400" s="26"/>
      <c r="AU400" s="26"/>
      <c r="AV400" s="26"/>
      <c r="AX400" s="26" t="s">
        <v>13</v>
      </c>
      <c r="AY400" s="6" t="s">
        <v>888</v>
      </c>
      <c r="AZ400" s="97" t="s">
        <v>13</v>
      </c>
      <c r="BA400" s="62">
        <v>43.068046070277454</v>
      </c>
      <c r="BD400" s="26">
        <v>955.12480562760595</v>
      </c>
      <c r="BE400" s="25" t="s">
        <v>239</v>
      </c>
      <c r="BF400" s="26">
        <f t="shared" si="150"/>
        <v>875.12947239188043</v>
      </c>
      <c r="BG400" s="26">
        <f t="shared" si="151"/>
        <v>1046.3366140233429</v>
      </c>
      <c r="BH400" s="83" t="s">
        <v>738</v>
      </c>
      <c r="BI400" s="25" t="s">
        <v>430</v>
      </c>
      <c r="BJ400" s="26">
        <v>795.13413915615502</v>
      </c>
      <c r="BK400" s="26">
        <v>1137.54842241908</v>
      </c>
      <c r="BL400" s="26" t="s">
        <v>13</v>
      </c>
      <c r="BM400" s="25" t="s">
        <v>13</v>
      </c>
      <c r="CA400" s="25" t="s">
        <v>13</v>
      </c>
      <c r="CC400" s="25" t="s">
        <v>13</v>
      </c>
    </row>
    <row r="401" spans="1:81">
      <c r="A401" s="6" t="s">
        <v>444</v>
      </c>
      <c r="B401" s="25" t="s">
        <v>316</v>
      </c>
      <c r="C401" s="62">
        <v>207.81</v>
      </c>
      <c r="D401" s="62"/>
      <c r="E401" s="62"/>
      <c r="F401" s="25">
        <f t="shared" si="158"/>
        <v>2505.3333333333335</v>
      </c>
      <c r="G401" s="23" t="s">
        <v>389</v>
      </c>
      <c r="H401" s="26">
        <f t="shared" si="157"/>
        <v>1539.1333333333334</v>
      </c>
      <c r="I401" s="26">
        <f t="shared" si="157"/>
        <v>3471.5333333333333</v>
      </c>
      <c r="J401" s="23" t="s">
        <v>417</v>
      </c>
      <c r="K401" s="23" t="s">
        <v>416</v>
      </c>
      <c r="L401" s="26">
        <v>3758</v>
      </c>
      <c r="M401" s="26">
        <v>2308.6999999999998</v>
      </c>
      <c r="N401" s="26">
        <v>5207.3</v>
      </c>
      <c r="O401" s="25">
        <v>3000</v>
      </c>
      <c r="P401" s="25">
        <v>2000</v>
      </c>
      <c r="Q401" s="26" t="s">
        <v>393</v>
      </c>
      <c r="R401" s="26" t="s">
        <v>13</v>
      </c>
      <c r="S401" s="6" t="s">
        <v>1131</v>
      </c>
      <c r="T401" s="44" t="s">
        <v>1148</v>
      </c>
      <c r="U401" s="62">
        <v>94</v>
      </c>
      <c r="V401" s="62">
        <v>96</v>
      </c>
      <c r="W401" s="62">
        <v>92</v>
      </c>
      <c r="X401" s="26">
        <v>1059.4409318412243</v>
      </c>
      <c r="Y401" s="26" t="s">
        <v>389</v>
      </c>
      <c r="Z401" s="26">
        <f t="shared" si="145"/>
        <v>741.60865228885689</v>
      </c>
      <c r="AA401" s="26">
        <f t="shared" si="146"/>
        <v>1589.1613977618363</v>
      </c>
      <c r="AB401" s="25" t="s">
        <v>1191</v>
      </c>
      <c r="AC401" s="77" t="s">
        <v>400</v>
      </c>
      <c r="AF401" s="26" t="s">
        <v>1271</v>
      </c>
      <c r="AG401" s="25" t="s">
        <v>13</v>
      </c>
      <c r="AM401" s="26"/>
      <c r="AN401" s="26"/>
      <c r="AO401" s="26"/>
      <c r="AP401" s="26"/>
      <c r="AQ401" s="29"/>
      <c r="AR401" s="26"/>
      <c r="AS401" s="26"/>
      <c r="AT401" s="26"/>
      <c r="AU401" s="26"/>
      <c r="AV401" s="26"/>
      <c r="AX401" s="26" t="s">
        <v>13</v>
      </c>
      <c r="AY401" s="6" t="s">
        <v>888</v>
      </c>
      <c r="AZ401" s="97" t="s">
        <v>13</v>
      </c>
      <c r="BA401" s="62">
        <v>43.383595915883426</v>
      </c>
      <c r="BD401" s="26">
        <v>857.89459839800395</v>
      </c>
      <c r="BE401" s="25" t="s">
        <v>239</v>
      </c>
      <c r="BF401" s="26">
        <f t="shared" si="150"/>
        <v>786.48479385076394</v>
      </c>
      <c r="BG401" s="26">
        <f t="shared" si="151"/>
        <v>935.61065504908697</v>
      </c>
      <c r="BH401" s="83" t="s">
        <v>887</v>
      </c>
      <c r="BI401" s="25" t="s">
        <v>430</v>
      </c>
      <c r="BJ401" s="26">
        <v>715.07498930352403</v>
      </c>
      <c r="BK401" s="26">
        <v>1013.3267117001701</v>
      </c>
      <c r="BL401" s="26" t="s">
        <v>13</v>
      </c>
      <c r="BM401" s="25" t="s">
        <v>13</v>
      </c>
      <c r="CA401" s="25" t="s">
        <v>13</v>
      </c>
      <c r="CC401" s="25" t="s">
        <v>13</v>
      </c>
    </row>
    <row r="402" spans="1:81">
      <c r="A402" s="6" t="s">
        <v>444</v>
      </c>
      <c r="B402" s="25" t="s">
        <v>316</v>
      </c>
      <c r="C402" s="62">
        <v>207.94</v>
      </c>
      <c r="D402" s="62"/>
      <c r="E402" s="62"/>
      <c r="F402" s="25">
        <f t="shared" si="158"/>
        <v>2508.4</v>
      </c>
      <c r="G402" s="23" t="s">
        <v>389</v>
      </c>
      <c r="H402" s="26">
        <f t="shared" si="157"/>
        <v>1519.4</v>
      </c>
      <c r="I402" s="26">
        <f t="shared" si="157"/>
        <v>3497.4</v>
      </c>
      <c r="J402" s="23" t="s">
        <v>417</v>
      </c>
      <c r="K402" s="23" t="s">
        <v>416</v>
      </c>
      <c r="L402" s="26">
        <v>3762.6</v>
      </c>
      <c r="M402" s="26">
        <v>2279.1</v>
      </c>
      <c r="N402" s="26">
        <v>5246.1</v>
      </c>
      <c r="O402" s="25">
        <v>3000</v>
      </c>
      <c r="P402" s="25">
        <v>2000</v>
      </c>
      <c r="Q402" s="26" t="s">
        <v>393</v>
      </c>
      <c r="R402" s="26" t="s">
        <v>13</v>
      </c>
      <c r="S402" s="6" t="s">
        <v>1131</v>
      </c>
      <c r="T402" s="44" t="s">
        <v>1149</v>
      </c>
      <c r="U402" s="62">
        <v>94</v>
      </c>
      <c r="V402" s="62">
        <v>97</v>
      </c>
      <c r="W402" s="62">
        <v>93.9</v>
      </c>
      <c r="X402" s="26">
        <v>893.03376160216499</v>
      </c>
      <c r="Y402" s="26" t="s">
        <v>389</v>
      </c>
      <c r="Z402" s="26">
        <f t="shared" si="145"/>
        <v>625.12363312151547</v>
      </c>
      <c r="AA402" s="26">
        <f t="shared" si="146"/>
        <v>1339.5506424032474</v>
      </c>
      <c r="AB402" s="25" t="s">
        <v>1191</v>
      </c>
      <c r="AC402" s="77" t="s">
        <v>400</v>
      </c>
      <c r="AF402" s="26" t="s">
        <v>1272</v>
      </c>
      <c r="AG402" s="25" t="s">
        <v>13</v>
      </c>
      <c r="AM402" s="26"/>
      <c r="AN402" s="26"/>
      <c r="AO402" s="26"/>
      <c r="AP402" s="26"/>
      <c r="AQ402" s="29"/>
      <c r="AR402" s="26"/>
      <c r="AS402" s="26"/>
      <c r="AT402" s="26"/>
      <c r="AU402" s="26"/>
      <c r="AV402" s="26"/>
      <c r="AX402" s="26" t="s">
        <v>13</v>
      </c>
      <c r="AY402" s="6" t="s">
        <v>888</v>
      </c>
      <c r="AZ402" s="97" t="s">
        <v>13</v>
      </c>
      <c r="BA402" s="62">
        <v>43.744224310861675</v>
      </c>
      <c r="BD402" s="26">
        <v>1044.2932014110299</v>
      </c>
      <c r="BE402" s="25" t="s">
        <v>239</v>
      </c>
      <c r="BF402" s="26">
        <f t="shared" si="150"/>
        <v>963.36481127673051</v>
      </c>
      <c r="BG402" s="26">
        <f t="shared" si="151"/>
        <v>1145.04511927248</v>
      </c>
      <c r="BH402" s="83" t="s">
        <v>738</v>
      </c>
      <c r="BI402" s="25" t="s">
        <v>430</v>
      </c>
      <c r="BJ402" s="26">
        <v>882.43642114243107</v>
      </c>
      <c r="BK402" s="26">
        <v>1245.79703713393</v>
      </c>
      <c r="BL402" s="26" t="s">
        <v>13</v>
      </c>
      <c r="BM402" s="25" t="s">
        <v>13</v>
      </c>
      <c r="CA402" s="25" t="s">
        <v>13</v>
      </c>
      <c r="CC402" s="25" t="s">
        <v>13</v>
      </c>
    </row>
    <row r="403" spans="1:81">
      <c r="A403" s="6" t="s">
        <v>444</v>
      </c>
      <c r="B403" s="25" t="s">
        <v>316</v>
      </c>
      <c r="C403" s="62">
        <v>208.05</v>
      </c>
      <c r="D403" s="62"/>
      <c r="E403" s="62"/>
      <c r="F403" s="25">
        <f t="shared" si="158"/>
        <v>2953.1333333333332</v>
      </c>
      <c r="G403" s="23" t="s">
        <v>389</v>
      </c>
      <c r="H403" s="26">
        <f t="shared" si="157"/>
        <v>1574.9333333333329</v>
      </c>
      <c r="I403" s="26">
        <f t="shared" si="157"/>
        <v>4331.333333333333</v>
      </c>
      <c r="J403" s="23" t="s">
        <v>417</v>
      </c>
      <c r="K403" s="23" t="s">
        <v>416</v>
      </c>
      <c r="L403" s="26">
        <v>4429.7</v>
      </c>
      <c r="M403" s="26">
        <v>2362.3999999999996</v>
      </c>
      <c r="N403" s="26">
        <v>6497</v>
      </c>
      <c r="O403" s="25">
        <v>3000</v>
      </c>
      <c r="P403" s="25">
        <v>2000</v>
      </c>
      <c r="Q403" s="26" t="s">
        <v>393</v>
      </c>
      <c r="R403" s="26" t="s">
        <v>13</v>
      </c>
      <c r="S403" s="6" t="s">
        <v>1131</v>
      </c>
      <c r="T403" s="44" t="s">
        <v>1149</v>
      </c>
      <c r="U403" s="62">
        <v>94</v>
      </c>
      <c r="V403" s="62">
        <v>97</v>
      </c>
      <c r="W403" s="62">
        <v>93.9</v>
      </c>
      <c r="X403" s="26">
        <v>1016.3449503121498</v>
      </c>
      <c r="Y403" s="26" t="s">
        <v>389</v>
      </c>
      <c r="Z403" s="26">
        <f t="shared" si="145"/>
        <v>711.44146521850485</v>
      </c>
      <c r="AA403" s="26">
        <f t="shared" si="146"/>
        <v>1524.5174254682247</v>
      </c>
      <c r="AB403" s="25" t="s">
        <v>1191</v>
      </c>
      <c r="AC403" s="77" t="s">
        <v>400</v>
      </c>
      <c r="AF403" s="26" t="s">
        <v>1273</v>
      </c>
      <c r="AG403" s="25" t="s">
        <v>13</v>
      </c>
      <c r="AM403" s="26"/>
      <c r="AN403" s="26"/>
      <c r="AO403" s="26"/>
      <c r="AP403" s="26"/>
      <c r="AQ403" s="29"/>
      <c r="AR403" s="26"/>
      <c r="AS403" s="26"/>
      <c r="AT403" s="26"/>
      <c r="AU403" s="26"/>
      <c r="AV403" s="26"/>
      <c r="AX403" s="26" t="s">
        <v>13</v>
      </c>
      <c r="AY403" s="6" t="s">
        <v>888</v>
      </c>
      <c r="AZ403" s="97" t="s">
        <v>13</v>
      </c>
      <c r="BA403" s="62">
        <v>44.537606779813821</v>
      </c>
      <c r="BD403" s="26">
        <v>1063.9208246789899</v>
      </c>
      <c r="BE403" s="25" t="s">
        <v>239</v>
      </c>
      <c r="BF403" s="26">
        <f t="shared" si="150"/>
        <v>973.42039517961689</v>
      </c>
      <c r="BG403" s="26">
        <f t="shared" si="151"/>
        <v>1168.6398890975649</v>
      </c>
      <c r="BH403" s="83" t="s">
        <v>887</v>
      </c>
      <c r="BI403" s="25" t="s">
        <v>430</v>
      </c>
      <c r="BJ403" s="26">
        <v>882.91996568024399</v>
      </c>
      <c r="BK403" s="26">
        <v>1273.35895351614</v>
      </c>
      <c r="BL403" s="26" t="s">
        <v>13</v>
      </c>
      <c r="BM403" s="25" t="s">
        <v>13</v>
      </c>
      <c r="CA403" s="25" t="s">
        <v>13</v>
      </c>
      <c r="CC403" s="25" t="s">
        <v>13</v>
      </c>
    </row>
    <row r="404" spans="1:81">
      <c r="A404" s="6" t="s">
        <v>444</v>
      </c>
      <c r="B404" s="25" t="s">
        <v>316</v>
      </c>
      <c r="C404" s="62">
        <v>208.3</v>
      </c>
      <c r="D404" s="62"/>
      <c r="E404" s="62"/>
      <c r="F404" s="25">
        <f t="shared" si="158"/>
        <v>2953.1333333333332</v>
      </c>
      <c r="G404" s="23" t="s">
        <v>389</v>
      </c>
      <c r="H404" s="26">
        <f t="shared" si="157"/>
        <v>1764</v>
      </c>
      <c r="I404" s="26">
        <f t="shared" si="157"/>
        <v>4142.2666666666664</v>
      </c>
      <c r="J404" s="23" t="s">
        <v>417</v>
      </c>
      <c r="K404" s="23" t="s">
        <v>416</v>
      </c>
      <c r="L404" s="26">
        <v>4429.7</v>
      </c>
      <c r="M404" s="26">
        <v>2646</v>
      </c>
      <c r="N404" s="26">
        <v>6213.4</v>
      </c>
      <c r="O404" s="25">
        <v>3000</v>
      </c>
      <c r="P404" s="25">
        <v>2000</v>
      </c>
      <c r="Q404" s="26" t="s">
        <v>393</v>
      </c>
      <c r="R404" s="26" t="s">
        <v>13</v>
      </c>
      <c r="S404" s="6" t="s">
        <v>1131</v>
      </c>
      <c r="T404" s="44" t="s">
        <v>1149</v>
      </c>
      <c r="U404" s="62">
        <v>94</v>
      </c>
      <c r="V404" s="62">
        <v>97</v>
      </c>
      <c r="W404" s="62">
        <v>93.9</v>
      </c>
      <c r="X404" s="26">
        <v>863.79651578521532</v>
      </c>
      <c r="Y404" s="26" t="s">
        <v>389</v>
      </c>
      <c r="Z404" s="26">
        <f t="shared" si="145"/>
        <v>604.65756104965067</v>
      </c>
      <c r="AA404" s="26">
        <f t="shared" si="146"/>
        <v>1295.6947736778229</v>
      </c>
      <c r="AB404" s="25" t="s">
        <v>1191</v>
      </c>
      <c r="AC404" s="77" t="s">
        <v>400</v>
      </c>
      <c r="AF404" s="26" t="s">
        <v>1274</v>
      </c>
      <c r="AG404" s="25" t="s">
        <v>13</v>
      </c>
      <c r="AM404" s="26"/>
      <c r="AN404" s="26"/>
      <c r="AO404" s="26"/>
      <c r="AP404" s="26"/>
      <c r="AQ404" s="29"/>
      <c r="AR404" s="26"/>
      <c r="AS404" s="26"/>
      <c r="AT404" s="26"/>
      <c r="AU404" s="26"/>
      <c r="AV404" s="26"/>
      <c r="AX404" s="26" t="s">
        <v>13</v>
      </c>
      <c r="AY404" s="6" t="s">
        <v>888</v>
      </c>
      <c r="AZ404" s="97" t="s">
        <v>13</v>
      </c>
      <c r="BA404" s="62">
        <v>44.873441972637316</v>
      </c>
      <c r="BD404" s="26">
        <v>1014.87020460395</v>
      </c>
      <c r="BE404" s="25" t="s">
        <v>239</v>
      </c>
      <c r="BF404" s="26">
        <f t="shared" si="150"/>
        <v>921.05149116657549</v>
      </c>
      <c r="BG404" s="26">
        <f t="shared" si="151"/>
        <v>1113.591946953645</v>
      </c>
      <c r="BH404" s="83" t="s">
        <v>738</v>
      </c>
      <c r="BI404" s="25" t="s">
        <v>430</v>
      </c>
      <c r="BJ404" s="26">
        <v>827.23277772920108</v>
      </c>
      <c r="BK404" s="26">
        <v>1212.31368930334</v>
      </c>
      <c r="BL404" s="26" t="s">
        <v>13</v>
      </c>
      <c r="BM404" s="25" t="s">
        <v>13</v>
      </c>
      <c r="CA404" s="25" t="s">
        <v>13</v>
      </c>
      <c r="CC404" s="25" t="s">
        <v>13</v>
      </c>
    </row>
    <row r="405" spans="1:81">
      <c r="A405" s="6" t="s">
        <v>444</v>
      </c>
      <c r="B405" s="25" t="s">
        <v>316</v>
      </c>
      <c r="C405" s="62">
        <v>208.37</v>
      </c>
      <c r="D405" s="62"/>
      <c r="E405" s="62"/>
      <c r="F405" s="25">
        <f t="shared" si="158"/>
        <v>2831.7333333333331</v>
      </c>
      <c r="G405" s="23" t="s">
        <v>389</v>
      </c>
      <c r="H405" s="26">
        <f t="shared" si="157"/>
        <v>1713.2</v>
      </c>
      <c r="I405" s="26">
        <f t="shared" si="157"/>
        <v>3950.2666666666673</v>
      </c>
      <c r="J405" s="23" t="s">
        <v>417</v>
      </c>
      <c r="K405" s="23" t="s">
        <v>416</v>
      </c>
      <c r="L405" s="26">
        <v>4247.6000000000004</v>
      </c>
      <c r="M405" s="26">
        <v>2569.8000000000002</v>
      </c>
      <c r="N405" s="26">
        <v>5925.4000000000005</v>
      </c>
      <c r="O405" s="25">
        <v>3000</v>
      </c>
      <c r="P405" s="25">
        <v>2000</v>
      </c>
      <c r="Q405" s="26" t="s">
        <v>393</v>
      </c>
      <c r="R405" s="26" t="s">
        <v>13</v>
      </c>
      <c r="S405" s="6" t="s">
        <v>1131</v>
      </c>
      <c r="T405" s="44" t="s">
        <v>1149</v>
      </c>
      <c r="U405" s="62">
        <v>94</v>
      </c>
      <c r="V405" s="62">
        <v>97</v>
      </c>
      <c r="W405" s="62">
        <v>93.9</v>
      </c>
      <c r="X405" s="26">
        <v>1025.9246486090781</v>
      </c>
      <c r="Y405" s="26" t="s">
        <v>389</v>
      </c>
      <c r="Z405" s="26">
        <f t="shared" si="145"/>
        <v>718.14725402635463</v>
      </c>
      <c r="AA405" s="26">
        <f t="shared" si="146"/>
        <v>1538.8869729136172</v>
      </c>
      <c r="AB405" s="25" t="s">
        <v>1191</v>
      </c>
      <c r="AC405" s="77" t="s">
        <v>400</v>
      </c>
      <c r="AF405" s="26" t="s">
        <v>1275</v>
      </c>
      <c r="AG405" s="25" t="s">
        <v>13</v>
      </c>
      <c r="AM405" s="26"/>
      <c r="AN405" s="26"/>
      <c r="AO405" s="26"/>
      <c r="AP405" s="26"/>
      <c r="AQ405" s="29"/>
      <c r="AR405" s="26"/>
      <c r="AS405" s="26"/>
      <c r="AT405" s="26"/>
      <c r="AU405" s="26"/>
      <c r="AV405" s="26"/>
      <c r="AX405" s="26" t="s">
        <v>13</v>
      </c>
      <c r="AY405" s="6" t="s">
        <v>888</v>
      </c>
      <c r="AZ405" s="97" t="s">
        <v>13</v>
      </c>
      <c r="BA405" s="62">
        <v>44.873441972637316</v>
      </c>
      <c r="BD405" s="26">
        <v>1023.6960419742201</v>
      </c>
      <c r="BE405" s="25" t="s">
        <v>239</v>
      </c>
      <c r="BF405" s="26">
        <f t="shared" si="150"/>
        <v>938.36901176695051</v>
      </c>
      <c r="BG405" s="26">
        <f t="shared" si="151"/>
        <v>1127.8083562325451</v>
      </c>
      <c r="BH405" s="83" t="s">
        <v>887</v>
      </c>
      <c r="BI405" s="25" t="s">
        <v>430</v>
      </c>
      <c r="BJ405" s="26">
        <v>853.04198155968095</v>
      </c>
      <c r="BK405" s="26">
        <v>1231.92067049087</v>
      </c>
      <c r="BL405" s="26" t="s">
        <v>13</v>
      </c>
      <c r="BM405" s="25" t="s">
        <v>13</v>
      </c>
      <c r="CA405" s="25" t="s">
        <v>13</v>
      </c>
      <c r="CC405" s="25" t="s">
        <v>13</v>
      </c>
    </row>
    <row r="406" spans="1:81">
      <c r="A406" s="6" t="s">
        <v>444</v>
      </c>
      <c r="B406" s="25" t="s">
        <v>316</v>
      </c>
      <c r="C406" s="62">
        <v>209.16</v>
      </c>
      <c r="D406" s="62"/>
      <c r="E406" s="62"/>
      <c r="F406" s="25">
        <f t="shared" si="158"/>
        <v>3191.0666666666666</v>
      </c>
      <c r="G406" s="23" t="s">
        <v>389</v>
      </c>
      <c r="H406" s="26">
        <f t="shared" si="157"/>
        <v>1877.7333333333336</v>
      </c>
      <c r="I406" s="26">
        <f t="shared" si="157"/>
        <v>4504.3999999999996</v>
      </c>
      <c r="J406" s="23" t="s">
        <v>417</v>
      </c>
      <c r="K406" s="23" t="s">
        <v>416</v>
      </c>
      <c r="L406" s="26">
        <v>4786.6000000000004</v>
      </c>
      <c r="M406" s="26">
        <v>2816.6000000000004</v>
      </c>
      <c r="N406" s="26">
        <v>6756.6</v>
      </c>
      <c r="O406" s="25">
        <v>3000</v>
      </c>
      <c r="P406" s="25">
        <v>2000</v>
      </c>
      <c r="Q406" s="26" t="s">
        <v>393</v>
      </c>
      <c r="R406" s="26" t="s">
        <v>13</v>
      </c>
      <c r="S406" s="6" t="s">
        <v>1131</v>
      </c>
      <c r="T406" s="44" t="s">
        <v>1149</v>
      </c>
      <c r="U406" s="62">
        <v>94</v>
      </c>
      <c r="V406" s="62">
        <v>97</v>
      </c>
      <c r="W406" s="62">
        <v>93.9</v>
      </c>
      <c r="X406" s="26">
        <v>1076.5160439832716</v>
      </c>
      <c r="Y406" s="26" t="s">
        <v>389</v>
      </c>
      <c r="Z406" s="26">
        <f t="shared" si="145"/>
        <v>753.56123078829012</v>
      </c>
      <c r="AA406" s="26">
        <f t="shared" si="146"/>
        <v>1614.7740659749074</v>
      </c>
      <c r="AB406" s="25" t="s">
        <v>1191</v>
      </c>
      <c r="AC406" s="77" t="s">
        <v>400</v>
      </c>
      <c r="AF406" s="26" t="s">
        <v>1276</v>
      </c>
      <c r="AG406" s="25" t="s">
        <v>13</v>
      </c>
      <c r="AM406" s="26"/>
      <c r="AN406" s="26"/>
      <c r="AO406" s="26"/>
      <c r="AP406" s="26"/>
      <c r="AQ406" s="29"/>
      <c r="AR406" s="26"/>
      <c r="AS406" s="26"/>
      <c r="AT406" s="26"/>
      <c r="AU406" s="26"/>
      <c r="AV406" s="26"/>
      <c r="AX406" s="26" t="s">
        <v>13</v>
      </c>
      <c r="AY406" s="6" t="s">
        <v>888</v>
      </c>
      <c r="AZ406" s="97" t="s">
        <v>13</v>
      </c>
      <c r="BA406" s="62">
        <v>44.873441972637316</v>
      </c>
      <c r="BD406" s="26">
        <v>895.03114612380898</v>
      </c>
      <c r="BE406" s="25" t="s">
        <v>239</v>
      </c>
      <c r="BF406" s="26">
        <f t="shared" si="150"/>
        <v>818.692323785231</v>
      </c>
      <c r="BG406" s="26">
        <f t="shared" si="151"/>
        <v>988.74082076524451</v>
      </c>
      <c r="BH406" s="83" t="s">
        <v>738</v>
      </c>
      <c r="BI406" s="25" t="s">
        <v>430</v>
      </c>
      <c r="BJ406" s="26">
        <v>742.35350144665301</v>
      </c>
      <c r="BK406" s="26">
        <v>1082.4504954066801</v>
      </c>
      <c r="BL406" s="26" t="s">
        <v>13</v>
      </c>
      <c r="BM406" s="25" t="s">
        <v>13</v>
      </c>
      <c r="CA406" s="25" t="s">
        <v>13</v>
      </c>
      <c r="CC406" s="25" t="s">
        <v>13</v>
      </c>
    </row>
    <row r="407" spans="1:81">
      <c r="A407" s="6" t="s">
        <v>444</v>
      </c>
      <c r="B407" s="25" t="s">
        <v>316</v>
      </c>
      <c r="C407" s="62">
        <v>210.01</v>
      </c>
      <c r="D407" s="62"/>
      <c r="E407" s="62"/>
      <c r="F407" s="25">
        <f t="shared" si="158"/>
        <v>2756</v>
      </c>
      <c r="G407" s="23" t="s">
        <v>389</v>
      </c>
      <c r="H407" s="26">
        <f t="shared" si="157"/>
        <v>1663.9333333333334</v>
      </c>
      <c r="I407" s="26">
        <f t="shared" si="157"/>
        <v>3848.0666666666666</v>
      </c>
      <c r="J407" s="23" t="s">
        <v>417</v>
      </c>
      <c r="K407" s="23" t="s">
        <v>416</v>
      </c>
      <c r="L407" s="26">
        <v>4134</v>
      </c>
      <c r="M407" s="26">
        <v>2495.9</v>
      </c>
      <c r="N407" s="26">
        <v>5772.1</v>
      </c>
      <c r="O407" s="25">
        <v>3000</v>
      </c>
      <c r="P407" s="25">
        <v>2000</v>
      </c>
      <c r="Q407" s="26" t="s">
        <v>393</v>
      </c>
      <c r="R407" s="26" t="s">
        <v>13</v>
      </c>
      <c r="S407" s="6" t="s">
        <v>1131</v>
      </c>
      <c r="T407" s="44" t="s">
        <v>1149</v>
      </c>
      <c r="U407" s="62">
        <v>94</v>
      </c>
      <c r="V407" s="62">
        <v>97</v>
      </c>
      <c r="W407" s="62">
        <v>93.9</v>
      </c>
      <c r="X407" s="26">
        <v>1087.0695224249773</v>
      </c>
      <c r="Y407" s="26" t="s">
        <v>389</v>
      </c>
      <c r="Z407" s="26">
        <f t="shared" si="145"/>
        <v>760.9486656974841</v>
      </c>
      <c r="AA407" s="26">
        <f t="shared" si="146"/>
        <v>1630.6042836374659</v>
      </c>
      <c r="AB407" s="25" t="s">
        <v>1191</v>
      </c>
      <c r="AC407" s="77" t="s">
        <v>400</v>
      </c>
      <c r="AF407" s="26" t="s">
        <v>1277</v>
      </c>
      <c r="AG407" s="25" t="s">
        <v>13</v>
      </c>
      <c r="AM407" s="26"/>
      <c r="AN407" s="26"/>
      <c r="AO407" s="26"/>
      <c r="AP407" s="26"/>
      <c r="AQ407" s="29"/>
      <c r="AR407" s="26"/>
      <c r="AS407" s="26"/>
      <c r="AT407" s="26"/>
      <c r="AU407" s="26"/>
      <c r="AV407" s="26"/>
      <c r="AX407" s="26" t="s">
        <v>13</v>
      </c>
      <c r="AY407" s="6" t="s">
        <v>888</v>
      </c>
      <c r="AZ407" s="97" t="s">
        <v>13</v>
      </c>
      <c r="BA407" s="62">
        <v>44.873441972637316</v>
      </c>
      <c r="BD407" s="26">
        <v>874.27899522697805</v>
      </c>
      <c r="BE407" s="25" t="s">
        <v>239</v>
      </c>
      <c r="BF407" s="26">
        <f t="shared" si="150"/>
        <v>797.87482200519651</v>
      </c>
      <c r="BG407" s="26">
        <f t="shared" si="151"/>
        <v>966.63935474394907</v>
      </c>
      <c r="BH407" s="83" t="s">
        <v>887</v>
      </c>
      <c r="BI407" s="25" t="s">
        <v>430</v>
      </c>
      <c r="BJ407" s="26">
        <v>721.47064878341496</v>
      </c>
      <c r="BK407" s="26">
        <v>1058.99971426092</v>
      </c>
      <c r="BL407" s="26" t="s">
        <v>13</v>
      </c>
      <c r="BM407" s="25" t="s">
        <v>13</v>
      </c>
      <c r="CA407" s="25" t="s">
        <v>13</v>
      </c>
      <c r="CC407" s="25" t="s">
        <v>13</v>
      </c>
    </row>
    <row r="408" spans="1:81">
      <c r="A408" s="6" t="s">
        <v>444</v>
      </c>
      <c r="B408" s="25" t="s">
        <v>316</v>
      </c>
      <c r="C408" s="62">
        <v>210.31</v>
      </c>
      <c r="F408" s="25">
        <f t="shared" si="158"/>
        <v>2295.5333333333333</v>
      </c>
      <c r="G408" s="23" t="s">
        <v>389</v>
      </c>
      <c r="H408" s="26">
        <f t="shared" si="157"/>
        <v>1437</v>
      </c>
      <c r="I408" s="26">
        <f t="shared" si="157"/>
        <v>3154.0666666666666</v>
      </c>
      <c r="J408" s="23" t="s">
        <v>417</v>
      </c>
      <c r="K408" s="23" t="s">
        <v>416</v>
      </c>
      <c r="L408" s="26">
        <v>3443.3</v>
      </c>
      <c r="M408" s="26">
        <v>2155.5</v>
      </c>
      <c r="N408" s="26">
        <v>4731.1000000000004</v>
      </c>
      <c r="O408" s="25">
        <v>3000</v>
      </c>
      <c r="P408" s="25">
        <v>2000</v>
      </c>
      <c r="Q408" s="26" t="s">
        <v>393</v>
      </c>
      <c r="R408" s="26" t="s">
        <v>13</v>
      </c>
      <c r="S408" s="6" t="s">
        <v>1131</v>
      </c>
      <c r="T408" s="44" t="s">
        <v>1149</v>
      </c>
      <c r="U408" s="62">
        <v>94</v>
      </c>
      <c r="V408" s="62">
        <v>97</v>
      </c>
      <c r="W408" s="62">
        <v>93.9</v>
      </c>
      <c r="X408" s="26">
        <v>1203.0134544142891</v>
      </c>
      <c r="Y408" s="26" t="s">
        <v>389</v>
      </c>
      <c r="Z408" s="26">
        <f t="shared" si="145"/>
        <v>842.10941809000235</v>
      </c>
      <c r="AA408" s="26">
        <f t="shared" si="146"/>
        <v>1804.5201816214335</v>
      </c>
      <c r="AB408" s="25" t="s">
        <v>1191</v>
      </c>
      <c r="AC408" s="77" t="s">
        <v>400</v>
      </c>
      <c r="AF408" s="26" t="s">
        <v>1278</v>
      </c>
      <c r="AG408" s="25" t="s">
        <v>13</v>
      </c>
      <c r="AM408" s="26"/>
      <c r="AN408" s="26"/>
      <c r="AO408" s="26"/>
      <c r="AP408" s="26"/>
      <c r="AQ408" s="29"/>
      <c r="AR408" s="26"/>
      <c r="AS408" s="26"/>
      <c r="AT408" s="26"/>
      <c r="AU408" s="26"/>
      <c r="AV408" s="26"/>
      <c r="AX408" s="26" t="s">
        <v>13</v>
      </c>
      <c r="AY408" s="6" t="s">
        <v>888</v>
      </c>
      <c r="AZ408" s="97" t="s">
        <v>13</v>
      </c>
      <c r="BA408" s="62">
        <v>45.204769310523588</v>
      </c>
      <c r="BD408" s="26">
        <v>958.56022386520601</v>
      </c>
      <c r="BE408" s="25" t="s">
        <v>239</v>
      </c>
      <c r="BF408" s="26">
        <f t="shared" si="150"/>
        <v>881.48646522755143</v>
      </c>
      <c r="BG408" s="26">
        <f t="shared" si="151"/>
        <v>1046.5308844570329</v>
      </c>
      <c r="BH408" s="83" t="s">
        <v>738</v>
      </c>
      <c r="BI408" s="25" t="s">
        <v>430</v>
      </c>
      <c r="BJ408" s="26">
        <v>804.41270658989697</v>
      </c>
      <c r="BK408" s="26">
        <v>1134.50154504886</v>
      </c>
      <c r="BL408" s="26" t="s">
        <v>13</v>
      </c>
      <c r="BM408" s="25" t="s">
        <v>13</v>
      </c>
      <c r="CA408" s="25" t="s">
        <v>13</v>
      </c>
      <c r="CC408" s="25" t="s">
        <v>13</v>
      </c>
    </row>
    <row r="409" spans="1:81">
      <c r="A409" s="6" t="s">
        <v>444</v>
      </c>
      <c r="B409" s="25" t="s">
        <v>316</v>
      </c>
      <c r="C409" s="62">
        <v>210.75</v>
      </c>
      <c r="F409" s="25">
        <f t="shared" si="158"/>
        <v>2605.6</v>
      </c>
      <c r="G409" s="23" t="s">
        <v>389</v>
      </c>
      <c r="H409" s="26">
        <f t="shared" si="157"/>
        <v>1579.2</v>
      </c>
      <c r="I409" s="26">
        <f t="shared" si="157"/>
        <v>3632</v>
      </c>
      <c r="J409" s="23" t="s">
        <v>417</v>
      </c>
      <c r="K409" s="23" t="s">
        <v>416</v>
      </c>
      <c r="L409" s="26">
        <v>3908.4</v>
      </c>
      <c r="M409" s="26">
        <v>2368.8000000000002</v>
      </c>
      <c r="N409" s="26">
        <v>5448</v>
      </c>
      <c r="O409" s="25">
        <v>3000</v>
      </c>
      <c r="P409" s="25">
        <v>2000</v>
      </c>
      <c r="Q409" s="26" t="s">
        <v>393</v>
      </c>
      <c r="R409" s="26" t="s">
        <v>13</v>
      </c>
      <c r="S409" s="6" t="s">
        <v>1131</v>
      </c>
      <c r="T409" s="44" t="s">
        <v>1150</v>
      </c>
      <c r="U409" s="62">
        <v>94</v>
      </c>
      <c r="V409" s="62">
        <v>100</v>
      </c>
      <c r="W409" s="62">
        <v>93.9</v>
      </c>
      <c r="X409" s="26">
        <v>696.06863330397209</v>
      </c>
      <c r="Y409" s="26" t="s">
        <v>389</v>
      </c>
      <c r="Z409" s="26">
        <f t="shared" si="145"/>
        <v>487.24804331278045</v>
      </c>
      <c r="AA409" s="26">
        <f t="shared" si="146"/>
        <v>1044.1029499559581</v>
      </c>
      <c r="AB409" s="25" t="s">
        <v>1191</v>
      </c>
      <c r="AC409" s="77" t="s">
        <v>400</v>
      </c>
      <c r="AF409" s="26" t="s">
        <v>1279</v>
      </c>
      <c r="AG409" s="25" t="s">
        <v>13</v>
      </c>
      <c r="AM409" s="26"/>
      <c r="AN409" s="26"/>
      <c r="AO409" s="26"/>
      <c r="AP409" s="26"/>
      <c r="AQ409" s="29"/>
      <c r="AR409" s="26"/>
      <c r="AS409" s="26"/>
      <c r="AT409" s="26"/>
      <c r="AU409" s="26"/>
      <c r="AV409" s="26"/>
      <c r="AX409" s="26" t="s">
        <v>13</v>
      </c>
      <c r="AY409" s="6" t="s">
        <v>888</v>
      </c>
      <c r="AZ409" s="97" t="s">
        <v>13</v>
      </c>
      <c r="BA409" s="62">
        <v>45.204769310523588</v>
      </c>
      <c r="BD409" s="26">
        <v>1116.11969989964</v>
      </c>
      <c r="BE409" s="25" t="s">
        <v>239</v>
      </c>
      <c r="BF409" s="26">
        <f t="shared" si="150"/>
        <v>1017.141844493726</v>
      </c>
      <c r="BG409" s="26">
        <f t="shared" si="151"/>
        <v>1233.680105792645</v>
      </c>
      <c r="BH409" s="83" t="s">
        <v>887</v>
      </c>
      <c r="BI409" s="25" t="s">
        <v>430</v>
      </c>
      <c r="BJ409" s="26">
        <v>918.16398908781207</v>
      </c>
      <c r="BK409" s="26">
        <v>1351.2405116856501</v>
      </c>
      <c r="BL409" s="26" t="s">
        <v>13</v>
      </c>
      <c r="BM409" s="25" t="s">
        <v>13</v>
      </c>
      <c r="CA409" s="25" t="s">
        <v>13</v>
      </c>
      <c r="CC409" s="25" t="s">
        <v>13</v>
      </c>
    </row>
    <row r="410" spans="1:81">
      <c r="A410" s="6" t="s">
        <v>444</v>
      </c>
      <c r="B410" s="25" t="s">
        <v>316</v>
      </c>
      <c r="C410" s="62">
        <v>211.56</v>
      </c>
      <c r="F410" s="25">
        <f t="shared" si="158"/>
        <v>1623.4</v>
      </c>
      <c r="G410" s="23" t="s">
        <v>389</v>
      </c>
      <c r="H410" s="26">
        <f t="shared" si="157"/>
        <v>1046.9333333333332</v>
      </c>
      <c r="I410" s="26">
        <f t="shared" si="157"/>
        <v>2199.8666666666668</v>
      </c>
      <c r="J410" s="23" t="s">
        <v>417</v>
      </c>
      <c r="K410" s="23" t="s">
        <v>416</v>
      </c>
      <c r="L410" s="26">
        <v>2435.1</v>
      </c>
      <c r="M410" s="26">
        <v>1570.3999999999999</v>
      </c>
      <c r="N410" s="26">
        <v>3299.8</v>
      </c>
      <c r="O410" s="25">
        <v>3000</v>
      </c>
      <c r="P410" s="25">
        <v>2000</v>
      </c>
      <c r="Q410" s="26" t="s">
        <v>393</v>
      </c>
      <c r="R410" s="26" t="s">
        <v>13</v>
      </c>
      <c r="S410" s="6" t="s">
        <v>1131</v>
      </c>
      <c r="T410" s="44" t="s">
        <v>1150</v>
      </c>
      <c r="U410" s="62">
        <v>94</v>
      </c>
      <c r="V410" s="62">
        <v>100</v>
      </c>
      <c r="W410" s="62">
        <v>93.9</v>
      </c>
      <c r="X410" s="26">
        <v>616.59535639559465</v>
      </c>
      <c r="Y410" s="26" t="s">
        <v>389</v>
      </c>
      <c r="Z410" s="26">
        <f t="shared" si="145"/>
        <v>431.61674947691625</v>
      </c>
      <c r="AA410" s="26">
        <f t="shared" si="146"/>
        <v>924.89303459339203</v>
      </c>
      <c r="AB410" s="25" t="s">
        <v>1191</v>
      </c>
      <c r="AC410" s="77" t="s">
        <v>400</v>
      </c>
      <c r="AF410" s="26" t="s">
        <v>1279</v>
      </c>
      <c r="AG410" s="25" t="s">
        <v>13</v>
      </c>
      <c r="AM410" s="26"/>
      <c r="AN410" s="26"/>
      <c r="AO410" s="26"/>
      <c r="AP410" s="26"/>
      <c r="AQ410" s="29"/>
      <c r="AR410" s="26"/>
      <c r="AS410" s="26"/>
      <c r="AT410" s="26"/>
      <c r="AU410" s="26"/>
      <c r="AV410" s="26"/>
      <c r="AX410" s="26" t="s">
        <v>13</v>
      </c>
      <c r="AY410" s="6" t="s">
        <v>888</v>
      </c>
      <c r="AZ410" s="97" t="s">
        <v>13</v>
      </c>
      <c r="BA410" s="62">
        <v>45.753600649131108</v>
      </c>
      <c r="BD410" s="26">
        <v>1030.3035929560499</v>
      </c>
      <c r="BE410" s="25" t="s">
        <v>239</v>
      </c>
      <c r="BF410" s="26">
        <f t="shared" si="150"/>
        <v>942.83410347119002</v>
      </c>
      <c r="BG410" s="26">
        <f t="shared" si="151"/>
        <v>1128.882697640355</v>
      </c>
      <c r="BH410" s="83" t="s">
        <v>738</v>
      </c>
      <c r="BI410" s="25" t="s">
        <v>430</v>
      </c>
      <c r="BJ410" s="26">
        <v>855.36461398633003</v>
      </c>
      <c r="BK410" s="26">
        <v>1227.4618023246601</v>
      </c>
      <c r="BL410" s="26" t="s">
        <v>13</v>
      </c>
      <c r="BM410" s="25" t="s">
        <v>13</v>
      </c>
      <c r="CA410" s="25" t="s">
        <v>13</v>
      </c>
      <c r="CC410" s="25" t="s">
        <v>13</v>
      </c>
    </row>
    <row r="411" spans="1:81">
      <c r="A411" s="6" t="s">
        <v>444</v>
      </c>
      <c r="B411" s="25" t="s">
        <v>316</v>
      </c>
      <c r="C411" s="62">
        <v>211.57</v>
      </c>
      <c r="F411" s="25">
        <f t="shared" si="158"/>
        <v>2236.6</v>
      </c>
      <c r="G411" s="23" t="s">
        <v>389</v>
      </c>
      <c r="H411" s="26">
        <f t="shared" si="157"/>
        <v>1366.7333333333336</v>
      </c>
      <c r="I411" s="26">
        <f t="shared" si="157"/>
        <v>3106.4666666666667</v>
      </c>
      <c r="J411" s="23" t="s">
        <v>417</v>
      </c>
      <c r="K411" s="23" t="s">
        <v>416</v>
      </c>
      <c r="L411" s="26">
        <v>3354.9</v>
      </c>
      <c r="M411" s="26">
        <v>2050.1000000000004</v>
      </c>
      <c r="N411" s="26">
        <v>4659.7</v>
      </c>
      <c r="O411" s="25">
        <v>3000</v>
      </c>
      <c r="P411" s="25">
        <v>2000</v>
      </c>
      <c r="Q411" s="26" t="s">
        <v>393</v>
      </c>
      <c r="R411" s="26" t="s">
        <v>13</v>
      </c>
      <c r="S411" s="6" t="s">
        <v>1131</v>
      </c>
      <c r="T411" s="44" t="s">
        <v>1150</v>
      </c>
      <c r="U411" s="62">
        <v>94</v>
      </c>
      <c r="V411" s="62">
        <v>100</v>
      </c>
      <c r="W411" s="62">
        <v>93.9</v>
      </c>
      <c r="X411" s="26">
        <v>639.91919292354748</v>
      </c>
      <c r="Y411" s="26" t="s">
        <v>389</v>
      </c>
      <c r="Z411" s="26">
        <f t="shared" ref="Z411:Z474" si="159">X411*0.7</f>
        <v>447.94343504648322</v>
      </c>
      <c r="AA411" s="26">
        <f t="shared" ref="AA411:AA474" si="160">X411*1.5</f>
        <v>959.87878938532117</v>
      </c>
      <c r="AB411" s="25" t="s">
        <v>1191</v>
      </c>
      <c r="AC411" s="77" t="s">
        <v>400</v>
      </c>
      <c r="AF411" s="26" t="s">
        <v>1279</v>
      </c>
      <c r="AG411" s="25" t="s">
        <v>13</v>
      </c>
      <c r="AM411" s="26"/>
      <c r="AN411" s="26"/>
      <c r="AO411" s="26"/>
      <c r="AP411" s="26"/>
      <c r="AQ411" s="29"/>
      <c r="AR411" s="26"/>
      <c r="AS411" s="26"/>
      <c r="AT411" s="26"/>
      <c r="AU411" s="26"/>
      <c r="AV411" s="26"/>
      <c r="AX411" s="26" t="s">
        <v>13</v>
      </c>
      <c r="AY411" s="6" t="s">
        <v>888</v>
      </c>
      <c r="AZ411" s="97" t="s">
        <v>13</v>
      </c>
      <c r="BA411" s="62">
        <v>46.317082516284628</v>
      </c>
      <c r="BD411" s="26">
        <v>1004.9624409604</v>
      </c>
      <c r="BE411" s="25" t="s">
        <v>239</v>
      </c>
      <c r="BF411" s="26">
        <f t="shared" si="150"/>
        <v>918.84310610146304</v>
      </c>
      <c r="BG411" s="26">
        <f t="shared" si="151"/>
        <v>1107.5301474251801</v>
      </c>
      <c r="BH411" s="83" t="s">
        <v>887</v>
      </c>
      <c r="BI411" s="25" t="s">
        <v>430</v>
      </c>
      <c r="BJ411" s="26">
        <v>832.72377124252591</v>
      </c>
      <c r="BK411" s="26">
        <v>1210.0978538899601</v>
      </c>
      <c r="BL411" s="26" t="s">
        <v>13</v>
      </c>
      <c r="BM411" s="25" t="s">
        <v>13</v>
      </c>
      <c r="CA411" s="25" t="s">
        <v>13</v>
      </c>
      <c r="CC411" s="25" t="s">
        <v>13</v>
      </c>
    </row>
    <row r="412" spans="1:81">
      <c r="A412" s="6" t="s">
        <v>444</v>
      </c>
      <c r="B412" s="25" t="s">
        <v>316</v>
      </c>
      <c r="C412" s="62">
        <v>211.89</v>
      </c>
      <c r="F412" s="25">
        <f t="shared" si="158"/>
        <v>1942.2666666666667</v>
      </c>
      <c r="G412" s="23" t="s">
        <v>389</v>
      </c>
      <c r="H412" s="26">
        <f t="shared" si="157"/>
        <v>1220.2666666666667</v>
      </c>
      <c r="I412" s="26">
        <f t="shared" si="157"/>
        <v>2664.2666666666669</v>
      </c>
      <c r="J412" s="23" t="s">
        <v>417</v>
      </c>
      <c r="K412" s="23" t="s">
        <v>416</v>
      </c>
      <c r="L412" s="26">
        <v>2913.4</v>
      </c>
      <c r="M412" s="26">
        <v>1830.4</v>
      </c>
      <c r="N412" s="26">
        <v>3996.4</v>
      </c>
      <c r="O412" s="25">
        <v>3000</v>
      </c>
      <c r="P412" s="25">
        <v>2000</v>
      </c>
      <c r="Q412" s="26" t="s">
        <v>393</v>
      </c>
      <c r="R412" s="26" t="s">
        <v>13</v>
      </c>
      <c r="S412" s="6" t="s">
        <v>1131</v>
      </c>
      <c r="T412" s="44" t="s">
        <v>1148</v>
      </c>
      <c r="U412" s="62">
        <v>94</v>
      </c>
      <c r="V412" s="62">
        <v>96</v>
      </c>
      <c r="W412" s="62">
        <v>92</v>
      </c>
      <c r="X412" s="26">
        <v>634.36492805547641</v>
      </c>
      <c r="Y412" s="26" t="s">
        <v>389</v>
      </c>
      <c r="Z412" s="26">
        <f t="shared" si="159"/>
        <v>444.05544963883347</v>
      </c>
      <c r="AA412" s="26">
        <f t="shared" si="160"/>
        <v>951.54739208321462</v>
      </c>
      <c r="AB412" s="25" t="s">
        <v>1191</v>
      </c>
      <c r="AC412" s="77" t="s">
        <v>400</v>
      </c>
      <c r="AF412" s="26" t="s">
        <v>1280</v>
      </c>
      <c r="AG412" s="25" t="s">
        <v>13</v>
      </c>
      <c r="AM412" s="26"/>
      <c r="AN412" s="26"/>
      <c r="AO412" s="26"/>
      <c r="AP412" s="26"/>
      <c r="AQ412" s="29"/>
      <c r="AR412" s="26"/>
      <c r="AS412" s="26"/>
      <c r="AT412" s="26"/>
      <c r="AU412" s="26"/>
      <c r="AV412" s="26"/>
      <c r="AX412" s="26" t="s">
        <v>13</v>
      </c>
      <c r="AY412" s="6" t="s">
        <v>888</v>
      </c>
      <c r="AZ412" s="97" t="s">
        <v>13</v>
      </c>
      <c r="BA412" s="62">
        <v>46.655171636576732</v>
      </c>
      <c r="BD412" s="26">
        <v>962.39851717586998</v>
      </c>
      <c r="BE412" s="25" t="s">
        <v>239</v>
      </c>
      <c r="BF412" s="26">
        <f t="shared" si="150"/>
        <v>885.16277010604847</v>
      </c>
      <c r="BG412" s="26">
        <f t="shared" si="151"/>
        <v>1056.4286265784799</v>
      </c>
      <c r="BH412" s="83" t="s">
        <v>738</v>
      </c>
      <c r="BI412" s="25" t="s">
        <v>430</v>
      </c>
      <c r="BJ412" s="26">
        <v>807.92702303622696</v>
      </c>
      <c r="BK412" s="26">
        <v>1150.4587359810898</v>
      </c>
      <c r="BL412" s="26" t="s">
        <v>13</v>
      </c>
      <c r="BM412" s="25" t="s">
        <v>13</v>
      </c>
      <c r="CA412" s="25" t="s">
        <v>13</v>
      </c>
      <c r="CC412" s="25" t="s">
        <v>13</v>
      </c>
    </row>
    <row r="413" spans="1:81">
      <c r="A413" s="6" t="s">
        <v>444</v>
      </c>
      <c r="B413" s="25" t="s">
        <v>316</v>
      </c>
      <c r="C413" s="62">
        <v>213.08</v>
      </c>
      <c r="D413" s="62"/>
      <c r="E413" s="62"/>
      <c r="F413" s="25">
        <f t="shared" si="158"/>
        <v>2635.6</v>
      </c>
      <c r="G413" s="23" t="s">
        <v>389</v>
      </c>
      <c r="H413" s="26">
        <f t="shared" si="157"/>
        <v>1574.4000000000003</v>
      </c>
      <c r="I413" s="26">
        <f t="shared" si="157"/>
        <v>3696.8</v>
      </c>
      <c r="J413" s="23" t="s">
        <v>417</v>
      </c>
      <c r="K413" s="23" t="s">
        <v>416</v>
      </c>
      <c r="L413" s="26">
        <v>3953.4</v>
      </c>
      <c r="M413" s="26">
        <v>2361.6000000000004</v>
      </c>
      <c r="N413" s="26">
        <v>5545.2</v>
      </c>
      <c r="O413" s="25">
        <v>3000</v>
      </c>
      <c r="P413" s="25">
        <v>2000</v>
      </c>
      <c r="Q413" s="26" t="s">
        <v>393</v>
      </c>
      <c r="R413" s="26" t="s">
        <v>13</v>
      </c>
      <c r="S413" s="6" t="s">
        <v>1131</v>
      </c>
      <c r="T413" s="44" t="s">
        <v>1148</v>
      </c>
      <c r="U413" s="62">
        <v>94</v>
      </c>
      <c r="V413" s="62">
        <v>96</v>
      </c>
      <c r="W413" s="62">
        <v>92</v>
      </c>
      <c r="X413" s="26">
        <v>801.00276068785695</v>
      </c>
      <c r="Y413" s="26" t="s">
        <v>389</v>
      </c>
      <c r="Z413" s="26">
        <f t="shared" si="159"/>
        <v>560.70193248149985</v>
      </c>
      <c r="AA413" s="26">
        <f t="shared" si="160"/>
        <v>1201.5041410317854</v>
      </c>
      <c r="AB413" s="25" t="s">
        <v>1191</v>
      </c>
      <c r="AC413" s="77" t="s">
        <v>400</v>
      </c>
      <c r="AF413" s="26">
        <v>326476</v>
      </c>
      <c r="AG413" s="25" t="s">
        <v>13</v>
      </c>
      <c r="AM413" s="26"/>
      <c r="AN413" s="26"/>
      <c r="AO413" s="26"/>
      <c r="AP413" s="26"/>
      <c r="AQ413" s="29"/>
      <c r="AR413" s="26"/>
      <c r="AS413" s="26"/>
      <c r="AT413" s="26"/>
      <c r="AU413" s="26"/>
      <c r="AV413" s="26"/>
      <c r="AX413" s="26" t="s">
        <v>13</v>
      </c>
      <c r="AY413" s="6" t="s">
        <v>888</v>
      </c>
      <c r="AZ413" s="97" t="s">
        <v>13</v>
      </c>
      <c r="BA413" s="62">
        <v>47.331349877160953</v>
      </c>
      <c r="BD413" s="26">
        <v>1070.4269003171898</v>
      </c>
      <c r="BE413" s="25" t="s">
        <v>239</v>
      </c>
      <c r="BF413" s="26">
        <f t="shared" si="150"/>
        <v>988.83532142921342</v>
      </c>
      <c r="BG413" s="26">
        <f t="shared" si="151"/>
        <v>1166.9098007289749</v>
      </c>
      <c r="BH413" s="83" t="s">
        <v>887</v>
      </c>
      <c r="BI413" s="25" t="s">
        <v>430</v>
      </c>
      <c r="BJ413" s="26">
        <v>907.243742541237</v>
      </c>
      <c r="BK413" s="26">
        <v>1263.39270114076</v>
      </c>
      <c r="BL413" s="26" t="s">
        <v>13</v>
      </c>
      <c r="BM413" s="25" t="s">
        <v>13</v>
      </c>
      <c r="CA413" s="25" t="s">
        <v>13</v>
      </c>
      <c r="CC413" s="25" t="s">
        <v>13</v>
      </c>
    </row>
    <row r="414" spans="1:81">
      <c r="A414" s="6" t="s">
        <v>444</v>
      </c>
      <c r="B414" s="25" t="s">
        <v>316</v>
      </c>
      <c r="C414" s="62">
        <v>214.95</v>
      </c>
      <c r="D414" s="62"/>
      <c r="E414" s="62"/>
      <c r="F414" s="25">
        <f t="shared" si="158"/>
        <v>3194.3333333333335</v>
      </c>
      <c r="G414" s="23" t="s">
        <v>389</v>
      </c>
      <c r="H414" s="26">
        <f t="shared" si="157"/>
        <v>1872.6666666666667</v>
      </c>
      <c r="I414" s="26">
        <f t="shared" si="157"/>
        <v>4516</v>
      </c>
      <c r="J414" s="23" t="s">
        <v>417</v>
      </c>
      <c r="K414" s="23" t="s">
        <v>416</v>
      </c>
      <c r="L414" s="26">
        <v>4791.5</v>
      </c>
      <c r="M414" s="26">
        <v>2809</v>
      </c>
      <c r="N414" s="26">
        <v>6774</v>
      </c>
      <c r="O414" s="25">
        <v>3000</v>
      </c>
      <c r="P414" s="25">
        <v>2000</v>
      </c>
      <c r="Q414" s="26" t="s">
        <v>393</v>
      </c>
      <c r="R414" s="26" t="s">
        <v>13</v>
      </c>
      <c r="S414" s="6" t="s">
        <v>1131</v>
      </c>
      <c r="T414" s="44" t="s">
        <v>1150</v>
      </c>
      <c r="U414" s="62">
        <v>95</v>
      </c>
      <c r="V414" s="62">
        <v>96</v>
      </c>
      <c r="W414" s="62">
        <v>94</v>
      </c>
      <c r="X414" s="26">
        <v>792.00027934894013</v>
      </c>
      <c r="Y414" s="26" t="s">
        <v>389</v>
      </c>
      <c r="Z414" s="26">
        <f t="shared" si="159"/>
        <v>554.40019554425805</v>
      </c>
      <c r="AA414" s="26">
        <f t="shared" si="160"/>
        <v>1188.0004190234101</v>
      </c>
      <c r="AB414" s="25" t="s">
        <v>1191</v>
      </c>
      <c r="AC414" s="77" t="s">
        <v>400</v>
      </c>
      <c r="AF414" s="26" t="s">
        <v>1281</v>
      </c>
      <c r="AG414" s="25" t="s">
        <v>13</v>
      </c>
      <c r="AM414" s="26"/>
      <c r="AN414" s="26"/>
      <c r="AO414" s="26"/>
      <c r="AP414" s="26"/>
      <c r="AQ414" s="29"/>
      <c r="AR414" s="26"/>
      <c r="AS414" s="26"/>
      <c r="AT414" s="26"/>
      <c r="AU414" s="26"/>
      <c r="AV414" s="26"/>
      <c r="AX414" s="26" t="s">
        <v>13</v>
      </c>
      <c r="AY414" s="6" t="s">
        <v>888</v>
      </c>
      <c r="AZ414" s="97" t="s">
        <v>13</v>
      </c>
      <c r="BA414" s="62">
        <v>48.015416863885314</v>
      </c>
      <c r="BD414" s="26">
        <v>1136.7089096346399</v>
      </c>
      <c r="BE414" s="25" t="s">
        <v>239</v>
      </c>
      <c r="BF414" s="26">
        <f t="shared" si="150"/>
        <v>1038.0988655427579</v>
      </c>
      <c r="BG414" s="26">
        <f t="shared" si="151"/>
        <v>1237.1679641614651</v>
      </c>
      <c r="BH414" s="83" t="s">
        <v>738</v>
      </c>
      <c r="BI414" s="25" t="s">
        <v>430</v>
      </c>
      <c r="BJ414" s="26">
        <v>939.488821450876</v>
      </c>
      <c r="BK414" s="26">
        <v>1337.62701868829</v>
      </c>
      <c r="BL414" s="26" t="s">
        <v>13</v>
      </c>
      <c r="BM414" s="25" t="s">
        <v>13</v>
      </c>
      <c r="CA414" s="25" t="s">
        <v>13</v>
      </c>
      <c r="CC414" s="25" t="s">
        <v>13</v>
      </c>
    </row>
    <row r="415" spans="1:81">
      <c r="A415" s="6" t="s">
        <v>444</v>
      </c>
      <c r="B415" s="25" t="s">
        <v>316</v>
      </c>
      <c r="C415" s="62">
        <v>215</v>
      </c>
      <c r="D415" s="62"/>
      <c r="E415" s="62"/>
      <c r="F415" s="25">
        <f t="shared" si="158"/>
        <v>3087.8</v>
      </c>
      <c r="G415" s="23" t="s">
        <v>389</v>
      </c>
      <c r="H415" s="26">
        <f t="shared" si="157"/>
        <v>1802.5333333333331</v>
      </c>
      <c r="I415" s="26">
        <f t="shared" si="157"/>
        <v>4373.0666666666666</v>
      </c>
      <c r="J415" s="23" t="s">
        <v>417</v>
      </c>
      <c r="K415" s="23" t="s">
        <v>416</v>
      </c>
      <c r="L415" s="26">
        <v>4631.7</v>
      </c>
      <c r="M415" s="26">
        <v>2703.7999999999997</v>
      </c>
      <c r="N415" s="26">
        <v>6559.6</v>
      </c>
      <c r="O415" s="25">
        <v>3000</v>
      </c>
      <c r="P415" s="25">
        <v>2000</v>
      </c>
      <c r="Q415" s="26" t="s">
        <v>393</v>
      </c>
      <c r="R415" s="26" t="s">
        <v>13</v>
      </c>
      <c r="S415" s="6" t="s">
        <v>1131</v>
      </c>
      <c r="T415" s="44" t="s">
        <v>1150</v>
      </c>
      <c r="U415" s="62">
        <v>95</v>
      </c>
      <c r="V415" s="62">
        <v>97</v>
      </c>
      <c r="W415" s="62">
        <v>93.5</v>
      </c>
      <c r="X415" s="26">
        <v>1156.7216863969477</v>
      </c>
      <c r="Y415" s="26" t="s">
        <v>389</v>
      </c>
      <c r="Z415" s="26">
        <f t="shared" si="159"/>
        <v>809.70518047786334</v>
      </c>
      <c r="AA415" s="26">
        <f t="shared" si="160"/>
        <v>1735.0825295954214</v>
      </c>
      <c r="AB415" s="25" t="s">
        <v>1191</v>
      </c>
      <c r="AC415" s="77" t="s">
        <v>400</v>
      </c>
      <c r="AF415" s="26" t="s">
        <v>1282</v>
      </c>
      <c r="AG415" s="25" t="s">
        <v>13</v>
      </c>
      <c r="AM415" s="26"/>
      <c r="AN415" s="26"/>
      <c r="AO415" s="26"/>
      <c r="AP415" s="26"/>
      <c r="AQ415" s="29"/>
      <c r="AR415" s="26"/>
      <c r="AS415" s="26"/>
      <c r="AT415" s="26"/>
      <c r="AU415" s="26"/>
      <c r="AV415" s="26"/>
      <c r="AX415" s="26" t="s">
        <v>13</v>
      </c>
      <c r="AY415" s="6" t="s">
        <v>888</v>
      </c>
      <c r="AZ415" s="97" t="s">
        <v>13</v>
      </c>
      <c r="BA415" s="62">
        <v>48.015416863885314</v>
      </c>
      <c r="BD415" s="26">
        <v>1039.0337485929001</v>
      </c>
      <c r="BE415" s="25" t="s">
        <v>239</v>
      </c>
      <c r="BF415" s="26">
        <f t="shared" si="150"/>
        <v>946.63997352100159</v>
      </c>
      <c r="BG415" s="26">
        <f t="shared" si="151"/>
        <v>1146.8714264802052</v>
      </c>
      <c r="BH415" s="83" t="s">
        <v>887</v>
      </c>
      <c r="BI415" s="25" t="s">
        <v>430</v>
      </c>
      <c r="BJ415" s="26">
        <v>854.24619844910296</v>
      </c>
      <c r="BK415" s="26">
        <v>1254.70910436751</v>
      </c>
      <c r="BL415" s="26" t="s">
        <v>13</v>
      </c>
      <c r="BM415" s="25" t="s">
        <v>13</v>
      </c>
      <c r="CA415" s="25" t="s">
        <v>13</v>
      </c>
      <c r="CC415" s="25" t="s">
        <v>13</v>
      </c>
    </row>
    <row r="416" spans="1:81">
      <c r="A416" s="6" t="s">
        <v>444</v>
      </c>
      <c r="B416" s="25" t="s">
        <v>316</v>
      </c>
      <c r="C416" s="62">
        <v>215.06</v>
      </c>
      <c r="D416" s="62"/>
      <c r="E416" s="62"/>
      <c r="F416" s="25">
        <f t="shared" si="158"/>
        <v>3123.2</v>
      </c>
      <c r="G416" s="23" t="s">
        <v>389</v>
      </c>
      <c r="H416" s="26">
        <f t="shared" si="157"/>
        <v>1826.4666666666669</v>
      </c>
      <c r="I416" s="26">
        <f t="shared" si="157"/>
        <v>4419.9333333333334</v>
      </c>
      <c r="J416" s="23" t="s">
        <v>417</v>
      </c>
      <c r="K416" s="23" t="s">
        <v>416</v>
      </c>
      <c r="L416" s="26">
        <v>4684.8</v>
      </c>
      <c r="M416" s="26">
        <v>2739.7000000000003</v>
      </c>
      <c r="N416" s="26">
        <v>6629.9</v>
      </c>
      <c r="O416" s="25">
        <v>3000</v>
      </c>
      <c r="P416" s="25">
        <v>2000</v>
      </c>
      <c r="Q416" s="26" t="s">
        <v>393</v>
      </c>
      <c r="R416" s="26" t="s">
        <v>13</v>
      </c>
      <c r="S416" s="6" t="s">
        <v>1131</v>
      </c>
      <c r="T416" s="44" t="s">
        <v>1150</v>
      </c>
      <c r="U416" s="62">
        <v>95</v>
      </c>
      <c r="V416" s="62">
        <v>97</v>
      </c>
      <c r="W416" s="62">
        <v>93.5</v>
      </c>
      <c r="X416" s="26">
        <v>1682.9836076108948</v>
      </c>
      <c r="Y416" s="26" t="s">
        <v>389</v>
      </c>
      <c r="Z416" s="26">
        <f t="shared" si="159"/>
        <v>1178.0885253276263</v>
      </c>
      <c r="AA416" s="26">
        <f t="shared" si="160"/>
        <v>2524.475411416342</v>
      </c>
      <c r="AB416" s="25" t="s">
        <v>1191</v>
      </c>
      <c r="AC416" s="77" t="s">
        <v>400</v>
      </c>
      <c r="AF416" s="26" t="s">
        <v>1283</v>
      </c>
      <c r="AG416" s="25" t="s">
        <v>13</v>
      </c>
      <c r="AM416" s="26"/>
      <c r="AN416" s="26"/>
      <c r="AO416" s="26"/>
      <c r="AP416" s="26"/>
      <c r="AQ416" s="29"/>
      <c r="AR416" s="26"/>
      <c r="AS416" s="26"/>
      <c r="AT416" s="26"/>
      <c r="AU416" s="26"/>
      <c r="AV416" s="26"/>
      <c r="AX416" s="26" t="s">
        <v>13</v>
      </c>
      <c r="AY416" s="6" t="s">
        <v>888</v>
      </c>
      <c r="AZ416" s="97" t="s">
        <v>13</v>
      </c>
      <c r="BA416" s="62">
        <v>49.1344918520522</v>
      </c>
      <c r="BD416" s="26">
        <v>1185.02199530142</v>
      </c>
      <c r="BE416" s="25" t="s">
        <v>239</v>
      </c>
      <c r="BF416" s="26">
        <f t="shared" si="150"/>
        <v>1079.3559556618375</v>
      </c>
      <c r="BG416" s="26">
        <f t="shared" si="151"/>
        <v>1312.622231144265</v>
      </c>
      <c r="BH416" s="83" t="s">
        <v>738</v>
      </c>
      <c r="BI416" s="25" t="s">
        <v>430</v>
      </c>
      <c r="BJ416" s="26">
        <v>973.68991602225503</v>
      </c>
      <c r="BK416" s="26">
        <v>1440.22246698711</v>
      </c>
      <c r="BL416" s="26" t="s">
        <v>13</v>
      </c>
      <c r="BM416" s="25" t="s">
        <v>13</v>
      </c>
      <c r="CA416" s="25" t="s">
        <v>13</v>
      </c>
      <c r="CC416" s="25" t="s">
        <v>13</v>
      </c>
    </row>
    <row r="417" spans="1:81">
      <c r="A417" s="6" t="s">
        <v>444</v>
      </c>
      <c r="B417" s="25" t="s">
        <v>316</v>
      </c>
      <c r="C417" s="62">
        <v>215.19</v>
      </c>
      <c r="D417" s="62"/>
      <c r="E417" s="62"/>
      <c r="F417" s="25">
        <f t="shared" si="158"/>
        <v>3722.4</v>
      </c>
      <c r="G417" s="23" t="s">
        <v>389</v>
      </c>
      <c r="H417" s="26">
        <f t="shared" si="157"/>
        <v>2095.0666666666671</v>
      </c>
      <c r="I417" s="26">
        <f t="shared" si="157"/>
        <v>5349.7333333333336</v>
      </c>
      <c r="J417" s="23" t="s">
        <v>417</v>
      </c>
      <c r="K417" s="23" t="s">
        <v>416</v>
      </c>
      <c r="L417" s="26">
        <v>5583.6</v>
      </c>
      <c r="M417" s="26">
        <v>3142.6000000000004</v>
      </c>
      <c r="N417" s="26">
        <v>8024.6</v>
      </c>
      <c r="O417" s="25">
        <v>3000</v>
      </c>
      <c r="P417" s="25">
        <v>2000</v>
      </c>
      <c r="Q417" s="26" t="s">
        <v>393</v>
      </c>
      <c r="R417" s="26" t="s">
        <v>13</v>
      </c>
      <c r="S417" s="6" t="s">
        <v>1131</v>
      </c>
      <c r="T417" s="44" t="s">
        <v>1150</v>
      </c>
      <c r="U417" s="62">
        <v>95</v>
      </c>
      <c r="V417" s="62">
        <v>97</v>
      </c>
      <c r="W417" s="62">
        <v>93.5</v>
      </c>
      <c r="X417" s="26">
        <v>1490.3562637521488</v>
      </c>
      <c r="Y417" s="26" t="s">
        <v>389</v>
      </c>
      <c r="Z417" s="26">
        <f t="shared" si="159"/>
        <v>1043.249384626504</v>
      </c>
      <c r="AA417" s="26">
        <f t="shared" si="160"/>
        <v>2235.5343956282231</v>
      </c>
      <c r="AB417" s="25" t="s">
        <v>1191</v>
      </c>
      <c r="AC417" s="77" t="s">
        <v>400</v>
      </c>
      <c r="AF417" s="26" t="s">
        <v>1283</v>
      </c>
      <c r="AG417" s="25" t="s">
        <v>13</v>
      </c>
      <c r="AM417" s="26"/>
      <c r="AN417" s="26"/>
      <c r="AO417" s="26"/>
      <c r="AP417" s="26"/>
      <c r="AQ417" s="29"/>
      <c r="AR417" s="26"/>
      <c r="AS417" s="26"/>
      <c r="AT417" s="26"/>
      <c r="AU417" s="26"/>
      <c r="AV417" s="26"/>
      <c r="AX417" s="26" t="s">
        <v>13</v>
      </c>
      <c r="AY417" s="6" t="s">
        <v>888</v>
      </c>
      <c r="AZ417" s="97" t="s">
        <v>13</v>
      </c>
      <c r="BA417" s="62">
        <v>49.818558838776561</v>
      </c>
      <c r="BD417" s="26">
        <v>1116.42396788734</v>
      </c>
      <c r="BE417" s="25" t="s">
        <v>239</v>
      </c>
      <c r="BF417" s="26">
        <f t="shared" si="150"/>
        <v>1012.59854934079</v>
      </c>
      <c r="BG417" s="26">
        <f t="shared" si="151"/>
        <v>1244.8881612907201</v>
      </c>
      <c r="BH417" s="83" t="s">
        <v>887</v>
      </c>
      <c r="BI417" s="25" t="s">
        <v>430</v>
      </c>
      <c r="BJ417" s="26">
        <v>908.77313079424005</v>
      </c>
      <c r="BK417" s="26">
        <v>1373.3523546941001</v>
      </c>
      <c r="BL417" s="26" t="s">
        <v>13</v>
      </c>
      <c r="BM417" s="25" t="s">
        <v>13</v>
      </c>
      <c r="CA417" s="25" t="s">
        <v>13</v>
      </c>
      <c r="CC417" s="25" t="s">
        <v>13</v>
      </c>
    </row>
    <row r="418" spans="1:81">
      <c r="A418" s="6" t="s">
        <v>444</v>
      </c>
      <c r="B418" s="25" t="s">
        <v>316</v>
      </c>
      <c r="C418" s="62">
        <v>215.26</v>
      </c>
      <c r="D418" s="62"/>
      <c r="E418" s="62"/>
      <c r="F418" s="25">
        <f t="shared" si="158"/>
        <v>3395.7333333333331</v>
      </c>
      <c r="G418" s="23" t="s">
        <v>389</v>
      </c>
      <c r="H418" s="26">
        <f t="shared" si="157"/>
        <v>1938.8666666666666</v>
      </c>
      <c r="I418" s="26">
        <f t="shared" si="157"/>
        <v>4852.6000000000004</v>
      </c>
      <c r="J418" s="23" t="s">
        <v>417</v>
      </c>
      <c r="K418" s="23" t="s">
        <v>416</v>
      </c>
      <c r="L418" s="26">
        <v>5093.6000000000004</v>
      </c>
      <c r="M418" s="26">
        <v>2908.3</v>
      </c>
      <c r="N418" s="26">
        <v>7278.9000000000005</v>
      </c>
      <c r="O418" s="25">
        <v>3000</v>
      </c>
      <c r="P418" s="25">
        <v>2000</v>
      </c>
      <c r="Q418" s="26" t="s">
        <v>393</v>
      </c>
      <c r="R418" s="26" t="s">
        <v>13</v>
      </c>
      <c r="S418" s="6" t="s">
        <v>1131</v>
      </c>
      <c r="T418" s="44" t="s">
        <v>1149</v>
      </c>
      <c r="U418" s="62">
        <v>95</v>
      </c>
      <c r="V418" s="62">
        <v>97</v>
      </c>
      <c r="W418" s="62">
        <v>93.9</v>
      </c>
      <c r="X418" s="26">
        <v>1062.7638820163834</v>
      </c>
      <c r="Y418" s="26" t="s">
        <v>389</v>
      </c>
      <c r="Z418" s="26">
        <f t="shared" si="159"/>
        <v>743.93471741146834</v>
      </c>
      <c r="AA418" s="26">
        <f t="shared" si="160"/>
        <v>1594.1458230245751</v>
      </c>
      <c r="AB418" s="25" t="s">
        <v>1191</v>
      </c>
      <c r="AC418" s="77" t="s">
        <v>400</v>
      </c>
      <c r="AF418" s="26" t="s">
        <v>1284</v>
      </c>
      <c r="AG418" s="25" t="s">
        <v>13</v>
      </c>
      <c r="AM418" s="26"/>
      <c r="AN418" s="26"/>
      <c r="AO418" s="26"/>
      <c r="AP418" s="26"/>
      <c r="AQ418" s="29"/>
      <c r="AR418" s="26"/>
      <c r="AS418" s="26"/>
      <c r="AT418" s="26"/>
      <c r="AU418" s="26"/>
      <c r="AV418" s="26"/>
      <c r="AX418" s="26" t="s">
        <v>13</v>
      </c>
      <c r="AY418" s="6" t="s">
        <v>888</v>
      </c>
      <c r="AZ418" s="97" t="s">
        <v>13</v>
      </c>
      <c r="BA418" s="62">
        <v>48.112476348876953</v>
      </c>
      <c r="BD418" s="26">
        <v>985.12186854968797</v>
      </c>
      <c r="BE418" s="25" t="s">
        <v>239</v>
      </c>
      <c r="BF418" s="26">
        <f t="shared" si="150"/>
        <v>873.95223835608999</v>
      </c>
      <c r="BG418" s="26">
        <f t="shared" si="151"/>
        <v>1122.1282415455839</v>
      </c>
      <c r="BH418" s="83" t="s">
        <v>738</v>
      </c>
      <c r="BI418" s="25" t="s">
        <v>430</v>
      </c>
      <c r="BJ418" s="26">
        <v>762.78260816249201</v>
      </c>
      <c r="BK418" s="26">
        <v>1259.13461454148</v>
      </c>
      <c r="BL418" s="26" t="s">
        <v>13</v>
      </c>
      <c r="BM418" s="25" t="s">
        <v>13</v>
      </c>
      <c r="CA418" s="25" t="s">
        <v>13</v>
      </c>
      <c r="CC418" s="25" t="s">
        <v>13</v>
      </c>
    </row>
    <row r="419" spans="1:81">
      <c r="A419" s="6" t="s">
        <v>444</v>
      </c>
      <c r="B419" s="25" t="s">
        <v>316</v>
      </c>
      <c r="C419" s="62">
        <v>215.44</v>
      </c>
      <c r="D419" s="62"/>
      <c r="E419" s="62"/>
      <c r="F419" s="25">
        <f t="shared" si="158"/>
        <v>3218.0666666666666</v>
      </c>
      <c r="G419" s="23" t="s">
        <v>389</v>
      </c>
      <c r="H419" s="26">
        <f t="shared" si="157"/>
        <v>1867.2666666666669</v>
      </c>
      <c r="I419" s="26">
        <f t="shared" si="157"/>
        <v>4568.8666666666668</v>
      </c>
      <c r="J419" s="23" t="s">
        <v>417</v>
      </c>
      <c r="K419" s="23" t="s">
        <v>416</v>
      </c>
      <c r="L419" s="26">
        <v>4827.1000000000004</v>
      </c>
      <c r="M419" s="26">
        <v>2800.9000000000005</v>
      </c>
      <c r="N419" s="26">
        <v>6853.3</v>
      </c>
      <c r="O419" s="25">
        <v>3000</v>
      </c>
      <c r="P419" s="25">
        <v>2000</v>
      </c>
      <c r="Q419" s="26" t="s">
        <v>393</v>
      </c>
      <c r="R419" s="26" t="s">
        <v>13</v>
      </c>
      <c r="S419" s="6" t="s">
        <v>1131</v>
      </c>
      <c r="T419" s="44" t="s">
        <v>1149</v>
      </c>
      <c r="U419" s="62">
        <v>95</v>
      </c>
      <c r="V419" s="62">
        <v>97</v>
      </c>
      <c r="W419" s="62">
        <v>93.9</v>
      </c>
      <c r="X419" s="26">
        <v>903.40458435327503</v>
      </c>
      <c r="Y419" s="26" t="s">
        <v>389</v>
      </c>
      <c r="Z419" s="26">
        <f t="shared" si="159"/>
        <v>632.38320904729244</v>
      </c>
      <c r="AA419" s="26">
        <f t="shared" si="160"/>
        <v>1355.1068765299126</v>
      </c>
      <c r="AB419" s="25" t="s">
        <v>1191</v>
      </c>
      <c r="AC419" s="77" t="s">
        <v>400</v>
      </c>
      <c r="AF419" s="26" t="s">
        <v>1285</v>
      </c>
      <c r="AG419" s="25" t="s">
        <v>13</v>
      </c>
      <c r="AM419" s="26"/>
      <c r="AN419" s="26"/>
      <c r="AO419" s="26"/>
      <c r="AP419" s="26"/>
      <c r="AQ419" s="29"/>
      <c r="AR419" s="26"/>
      <c r="AS419" s="26"/>
      <c r="AT419" s="26"/>
      <c r="AU419" s="26"/>
      <c r="AV419" s="26"/>
      <c r="AX419" s="26" t="s">
        <v>13</v>
      </c>
      <c r="AY419" s="6" t="s">
        <v>888</v>
      </c>
      <c r="AZ419" s="97" t="s">
        <v>13</v>
      </c>
      <c r="BA419" s="62">
        <v>49.990741729736328</v>
      </c>
      <c r="BD419" s="26">
        <v>1476.54254098668</v>
      </c>
      <c r="BE419" s="25" t="s">
        <v>239</v>
      </c>
      <c r="BF419" s="26">
        <f t="shared" si="150"/>
        <v>1305.48758081038</v>
      </c>
      <c r="BG419" s="26">
        <f t="shared" si="151"/>
        <v>1676.9021508605902</v>
      </c>
      <c r="BH419" s="83" t="s">
        <v>887</v>
      </c>
      <c r="BI419" s="25" t="s">
        <v>430</v>
      </c>
      <c r="BJ419" s="26">
        <v>1134.43262063408</v>
      </c>
      <c r="BK419" s="26">
        <v>1877.2617607345001</v>
      </c>
      <c r="BL419" s="26" t="s">
        <v>13</v>
      </c>
      <c r="BM419" s="25" t="s">
        <v>13</v>
      </c>
      <c r="CA419" s="25" t="s">
        <v>13</v>
      </c>
      <c r="CC419" s="25" t="s">
        <v>13</v>
      </c>
    </row>
    <row r="420" spans="1:81">
      <c r="A420" s="6" t="s">
        <v>444</v>
      </c>
      <c r="B420" s="25" t="s">
        <v>316</v>
      </c>
      <c r="C420" s="62">
        <v>215.58</v>
      </c>
      <c r="D420" s="62"/>
      <c r="E420" s="62"/>
      <c r="F420" s="25">
        <f t="shared" si="158"/>
        <v>3113.6</v>
      </c>
      <c r="G420" s="23" t="s">
        <v>389</v>
      </c>
      <c r="H420" s="26">
        <f t="shared" si="157"/>
        <v>1808.1333333333334</v>
      </c>
      <c r="I420" s="26">
        <f t="shared" si="157"/>
        <v>4419.0666666666657</v>
      </c>
      <c r="J420" s="23" t="s">
        <v>417</v>
      </c>
      <c r="K420" s="23" t="s">
        <v>416</v>
      </c>
      <c r="L420" s="26">
        <v>4670.3999999999996</v>
      </c>
      <c r="M420" s="26">
        <v>2712.2</v>
      </c>
      <c r="N420" s="26">
        <v>6628.5999999999995</v>
      </c>
      <c r="O420" s="25">
        <v>3000</v>
      </c>
      <c r="P420" s="25">
        <v>2000</v>
      </c>
      <c r="Q420" s="26" t="s">
        <v>393</v>
      </c>
      <c r="R420" s="26" t="s">
        <v>13</v>
      </c>
      <c r="S420" s="6" t="s">
        <v>1131</v>
      </c>
      <c r="T420" s="44" t="s">
        <v>1149</v>
      </c>
      <c r="U420" s="62">
        <v>95</v>
      </c>
      <c r="V420" s="62">
        <v>97</v>
      </c>
      <c r="W420" s="62">
        <v>93.9</v>
      </c>
      <c r="X420" s="26">
        <v>887.06547609901872</v>
      </c>
      <c r="Y420" s="26" t="s">
        <v>389</v>
      </c>
      <c r="Z420" s="26">
        <f t="shared" si="159"/>
        <v>620.94583326931308</v>
      </c>
      <c r="AA420" s="26">
        <f t="shared" si="160"/>
        <v>1330.5982141485281</v>
      </c>
      <c r="AB420" s="25" t="s">
        <v>1191</v>
      </c>
      <c r="AC420" s="77" t="s">
        <v>400</v>
      </c>
      <c r="AF420" s="26" t="s">
        <v>1286</v>
      </c>
      <c r="AG420" s="25" t="s">
        <v>13</v>
      </c>
      <c r="AM420" s="26"/>
      <c r="AN420" s="26"/>
      <c r="AO420" s="26"/>
      <c r="AP420" s="26"/>
      <c r="AQ420" s="29"/>
      <c r="AR420" s="26"/>
      <c r="AS420" s="26"/>
      <c r="AT420" s="26"/>
      <c r="AU420" s="26"/>
      <c r="AV420" s="26"/>
      <c r="AX420" s="26" t="s">
        <v>13</v>
      </c>
      <c r="AY420" s="6" t="s">
        <v>888</v>
      </c>
      <c r="AZ420" s="97" t="s">
        <v>13</v>
      </c>
      <c r="BA420" s="62">
        <v>49.990741729736328</v>
      </c>
      <c r="BD420" s="26">
        <v>1491.93193944261</v>
      </c>
      <c r="BE420" s="25" t="s">
        <v>239</v>
      </c>
      <c r="BF420" s="26">
        <f t="shared" si="150"/>
        <v>1311.6731076901951</v>
      </c>
      <c r="BG420" s="26">
        <f t="shared" si="151"/>
        <v>1730.83250323895</v>
      </c>
      <c r="BH420" s="83" t="s">
        <v>738</v>
      </c>
      <c r="BI420" s="25" t="s">
        <v>430</v>
      </c>
      <c r="BJ420" s="26">
        <v>1131.4142759377801</v>
      </c>
      <c r="BK420" s="26">
        <v>1969.7330670352901</v>
      </c>
      <c r="BL420" s="26" t="s">
        <v>13</v>
      </c>
      <c r="BM420" s="25" t="s">
        <v>13</v>
      </c>
      <c r="CA420" s="25" t="s">
        <v>13</v>
      </c>
      <c r="CC420" s="25" t="s">
        <v>13</v>
      </c>
    </row>
    <row r="421" spans="1:81">
      <c r="A421" s="6" t="s">
        <v>444</v>
      </c>
      <c r="B421" s="25" t="s">
        <v>316</v>
      </c>
      <c r="C421" s="62">
        <v>215.6</v>
      </c>
      <c r="D421" s="62"/>
      <c r="E421" s="62"/>
      <c r="F421" s="25">
        <f t="shared" si="158"/>
        <v>3132.3333333333335</v>
      </c>
      <c r="G421" s="23" t="s">
        <v>389</v>
      </c>
      <c r="H421" s="26">
        <f t="shared" si="157"/>
        <v>1844.4</v>
      </c>
      <c r="I421" s="26">
        <f t="shared" si="157"/>
        <v>4420.2666666666664</v>
      </c>
      <c r="J421" s="23" t="s">
        <v>417</v>
      </c>
      <c r="K421" s="23" t="s">
        <v>416</v>
      </c>
      <c r="L421" s="26">
        <v>4698.5</v>
      </c>
      <c r="M421" s="26">
        <v>2766.6</v>
      </c>
      <c r="N421" s="26">
        <v>6630.4</v>
      </c>
      <c r="O421" s="25">
        <v>3000</v>
      </c>
      <c r="P421" s="25">
        <v>2000</v>
      </c>
      <c r="Q421" s="26" t="s">
        <v>393</v>
      </c>
      <c r="R421" s="26" t="s">
        <v>13</v>
      </c>
      <c r="S421" s="6" t="s">
        <v>1131</v>
      </c>
      <c r="T421" s="44" t="s">
        <v>1149</v>
      </c>
      <c r="U421" s="62">
        <v>95</v>
      </c>
      <c r="V421" s="62">
        <v>97</v>
      </c>
      <c r="W421" s="62">
        <v>93.9</v>
      </c>
      <c r="X421" s="26">
        <v>899.22409456373691</v>
      </c>
      <c r="Y421" s="26" t="s">
        <v>389</v>
      </c>
      <c r="Z421" s="26">
        <f t="shared" si="159"/>
        <v>629.45686619461583</v>
      </c>
      <c r="AA421" s="26">
        <f t="shared" si="160"/>
        <v>1348.8361418456054</v>
      </c>
      <c r="AB421" s="25" t="s">
        <v>1191</v>
      </c>
      <c r="AC421" s="77" t="s">
        <v>400</v>
      </c>
      <c r="AF421" s="26" t="s">
        <v>1287</v>
      </c>
      <c r="AG421" s="25" t="s">
        <v>13</v>
      </c>
      <c r="AM421" s="26"/>
      <c r="AN421" s="26"/>
      <c r="AO421" s="26"/>
      <c r="AP421" s="26"/>
      <c r="AQ421" s="29"/>
      <c r="AR421" s="26"/>
      <c r="AS421" s="26"/>
      <c r="AT421" s="26"/>
      <c r="AU421" s="26"/>
      <c r="AV421" s="26"/>
      <c r="AX421" s="26" t="s">
        <v>13</v>
      </c>
      <c r="AY421" s="6" t="s">
        <v>888</v>
      </c>
      <c r="AZ421" s="97" t="s">
        <v>13</v>
      </c>
      <c r="BA421" s="62">
        <v>50.541614532470703</v>
      </c>
      <c r="BD421" s="26">
        <v>2127.5920369578703</v>
      </c>
      <c r="BE421" s="25" t="s">
        <v>239</v>
      </c>
      <c r="BF421" s="26">
        <f t="shared" si="150"/>
        <v>1857.7973101130701</v>
      </c>
      <c r="BG421" s="26">
        <f t="shared" si="151"/>
        <v>2472.5063743272649</v>
      </c>
      <c r="BH421" s="83" t="s">
        <v>887</v>
      </c>
      <c r="BI421" s="25" t="s">
        <v>430</v>
      </c>
      <c r="BJ421" s="26">
        <v>1588.0025832682702</v>
      </c>
      <c r="BK421" s="26">
        <v>2817.42071169666</v>
      </c>
      <c r="BL421" s="26" t="s">
        <v>13</v>
      </c>
      <c r="BM421" s="25" t="s">
        <v>13</v>
      </c>
      <c r="CA421" s="25" t="s">
        <v>13</v>
      </c>
      <c r="CC421" s="25" t="s">
        <v>13</v>
      </c>
    </row>
    <row r="422" spans="1:81">
      <c r="A422" s="6" t="s">
        <v>444</v>
      </c>
      <c r="B422" s="25" t="s">
        <v>316</v>
      </c>
      <c r="C422" s="62">
        <v>215.7</v>
      </c>
      <c r="D422" s="62"/>
      <c r="E422" s="62"/>
      <c r="F422" s="25">
        <f t="shared" si="158"/>
        <v>3240.6</v>
      </c>
      <c r="G422" s="23" t="s">
        <v>389</v>
      </c>
      <c r="H422" s="26">
        <f t="shared" si="157"/>
        <v>1883.7333333333331</v>
      </c>
      <c r="I422" s="26">
        <f t="shared" si="157"/>
        <v>4597.4666666666662</v>
      </c>
      <c r="J422" s="23" t="s">
        <v>417</v>
      </c>
      <c r="K422" s="23" t="s">
        <v>416</v>
      </c>
      <c r="L422" s="26">
        <v>4860.8999999999996</v>
      </c>
      <c r="M422" s="26">
        <v>2825.5999999999995</v>
      </c>
      <c r="N422" s="26">
        <v>6896.2</v>
      </c>
      <c r="O422" s="25">
        <v>3000</v>
      </c>
      <c r="P422" s="25">
        <v>2000</v>
      </c>
      <c r="Q422" s="26" t="s">
        <v>393</v>
      </c>
      <c r="R422" s="26" t="s">
        <v>13</v>
      </c>
      <c r="S422" s="6" t="s">
        <v>1131</v>
      </c>
      <c r="T422" s="44" t="s">
        <v>1149</v>
      </c>
      <c r="U422" s="62">
        <v>95</v>
      </c>
      <c r="V422" s="62">
        <v>97</v>
      </c>
      <c r="W422" s="62">
        <v>93.9</v>
      </c>
      <c r="X422" s="26">
        <v>830.92446489650274</v>
      </c>
      <c r="Y422" s="26" t="s">
        <v>389</v>
      </c>
      <c r="Z422" s="26">
        <f t="shared" si="159"/>
        <v>581.64712542755183</v>
      </c>
      <c r="AA422" s="26">
        <f t="shared" si="160"/>
        <v>1246.3866973447541</v>
      </c>
      <c r="AB422" s="25" t="s">
        <v>1191</v>
      </c>
      <c r="AC422" s="77" t="s">
        <v>400</v>
      </c>
      <c r="AF422" s="26" t="s">
        <v>1288</v>
      </c>
      <c r="AG422" s="25" t="s">
        <v>13</v>
      </c>
      <c r="AM422" s="26"/>
      <c r="AN422" s="26"/>
      <c r="AO422" s="26"/>
      <c r="AP422" s="26"/>
      <c r="AQ422" s="29"/>
      <c r="AR422" s="26"/>
      <c r="AS422" s="26"/>
      <c r="AT422" s="26"/>
      <c r="AU422" s="26"/>
      <c r="AV422" s="26"/>
      <c r="AX422" s="26" t="s">
        <v>13</v>
      </c>
      <c r="AY422" s="6" t="s">
        <v>888</v>
      </c>
      <c r="AZ422" s="97" t="s">
        <v>13</v>
      </c>
      <c r="BA422" s="62">
        <v>50.593761444091797</v>
      </c>
      <c r="BD422" s="26">
        <v>2157.3731131508898</v>
      </c>
      <c r="BE422" s="25" t="s">
        <v>239</v>
      </c>
      <c r="BF422" s="26">
        <f t="shared" si="150"/>
        <v>1861.3283988585549</v>
      </c>
      <c r="BG422" s="26">
        <f t="shared" si="151"/>
        <v>2606.1575629593899</v>
      </c>
      <c r="BH422" s="83" t="s">
        <v>738</v>
      </c>
      <c r="BI422" s="25" t="s">
        <v>430</v>
      </c>
      <c r="BJ422" s="26">
        <v>1565.2836845662198</v>
      </c>
      <c r="BK422" s="26">
        <v>3054.94201276789</v>
      </c>
      <c r="BL422" s="26" t="s">
        <v>13</v>
      </c>
      <c r="BM422" s="25" t="s">
        <v>13</v>
      </c>
      <c r="CA422" s="25" t="s">
        <v>13</v>
      </c>
      <c r="CC422" s="25" t="s">
        <v>13</v>
      </c>
    </row>
    <row r="423" spans="1:81">
      <c r="A423" s="6" t="s">
        <v>444</v>
      </c>
      <c r="B423" s="25" t="s">
        <v>316</v>
      </c>
      <c r="C423" s="62">
        <v>215.98</v>
      </c>
      <c r="D423" s="62"/>
      <c r="E423" s="62"/>
      <c r="F423" s="25">
        <f t="shared" si="158"/>
        <v>2470.1999999999998</v>
      </c>
      <c r="G423" s="23" t="s">
        <v>389</v>
      </c>
      <c r="H423" s="26">
        <f t="shared" si="157"/>
        <v>1504.6666666666667</v>
      </c>
      <c r="I423" s="26">
        <f t="shared" si="157"/>
        <v>3435.7333333333331</v>
      </c>
      <c r="J423" s="23" t="s">
        <v>417</v>
      </c>
      <c r="K423" s="23" t="s">
        <v>416</v>
      </c>
      <c r="L423" s="26">
        <v>3705.3</v>
      </c>
      <c r="M423" s="26">
        <v>2257</v>
      </c>
      <c r="N423" s="26">
        <v>5153.6000000000004</v>
      </c>
      <c r="O423" s="25">
        <v>3000</v>
      </c>
      <c r="P423" s="25">
        <v>2000</v>
      </c>
      <c r="Q423" s="26" t="s">
        <v>393</v>
      </c>
      <c r="R423" s="26" t="s">
        <v>13</v>
      </c>
      <c r="S423" s="6" t="s">
        <v>1131</v>
      </c>
      <c r="T423" s="44" t="s">
        <v>1149</v>
      </c>
      <c r="U423" s="62">
        <v>95</v>
      </c>
      <c r="V423" s="62">
        <v>97</v>
      </c>
      <c r="W423" s="62">
        <v>93.9</v>
      </c>
      <c r="X423" s="26">
        <v>1021.5033708644537</v>
      </c>
      <c r="Y423" s="26" t="s">
        <v>389</v>
      </c>
      <c r="Z423" s="26">
        <f t="shared" si="159"/>
        <v>715.05235960511754</v>
      </c>
      <c r="AA423" s="26">
        <f t="shared" si="160"/>
        <v>1532.2550562966806</v>
      </c>
      <c r="AB423" s="25" t="s">
        <v>1191</v>
      </c>
      <c r="AC423" s="77" t="s">
        <v>400</v>
      </c>
      <c r="AF423" s="26" t="s">
        <v>1289</v>
      </c>
      <c r="AG423" s="25" t="s">
        <v>13</v>
      </c>
      <c r="AM423" s="26"/>
      <c r="AN423" s="26"/>
      <c r="AO423" s="26"/>
      <c r="AP423" s="26"/>
      <c r="AQ423" s="29"/>
      <c r="AR423" s="26"/>
      <c r="AS423" s="26"/>
      <c r="AT423" s="26"/>
      <c r="AU423" s="26"/>
      <c r="AV423" s="26"/>
      <c r="AX423" s="26" t="s">
        <v>13</v>
      </c>
      <c r="AY423" s="6" t="s">
        <v>888</v>
      </c>
      <c r="AZ423" s="97" t="s">
        <v>13</v>
      </c>
      <c r="BA423" s="62">
        <v>50.603240966796875</v>
      </c>
      <c r="BD423" s="26">
        <v>2117.7710702685999</v>
      </c>
      <c r="BE423" s="25" t="s">
        <v>239</v>
      </c>
      <c r="BF423" s="26">
        <f t="shared" si="150"/>
        <v>1850.0836261309</v>
      </c>
      <c r="BG423" s="26">
        <f t="shared" si="151"/>
        <v>2451.32055458481</v>
      </c>
      <c r="BH423" s="83" t="s">
        <v>887</v>
      </c>
      <c r="BI423" s="25" t="s">
        <v>430</v>
      </c>
      <c r="BJ423" s="26">
        <v>1582.3961819932001</v>
      </c>
      <c r="BK423" s="26">
        <v>2784.8700389010201</v>
      </c>
      <c r="BL423" s="26" t="s">
        <v>13</v>
      </c>
      <c r="BM423" s="25" t="s">
        <v>13</v>
      </c>
      <c r="CA423" s="25" t="s">
        <v>13</v>
      </c>
      <c r="CC423" s="25" t="s">
        <v>13</v>
      </c>
    </row>
    <row r="424" spans="1:81">
      <c r="A424" s="6" t="s">
        <v>444</v>
      </c>
      <c r="B424" s="25" t="s">
        <v>316</v>
      </c>
      <c r="C424" s="62">
        <v>216.19</v>
      </c>
      <c r="D424" s="62"/>
      <c r="E424" s="62"/>
      <c r="F424" s="25">
        <f t="shared" si="158"/>
        <v>2767</v>
      </c>
      <c r="G424" s="23" t="s">
        <v>389</v>
      </c>
      <c r="H424" s="26">
        <f t="shared" si="157"/>
        <v>1582.4</v>
      </c>
      <c r="I424" s="26">
        <f t="shared" si="157"/>
        <v>3951.6</v>
      </c>
      <c r="J424" s="23" t="s">
        <v>417</v>
      </c>
      <c r="K424" s="23" t="s">
        <v>416</v>
      </c>
      <c r="L424" s="26">
        <v>4150.5</v>
      </c>
      <c r="M424" s="26">
        <v>2373.6</v>
      </c>
      <c r="N424" s="26">
        <v>5927.4</v>
      </c>
      <c r="O424" s="25">
        <v>3000</v>
      </c>
      <c r="P424" s="25">
        <v>2000</v>
      </c>
      <c r="Q424" s="26" t="s">
        <v>393</v>
      </c>
      <c r="R424" s="26" t="s">
        <v>13</v>
      </c>
      <c r="S424" s="6" t="s">
        <v>1131</v>
      </c>
      <c r="T424" s="44" t="s">
        <v>1149</v>
      </c>
      <c r="U424" s="62">
        <v>95</v>
      </c>
      <c r="V424" s="62">
        <v>97</v>
      </c>
      <c r="W424" s="62">
        <v>93.9</v>
      </c>
      <c r="X424" s="26">
        <v>1069.8961576396496</v>
      </c>
      <c r="Y424" s="26" t="s">
        <v>389</v>
      </c>
      <c r="Z424" s="26">
        <f t="shared" si="159"/>
        <v>748.92731034775466</v>
      </c>
      <c r="AA424" s="26">
        <f t="shared" si="160"/>
        <v>1604.8442364594744</v>
      </c>
      <c r="AB424" s="25" t="s">
        <v>1191</v>
      </c>
      <c r="AC424" s="77" t="s">
        <v>400</v>
      </c>
      <c r="AF424" s="26" t="s">
        <v>1290</v>
      </c>
      <c r="AG424" s="25" t="s">
        <v>13</v>
      </c>
      <c r="AM424" s="26"/>
      <c r="AN424" s="26"/>
      <c r="AO424" s="26"/>
      <c r="AP424" s="26"/>
      <c r="AQ424" s="29"/>
      <c r="AR424" s="26"/>
      <c r="AS424" s="26"/>
      <c r="AT424" s="26"/>
      <c r="AU424" s="26"/>
      <c r="AV424" s="26"/>
      <c r="AX424" s="26" t="s">
        <v>13</v>
      </c>
      <c r="AY424" s="6" t="s">
        <v>888</v>
      </c>
      <c r="AZ424" s="97" t="s">
        <v>13</v>
      </c>
      <c r="BA424" s="62">
        <v>50.603240966796875</v>
      </c>
      <c r="BD424" s="26">
        <v>2275.9119408039701</v>
      </c>
      <c r="BE424" s="25" t="s">
        <v>239</v>
      </c>
      <c r="BF424" s="26">
        <f t="shared" si="150"/>
        <v>1957.4045298913099</v>
      </c>
      <c r="BG424" s="26">
        <f t="shared" si="151"/>
        <v>2731.94405075238</v>
      </c>
      <c r="BH424" s="83" t="s">
        <v>738</v>
      </c>
      <c r="BI424" s="25" t="s">
        <v>430</v>
      </c>
      <c r="BJ424" s="26">
        <v>1638.8971189786498</v>
      </c>
      <c r="BK424" s="26">
        <v>3187.9761607007899</v>
      </c>
      <c r="BL424" s="26" t="s">
        <v>13</v>
      </c>
      <c r="BM424" s="25" t="s">
        <v>13</v>
      </c>
      <c r="CA424" s="25" t="s">
        <v>13</v>
      </c>
      <c r="CC424" s="25" t="s">
        <v>13</v>
      </c>
    </row>
    <row r="425" spans="1:81">
      <c r="A425" s="6" t="s">
        <v>444</v>
      </c>
      <c r="B425" s="25" t="s">
        <v>316</v>
      </c>
      <c r="C425" s="62">
        <v>218.17</v>
      </c>
      <c r="D425" s="62"/>
      <c r="E425" s="62"/>
      <c r="F425" s="25">
        <f t="shared" si="158"/>
        <v>3183.2666666666669</v>
      </c>
      <c r="G425" s="23" t="s">
        <v>389</v>
      </c>
      <c r="H425" s="26">
        <f t="shared" si="157"/>
        <v>1805.5999999999997</v>
      </c>
      <c r="I425" s="26">
        <f t="shared" si="157"/>
        <v>4560.9333333333334</v>
      </c>
      <c r="J425" s="23" t="s">
        <v>417</v>
      </c>
      <c r="K425" s="23" t="s">
        <v>416</v>
      </c>
      <c r="L425" s="26">
        <v>4774.8999999999996</v>
      </c>
      <c r="M425" s="26">
        <v>2708.3999999999996</v>
      </c>
      <c r="N425" s="26">
        <v>6841.4</v>
      </c>
      <c r="O425" s="25">
        <v>3000</v>
      </c>
      <c r="P425" s="25">
        <v>2000</v>
      </c>
      <c r="Q425" s="26" t="s">
        <v>393</v>
      </c>
      <c r="R425" s="26" t="s">
        <v>13</v>
      </c>
      <c r="S425" s="6" t="s">
        <v>1131</v>
      </c>
      <c r="T425" s="44" t="s">
        <v>1150</v>
      </c>
      <c r="U425" s="62">
        <v>95</v>
      </c>
      <c r="V425" s="62">
        <v>97</v>
      </c>
      <c r="W425" s="62">
        <v>93.9</v>
      </c>
      <c r="X425" s="26">
        <v>863.0755507368367</v>
      </c>
      <c r="Y425" s="26" t="s">
        <v>389</v>
      </c>
      <c r="Z425" s="26">
        <f t="shared" si="159"/>
        <v>604.15288551578567</v>
      </c>
      <c r="AA425" s="26">
        <f t="shared" si="160"/>
        <v>1294.6133261052551</v>
      </c>
      <c r="AB425" s="25" t="s">
        <v>1191</v>
      </c>
      <c r="AC425" s="77" t="s">
        <v>400</v>
      </c>
      <c r="AF425" s="26" t="s">
        <v>1291</v>
      </c>
      <c r="AG425" s="25" t="s">
        <v>13</v>
      </c>
      <c r="AM425" s="26"/>
      <c r="AN425" s="26"/>
      <c r="AO425" s="26"/>
      <c r="AP425" s="26"/>
      <c r="AQ425" s="29"/>
      <c r="AR425" s="26"/>
      <c r="AS425" s="26"/>
      <c r="AT425" s="26"/>
      <c r="AU425" s="26"/>
      <c r="AV425" s="26"/>
      <c r="AX425" s="26" t="s">
        <v>13</v>
      </c>
      <c r="AY425" s="6" t="s">
        <v>888</v>
      </c>
      <c r="AZ425" s="97" t="s">
        <v>13</v>
      </c>
      <c r="BA425" s="62">
        <v>50.622203826904297</v>
      </c>
      <c r="BD425" s="26">
        <v>2164.9793580748196</v>
      </c>
      <c r="BE425" s="25" t="s">
        <v>239</v>
      </c>
      <c r="BF425" s="26">
        <f t="shared" si="150"/>
        <v>1885.587504889515</v>
      </c>
      <c r="BG425" s="26">
        <f t="shared" si="151"/>
        <v>2534.5842961175549</v>
      </c>
      <c r="BH425" s="83" t="s">
        <v>887</v>
      </c>
      <c r="BI425" s="25" t="s">
        <v>430</v>
      </c>
      <c r="BJ425" s="26">
        <v>1606.1956517042101</v>
      </c>
      <c r="BK425" s="26">
        <v>2904.1892341602897</v>
      </c>
      <c r="BL425" s="26" t="s">
        <v>13</v>
      </c>
      <c r="BM425" s="25" t="s">
        <v>13</v>
      </c>
      <c r="CA425" s="25" t="s">
        <v>13</v>
      </c>
      <c r="CC425" s="25" t="s">
        <v>13</v>
      </c>
    </row>
    <row r="426" spans="1:81">
      <c r="A426" s="6" t="s">
        <v>444</v>
      </c>
      <c r="B426" s="25" t="s">
        <v>316</v>
      </c>
      <c r="C426" s="62">
        <v>218.76</v>
      </c>
      <c r="D426" s="62"/>
      <c r="E426" s="62"/>
      <c r="F426" s="25">
        <f t="shared" si="158"/>
        <v>2798.6666666666665</v>
      </c>
      <c r="G426" s="23" t="s">
        <v>389</v>
      </c>
      <c r="H426" s="26">
        <f t="shared" si="157"/>
        <v>1647.2666666666667</v>
      </c>
      <c r="I426" s="26">
        <f t="shared" si="157"/>
        <v>3950.0666666666666</v>
      </c>
      <c r="J426" s="23" t="s">
        <v>417</v>
      </c>
      <c r="K426" s="23" t="s">
        <v>416</v>
      </c>
      <c r="L426" s="26">
        <v>4198</v>
      </c>
      <c r="M426" s="26">
        <v>2470.9</v>
      </c>
      <c r="N426" s="26">
        <v>5925.1</v>
      </c>
      <c r="O426" s="25">
        <v>3000</v>
      </c>
      <c r="P426" s="25">
        <v>2000</v>
      </c>
      <c r="Q426" s="26" t="s">
        <v>393</v>
      </c>
      <c r="R426" s="26" t="s">
        <v>13</v>
      </c>
      <c r="S426" s="6" t="s">
        <v>1131</v>
      </c>
      <c r="T426" s="44" t="s">
        <v>1150</v>
      </c>
      <c r="U426" s="62">
        <v>95</v>
      </c>
      <c r="V426" s="62">
        <v>97</v>
      </c>
      <c r="W426" s="62">
        <v>93.9</v>
      </c>
      <c r="X426" s="26">
        <v>989.17443469370039</v>
      </c>
      <c r="Y426" s="26" t="s">
        <v>389</v>
      </c>
      <c r="Z426" s="26">
        <f t="shared" si="159"/>
        <v>692.42210428559019</v>
      </c>
      <c r="AA426" s="26">
        <f t="shared" si="160"/>
        <v>1483.7616520405506</v>
      </c>
      <c r="AB426" s="25" t="s">
        <v>1191</v>
      </c>
      <c r="AC426" s="77" t="s">
        <v>400</v>
      </c>
      <c r="AF426" s="26" t="s">
        <v>1292</v>
      </c>
      <c r="AG426" s="25" t="s">
        <v>13</v>
      </c>
      <c r="AM426" s="26"/>
      <c r="AN426" s="26"/>
      <c r="AO426" s="26"/>
      <c r="AP426" s="26"/>
      <c r="AQ426" s="29"/>
      <c r="AR426" s="26"/>
      <c r="AS426" s="26"/>
      <c r="AT426" s="26"/>
      <c r="AU426" s="26"/>
      <c r="AV426" s="26"/>
      <c r="AX426" s="26" t="s">
        <v>13</v>
      </c>
      <c r="AY426" s="6" t="s">
        <v>888</v>
      </c>
      <c r="AZ426" s="97" t="s">
        <v>13</v>
      </c>
      <c r="BA426" s="62">
        <v>50.683013916015625</v>
      </c>
      <c r="BD426" s="26">
        <v>1735.79483360379</v>
      </c>
      <c r="BE426" s="25" t="s">
        <v>239</v>
      </c>
      <c r="BF426" s="26">
        <f t="shared" si="150"/>
        <v>1526.75558838442</v>
      </c>
      <c r="BG426" s="26">
        <f t="shared" si="151"/>
        <v>1979.6931827733001</v>
      </c>
      <c r="BH426" s="83" t="s">
        <v>887</v>
      </c>
      <c r="BI426" s="25" t="s">
        <v>430</v>
      </c>
      <c r="BJ426" s="26">
        <v>1317.7163431650499</v>
      </c>
      <c r="BK426" s="26">
        <v>2223.59153194281</v>
      </c>
      <c r="BL426" s="26" t="s">
        <v>13</v>
      </c>
      <c r="BM426" s="25" t="s">
        <v>13</v>
      </c>
      <c r="CA426" s="25" t="s">
        <v>13</v>
      </c>
      <c r="CC426" s="25" t="s">
        <v>13</v>
      </c>
    </row>
    <row r="427" spans="1:81">
      <c r="A427" s="6" t="s">
        <v>444</v>
      </c>
      <c r="B427" s="25" t="s">
        <v>316</v>
      </c>
      <c r="C427" s="62">
        <v>221.97</v>
      </c>
      <c r="D427" s="62"/>
      <c r="E427" s="62"/>
      <c r="F427" s="25">
        <f t="shared" si="158"/>
        <v>2732.0666666666671</v>
      </c>
      <c r="G427" s="23" t="s">
        <v>389</v>
      </c>
      <c r="H427" s="26">
        <f t="shared" si="157"/>
        <v>1636.0000000000002</v>
      </c>
      <c r="I427" s="26">
        <f t="shared" si="157"/>
        <v>3828.1333333333341</v>
      </c>
      <c r="J427" s="23" t="s">
        <v>417</v>
      </c>
      <c r="K427" s="23" t="s">
        <v>416</v>
      </c>
      <c r="L427" s="26">
        <v>4098.1000000000004</v>
      </c>
      <c r="M427" s="26">
        <v>2454.0000000000005</v>
      </c>
      <c r="N427" s="26">
        <v>5742.2000000000007</v>
      </c>
      <c r="O427" s="25">
        <v>3000</v>
      </c>
      <c r="P427" s="25">
        <v>2000</v>
      </c>
      <c r="Q427" s="26" t="s">
        <v>393</v>
      </c>
      <c r="R427" s="26" t="s">
        <v>13</v>
      </c>
      <c r="S427" s="6" t="s">
        <v>1131</v>
      </c>
      <c r="T427" s="44" t="s">
        <v>1149</v>
      </c>
      <c r="U427" s="62">
        <v>95.5</v>
      </c>
      <c r="V427" s="62">
        <v>97</v>
      </c>
      <c r="W427" s="62">
        <v>93.9</v>
      </c>
      <c r="X427" s="26">
        <v>1239.4861682104058</v>
      </c>
      <c r="Y427" s="26" t="s">
        <v>389</v>
      </c>
      <c r="Z427" s="26">
        <f t="shared" si="159"/>
        <v>867.64031774728403</v>
      </c>
      <c r="AA427" s="26">
        <f t="shared" si="160"/>
        <v>1859.2292523156088</v>
      </c>
      <c r="AB427" s="25" t="s">
        <v>1191</v>
      </c>
      <c r="AC427" s="77" t="s">
        <v>400</v>
      </c>
      <c r="AF427" s="26" t="s">
        <v>1293</v>
      </c>
      <c r="AG427" s="25" t="s">
        <v>13</v>
      </c>
      <c r="AM427" s="26"/>
      <c r="AN427" s="26"/>
      <c r="AO427" s="26"/>
      <c r="AP427" s="26"/>
      <c r="AQ427" s="29"/>
      <c r="AR427" s="26"/>
      <c r="AS427" s="26"/>
      <c r="AT427" s="26"/>
      <c r="AU427" s="26"/>
      <c r="AV427" s="26"/>
      <c r="AX427" s="26" t="s">
        <v>13</v>
      </c>
      <c r="AY427" s="6" t="s">
        <v>888</v>
      </c>
      <c r="AZ427" s="97" t="s">
        <v>13</v>
      </c>
      <c r="BA427" s="62">
        <v>51.288524627685547</v>
      </c>
      <c r="BD427" s="26">
        <v>1881.7162980053199</v>
      </c>
      <c r="BE427" s="25" t="s">
        <v>239</v>
      </c>
      <c r="BF427" s="26">
        <f t="shared" si="150"/>
        <v>1656.4196499033399</v>
      </c>
      <c r="BG427" s="26">
        <f t="shared" si="151"/>
        <v>2172.040111358775</v>
      </c>
      <c r="BH427" s="83" t="s">
        <v>738</v>
      </c>
      <c r="BI427" s="25" t="s">
        <v>430</v>
      </c>
      <c r="BJ427" s="26">
        <v>1431.1230018013598</v>
      </c>
      <c r="BK427" s="26">
        <v>2462.3639247122301</v>
      </c>
      <c r="BL427" s="26" t="s">
        <v>13</v>
      </c>
      <c r="BM427" s="25" t="s">
        <v>13</v>
      </c>
      <c r="CA427" s="25" t="s">
        <v>13</v>
      </c>
      <c r="CC427" s="25" t="s">
        <v>13</v>
      </c>
    </row>
    <row r="428" spans="1:81">
      <c r="A428" s="6" t="s">
        <v>444</v>
      </c>
      <c r="B428" s="25" t="s">
        <v>316</v>
      </c>
      <c r="C428" s="62">
        <v>222.27</v>
      </c>
      <c r="D428" s="62"/>
      <c r="E428" s="62"/>
      <c r="F428" s="25">
        <f t="shared" si="158"/>
        <v>2324.9333333333334</v>
      </c>
      <c r="G428" s="23" t="s">
        <v>389</v>
      </c>
      <c r="H428" s="26">
        <f t="shared" si="157"/>
        <v>1412.8666666666666</v>
      </c>
      <c r="I428" s="26">
        <f t="shared" si="157"/>
        <v>3237</v>
      </c>
      <c r="J428" s="23" t="s">
        <v>417</v>
      </c>
      <c r="K428" s="23" t="s">
        <v>416</v>
      </c>
      <c r="L428" s="26">
        <v>3487.4</v>
      </c>
      <c r="M428" s="26">
        <v>2119.3000000000002</v>
      </c>
      <c r="N428" s="26">
        <v>4855.5</v>
      </c>
      <c r="O428" s="25">
        <v>3000</v>
      </c>
      <c r="P428" s="25">
        <v>2000</v>
      </c>
      <c r="Q428" s="26" t="s">
        <v>393</v>
      </c>
      <c r="R428" s="26" t="s">
        <v>13</v>
      </c>
      <c r="S428" s="6" t="s">
        <v>1131</v>
      </c>
      <c r="T428" s="44" t="s">
        <v>1149</v>
      </c>
      <c r="U428" s="62">
        <v>95.9</v>
      </c>
      <c r="V428" s="62">
        <v>97</v>
      </c>
      <c r="W428" s="62">
        <v>93.9</v>
      </c>
      <c r="X428" s="26">
        <v>1114.2910132469224</v>
      </c>
      <c r="Y428" s="26" t="s">
        <v>389</v>
      </c>
      <c r="Z428" s="26">
        <f t="shared" si="159"/>
        <v>780.00370927284564</v>
      </c>
      <c r="AA428" s="26">
        <f t="shared" si="160"/>
        <v>1671.4365198703836</v>
      </c>
      <c r="AB428" s="25" t="s">
        <v>1191</v>
      </c>
      <c r="AC428" s="77" t="s">
        <v>400</v>
      </c>
      <c r="AF428" s="26" t="s">
        <v>1294</v>
      </c>
      <c r="AG428" s="25" t="s">
        <v>13</v>
      </c>
      <c r="AM428" s="26"/>
      <c r="AN428" s="26"/>
      <c r="AO428" s="26"/>
      <c r="AP428" s="26"/>
      <c r="AQ428" s="29"/>
      <c r="AR428" s="26"/>
      <c r="AS428" s="26"/>
      <c r="AT428" s="26"/>
      <c r="AU428" s="26"/>
      <c r="AV428" s="26"/>
      <c r="AX428" s="26" t="s">
        <v>13</v>
      </c>
      <c r="AY428" s="6" t="s">
        <v>888</v>
      </c>
      <c r="AZ428" s="97" t="s">
        <v>13</v>
      </c>
      <c r="BA428" s="62">
        <v>51.604892730712891</v>
      </c>
      <c r="BD428" s="26">
        <v>1123.6408165416699</v>
      </c>
      <c r="BE428" s="25" t="s">
        <v>239</v>
      </c>
      <c r="BF428" s="26">
        <f t="shared" si="150"/>
        <v>998.01803308032447</v>
      </c>
      <c r="BG428" s="26">
        <f t="shared" si="151"/>
        <v>1288.766116252745</v>
      </c>
      <c r="BH428" s="83" t="s">
        <v>887</v>
      </c>
      <c r="BI428" s="25" t="s">
        <v>430</v>
      </c>
      <c r="BJ428" s="26">
        <v>872.39524961897905</v>
      </c>
      <c r="BK428" s="26">
        <v>1453.89141596382</v>
      </c>
      <c r="BL428" s="26" t="s">
        <v>13</v>
      </c>
      <c r="BM428" s="25" t="s">
        <v>13</v>
      </c>
      <c r="CA428" s="25" t="s">
        <v>13</v>
      </c>
      <c r="CC428" s="25" t="s">
        <v>13</v>
      </c>
    </row>
    <row r="429" spans="1:81">
      <c r="A429" s="6" t="s">
        <v>444</v>
      </c>
      <c r="B429" s="25" t="s">
        <v>316</v>
      </c>
      <c r="C429" s="62">
        <v>222.35</v>
      </c>
      <c r="D429" s="62"/>
      <c r="E429" s="62"/>
      <c r="F429" s="25">
        <f t="shared" si="158"/>
        <v>3022.6666666666665</v>
      </c>
      <c r="G429" s="23" t="s">
        <v>389</v>
      </c>
      <c r="H429" s="26">
        <f t="shared" si="157"/>
        <v>1755.6666666666667</v>
      </c>
      <c r="I429" s="26">
        <f t="shared" si="157"/>
        <v>4289.666666666667</v>
      </c>
      <c r="J429" s="23" t="s">
        <v>417</v>
      </c>
      <c r="K429" s="23" t="s">
        <v>416</v>
      </c>
      <c r="L429" s="26">
        <v>4534</v>
      </c>
      <c r="M429" s="26">
        <v>2633.5</v>
      </c>
      <c r="N429" s="26">
        <v>6434.5</v>
      </c>
      <c r="O429" s="25">
        <v>3000</v>
      </c>
      <c r="P429" s="25">
        <v>2000</v>
      </c>
      <c r="Q429" s="26" t="s">
        <v>393</v>
      </c>
      <c r="R429" s="26" t="s">
        <v>13</v>
      </c>
      <c r="S429" s="6" t="s">
        <v>1131</v>
      </c>
      <c r="T429" s="44" t="s">
        <v>1150</v>
      </c>
      <c r="U429" s="62">
        <v>96</v>
      </c>
      <c r="V429" s="62">
        <v>97</v>
      </c>
      <c r="W429" s="62">
        <v>95</v>
      </c>
      <c r="X429" s="26">
        <v>716.86090407086101</v>
      </c>
      <c r="Y429" s="26" t="s">
        <v>389</v>
      </c>
      <c r="Z429" s="26">
        <f t="shared" si="159"/>
        <v>501.80263284960267</v>
      </c>
      <c r="AA429" s="26">
        <f t="shared" si="160"/>
        <v>1075.2913561062915</v>
      </c>
      <c r="AB429" s="25" t="s">
        <v>1191</v>
      </c>
      <c r="AC429" s="77" t="s">
        <v>400</v>
      </c>
      <c r="AF429" s="26" t="s">
        <v>1295</v>
      </c>
      <c r="AG429" s="25" t="s">
        <v>13</v>
      </c>
      <c r="AM429" s="26"/>
      <c r="AN429" s="26"/>
      <c r="AO429" s="26"/>
      <c r="AP429" s="26"/>
      <c r="AQ429" s="29"/>
      <c r="AR429" s="26"/>
      <c r="AS429" s="26"/>
      <c r="AT429" s="26"/>
      <c r="AU429" s="26"/>
      <c r="AV429" s="26"/>
      <c r="AX429" s="26" t="s">
        <v>13</v>
      </c>
      <c r="AY429" s="6" t="s">
        <v>888</v>
      </c>
      <c r="AZ429" s="97" t="s">
        <v>13</v>
      </c>
      <c r="BA429" s="62">
        <v>51.631473541259766</v>
      </c>
      <c r="BD429" s="26">
        <v>1276.02831837392</v>
      </c>
      <c r="BE429" s="25" t="s">
        <v>239</v>
      </c>
      <c r="BF429" s="26">
        <f t="shared" si="150"/>
        <v>1125.6492510561779</v>
      </c>
      <c r="BG429" s="26">
        <f t="shared" si="151"/>
        <v>1458.68071607972</v>
      </c>
      <c r="BH429" s="83" t="s">
        <v>887</v>
      </c>
      <c r="BI429" s="25" t="s">
        <v>430</v>
      </c>
      <c r="BJ429" s="26">
        <v>975.270183738436</v>
      </c>
      <c r="BK429" s="26">
        <v>1641.33311378552</v>
      </c>
      <c r="BL429" s="26" t="s">
        <v>13</v>
      </c>
      <c r="BM429" s="25" t="s">
        <v>13</v>
      </c>
      <c r="CA429" s="25" t="s">
        <v>13</v>
      </c>
      <c r="CC429" s="25" t="s">
        <v>13</v>
      </c>
    </row>
    <row r="430" spans="1:81">
      <c r="A430" s="6" t="s">
        <v>444</v>
      </c>
      <c r="B430" s="25" t="s">
        <v>316</v>
      </c>
      <c r="C430" s="62">
        <v>223.17</v>
      </c>
      <c r="D430" s="62"/>
      <c r="E430" s="62"/>
      <c r="F430" s="25">
        <f t="shared" si="158"/>
        <v>2627.3333333333335</v>
      </c>
      <c r="G430" s="23" t="s">
        <v>389</v>
      </c>
      <c r="H430" s="26">
        <f t="shared" si="157"/>
        <v>1596.2666666666667</v>
      </c>
      <c r="I430" s="26">
        <f t="shared" si="157"/>
        <v>3658.4</v>
      </c>
      <c r="J430" s="23" t="s">
        <v>417</v>
      </c>
      <c r="K430" s="23" t="s">
        <v>416</v>
      </c>
      <c r="L430" s="26">
        <v>3941</v>
      </c>
      <c r="M430" s="26">
        <v>2394.4</v>
      </c>
      <c r="N430" s="26">
        <v>5487.6</v>
      </c>
      <c r="O430" s="25">
        <v>3000</v>
      </c>
      <c r="P430" s="25">
        <v>2000</v>
      </c>
      <c r="Q430" s="26" t="s">
        <v>393</v>
      </c>
      <c r="R430" s="26" t="s">
        <v>13</v>
      </c>
      <c r="S430" s="6" t="s">
        <v>1131</v>
      </c>
      <c r="T430" s="44" t="s">
        <v>1150</v>
      </c>
      <c r="U430" s="62">
        <v>96</v>
      </c>
      <c r="V430" s="62">
        <v>97</v>
      </c>
      <c r="W430" s="62">
        <v>95</v>
      </c>
      <c r="X430" s="26">
        <v>680.93290836789754</v>
      </c>
      <c r="Y430" s="26" t="s">
        <v>389</v>
      </c>
      <c r="Z430" s="26">
        <f t="shared" si="159"/>
        <v>476.65303585752827</v>
      </c>
      <c r="AA430" s="26">
        <f t="shared" si="160"/>
        <v>1021.3993625518463</v>
      </c>
      <c r="AB430" s="25" t="s">
        <v>1191</v>
      </c>
      <c r="AC430" s="77" t="s">
        <v>400</v>
      </c>
      <c r="AF430" s="26" t="s">
        <v>1296</v>
      </c>
      <c r="AG430" s="25" t="s">
        <v>13</v>
      </c>
      <c r="AM430" s="26"/>
      <c r="AN430" s="26"/>
      <c r="AO430" s="26"/>
      <c r="AP430" s="26"/>
      <c r="AQ430" s="29"/>
      <c r="AR430" s="26"/>
      <c r="AS430" s="26"/>
      <c r="AT430" s="26"/>
      <c r="AU430" s="26"/>
      <c r="AV430" s="26"/>
      <c r="AX430" s="26" t="s">
        <v>13</v>
      </c>
      <c r="AY430" s="6" t="s">
        <v>888</v>
      </c>
      <c r="AZ430" s="97" t="s">
        <v>13</v>
      </c>
      <c r="BA430" s="62">
        <v>51.631473541259766</v>
      </c>
      <c r="BD430" s="26">
        <v>1345.43612813807</v>
      </c>
      <c r="BE430" s="25" t="s">
        <v>239</v>
      </c>
      <c r="BF430" s="26">
        <f t="shared" ref="BF430:BF493" si="161">BD430-0.5*(BD430-BJ430)</f>
        <v>1181.8523551894</v>
      </c>
      <c r="BG430" s="26">
        <f t="shared" ref="BG430:BG493" si="162">BD430+0.5*(BK430-BD430)</f>
        <v>1567.5511077609649</v>
      </c>
      <c r="BH430" s="83" t="s">
        <v>887</v>
      </c>
      <c r="BI430" s="25" t="s">
        <v>430</v>
      </c>
      <c r="BJ430" s="26">
        <v>1018.26858224073</v>
      </c>
      <c r="BK430" s="26">
        <v>1789.66608738386</v>
      </c>
      <c r="BL430" s="26" t="s">
        <v>13</v>
      </c>
      <c r="BM430" s="25" t="s">
        <v>13</v>
      </c>
      <c r="CA430" s="25" t="s">
        <v>13</v>
      </c>
      <c r="CC430" s="25" t="s">
        <v>13</v>
      </c>
    </row>
    <row r="431" spans="1:81">
      <c r="A431" s="6" t="s">
        <v>444</v>
      </c>
      <c r="B431" s="25" t="s">
        <v>316</v>
      </c>
      <c r="C431" s="62">
        <v>224.33</v>
      </c>
      <c r="D431" s="62"/>
      <c r="E431" s="62"/>
      <c r="F431" s="25">
        <f t="shared" si="158"/>
        <v>3042.0666666666666</v>
      </c>
      <c r="G431" s="23" t="s">
        <v>389</v>
      </c>
      <c r="H431" s="26">
        <f t="shared" si="157"/>
        <v>1805.1333333333337</v>
      </c>
      <c r="I431" s="26">
        <f t="shared" si="157"/>
        <v>4279</v>
      </c>
      <c r="J431" s="23" t="s">
        <v>417</v>
      </c>
      <c r="K431" s="23" t="s">
        <v>416</v>
      </c>
      <c r="L431" s="26">
        <v>4563.1000000000004</v>
      </c>
      <c r="M431" s="26">
        <v>2707.7000000000003</v>
      </c>
      <c r="N431" s="26">
        <v>6418.5</v>
      </c>
      <c r="O431" s="25">
        <v>3000</v>
      </c>
      <c r="P431" s="25">
        <v>2000</v>
      </c>
      <c r="Q431" s="26" t="s">
        <v>393</v>
      </c>
      <c r="R431" s="26" t="s">
        <v>13</v>
      </c>
      <c r="S431" s="6" t="s">
        <v>1131</v>
      </c>
      <c r="T431" s="44" t="s">
        <v>1150</v>
      </c>
      <c r="U431" s="62">
        <v>96</v>
      </c>
      <c r="V431" s="62">
        <v>97</v>
      </c>
      <c r="W431" s="62">
        <v>95</v>
      </c>
      <c r="X431" s="26">
        <v>836.45552325698907</v>
      </c>
      <c r="Y431" s="26" t="s">
        <v>389</v>
      </c>
      <c r="Z431" s="26">
        <f t="shared" si="159"/>
        <v>585.51886627989234</v>
      </c>
      <c r="AA431" s="26">
        <f t="shared" si="160"/>
        <v>1254.6832848854835</v>
      </c>
      <c r="AB431" s="25" t="s">
        <v>1191</v>
      </c>
      <c r="AC431" s="77" t="s">
        <v>400</v>
      </c>
      <c r="AF431" s="26" t="s">
        <v>1297</v>
      </c>
      <c r="AG431" s="25" t="s">
        <v>13</v>
      </c>
      <c r="AM431" s="26"/>
      <c r="AN431" s="26"/>
      <c r="AO431" s="26"/>
      <c r="AP431" s="26"/>
      <c r="AQ431" s="29"/>
      <c r="AR431" s="26"/>
      <c r="AS431" s="26"/>
      <c r="AT431" s="26"/>
      <c r="AU431" s="26"/>
      <c r="AV431" s="26"/>
      <c r="AX431" s="26" t="s">
        <v>13</v>
      </c>
      <c r="AY431" s="6" t="s">
        <v>888</v>
      </c>
      <c r="AZ431" s="97" t="s">
        <v>13</v>
      </c>
      <c r="BA431" s="62">
        <v>51.658061981201172</v>
      </c>
      <c r="BD431" s="26">
        <v>1671.1493822269399</v>
      </c>
      <c r="BE431" s="25" t="s">
        <v>239</v>
      </c>
      <c r="BF431" s="26">
        <f t="shared" si="161"/>
        <v>1453.3164846739051</v>
      </c>
      <c r="BG431" s="26">
        <f t="shared" si="162"/>
        <v>1937.4463082479449</v>
      </c>
      <c r="BH431" s="83" t="s">
        <v>738</v>
      </c>
      <c r="BI431" s="25" t="s">
        <v>430</v>
      </c>
      <c r="BJ431" s="26">
        <v>1235.48358712087</v>
      </c>
      <c r="BK431" s="26">
        <v>2203.7432342689499</v>
      </c>
      <c r="BL431" s="26" t="s">
        <v>13</v>
      </c>
      <c r="BM431" s="25" t="s">
        <v>13</v>
      </c>
      <c r="CA431" s="25" t="s">
        <v>13</v>
      </c>
      <c r="CC431" s="25" t="s">
        <v>13</v>
      </c>
    </row>
    <row r="432" spans="1:81">
      <c r="A432" s="6" t="s">
        <v>444</v>
      </c>
      <c r="B432" s="25" t="s">
        <v>316</v>
      </c>
      <c r="C432" s="62">
        <v>225.79</v>
      </c>
      <c r="D432" s="62"/>
      <c r="E432" s="62"/>
      <c r="F432" s="25">
        <f t="shared" si="158"/>
        <v>2547.4666666666667</v>
      </c>
      <c r="G432" s="23" t="s">
        <v>389</v>
      </c>
      <c r="H432" s="26">
        <f t="shared" si="157"/>
        <v>1537.3333333333333</v>
      </c>
      <c r="I432" s="26">
        <f t="shared" si="157"/>
        <v>3557.6</v>
      </c>
      <c r="J432" s="23" t="s">
        <v>417</v>
      </c>
      <c r="K432" s="23" t="s">
        <v>416</v>
      </c>
      <c r="L432" s="26">
        <v>3821.2</v>
      </c>
      <c r="M432" s="26">
        <v>2306</v>
      </c>
      <c r="N432" s="26">
        <v>5336.4</v>
      </c>
      <c r="O432" s="25">
        <v>3000</v>
      </c>
      <c r="P432" s="25">
        <v>2000</v>
      </c>
      <c r="Q432" s="26" t="s">
        <v>393</v>
      </c>
      <c r="R432" s="26" t="s">
        <v>13</v>
      </c>
      <c r="S432" s="6" t="s">
        <v>1131</v>
      </c>
      <c r="T432" s="44" t="s">
        <v>1150</v>
      </c>
      <c r="U432" s="62">
        <v>96</v>
      </c>
      <c r="V432" s="62">
        <v>97</v>
      </c>
      <c r="W432" s="62">
        <v>93.5</v>
      </c>
      <c r="X432" s="26">
        <v>1427.7623449662849</v>
      </c>
      <c r="Y432" s="26" t="s">
        <v>389</v>
      </c>
      <c r="Z432" s="26">
        <f t="shared" si="159"/>
        <v>999.43364147639932</v>
      </c>
      <c r="AA432" s="26">
        <f t="shared" si="160"/>
        <v>2141.6435174494272</v>
      </c>
      <c r="AB432" s="25" t="s">
        <v>1191</v>
      </c>
      <c r="AC432" s="77" t="s">
        <v>400</v>
      </c>
      <c r="AF432" s="26" t="s">
        <v>1298</v>
      </c>
      <c r="AG432" s="25" t="s">
        <v>13</v>
      </c>
      <c r="AM432" s="26"/>
      <c r="AN432" s="26"/>
      <c r="AO432" s="26"/>
      <c r="AP432" s="26"/>
      <c r="AQ432" s="29"/>
      <c r="AR432" s="26"/>
      <c r="AS432" s="26"/>
      <c r="AT432" s="26"/>
      <c r="AU432" s="26"/>
      <c r="AV432" s="26"/>
      <c r="AX432" s="26" t="s">
        <v>13</v>
      </c>
      <c r="AY432" s="6" t="s">
        <v>888</v>
      </c>
      <c r="AZ432" s="97" t="s">
        <v>13</v>
      </c>
      <c r="BA432" s="62">
        <v>51.658061981201172</v>
      </c>
      <c r="BD432" s="26">
        <v>1489.0164883488001</v>
      </c>
      <c r="BE432" s="25" t="s">
        <v>239</v>
      </c>
      <c r="BF432" s="26">
        <f t="shared" si="161"/>
        <v>1311.8593043010601</v>
      </c>
      <c r="BG432" s="26">
        <f t="shared" si="162"/>
        <v>1697.144717458425</v>
      </c>
      <c r="BH432" s="83" t="s">
        <v>887</v>
      </c>
      <c r="BI432" s="25" t="s">
        <v>430</v>
      </c>
      <c r="BJ432" s="26">
        <v>1134.7021202533199</v>
      </c>
      <c r="BK432" s="26">
        <v>1905.27294656805</v>
      </c>
      <c r="BL432" s="26" t="s">
        <v>13</v>
      </c>
      <c r="BM432" s="25" t="s">
        <v>13</v>
      </c>
      <c r="CA432" s="25" t="s">
        <v>13</v>
      </c>
      <c r="CC432" s="25" t="s">
        <v>13</v>
      </c>
    </row>
    <row r="433" spans="1:81">
      <c r="A433" s="6" t="s">
        <v>444</v>
      </c>
      <c r="B433" s="25" t="s">
        <v>316</v>
      </c>
      <c r="C433" s="62">
        <v>226.17</v>
      </c>
      <c r="D433" s="62"/>
      <c r="E433" s="62"/>
      <c r="F433" s="25">
        <f t="shared" si="158"/>
        <v>3302.4</v>
      </c>
      <c r="G433" s="23" t="s">
        <v>389</v>
      </c>
      <c r="H433" s="26">
        <f t="shared" si="157"/>
        <v>1905.666666666667</v>
      </c>
      <c r="I433" s="26">
        <f t="shared" si="157"/>
        <v>4699.1333333333341</v>
      </c>
      <c r="J433" s="23" t="s">
        <v>417</v>
      </c>
      <c r="K433" s="23" t="s">
        <v>416</v>
      </c>
      <c r="L433" s="26">
        <v>4953.6000000000004</v>
      </c>
      <c r="M433" s="26">
        <v>2858.5000000000005</v>
      </c>
      <c r="N433" s="26">
        <v>7048.7000000000007</v>
      </c>
      <c r="O433" s="25">
        <v>3000</v>
      </c>
      <c r="P433" s="25">
        <v>2000</v>
      </c>
      <c r="Q433" s="26" t="s">
        <v>393</v>
      </c>
      <c r="R433" s="26" t="s">
        <v>13</v>
      </c>
      <c r="S433" s="6" t="s">
        <v>1131</v>
      </c>
      <c r="T433" s="44" t="s">
        <v>1149</v>
      </c>
      <c r="U433" s="62">
        <v>95.45</v>
      </c>
      <c r="V433" s="62">
        <v>97</v>
      </c>
      <c r="W433" s="62">
        <v>93.9</v>
      </c>
      <c r="X433" s="26">
        <v>875.31070085367685</v>
      </c>
      <c r="Y433" s="26" t="s">
        <v>389</v>
      </c>
      <c r="Z433" s="26">
        <f t="shared" si="159"/>
        <v>612.71749059757371</v>
      </c>
      <c r="AA433" s="26">
        <f t="shared" si="160"/>
        <v>1312.9660512805153</v>
      </c>
      <c r="AB433" s="25" t="s">
        <v>1191</v>
      </c>
      <c r="AC433" s="77" t="s">
        <v>400</v>
      </c>
      <c r="AF433" s="26" t="s">
        <v>1299</v>
      </c>
      <c r="AG433" s="25" t="s">
        <v>13</v>
      </c>
      <c r="AM433" s="26"/>
      <c r="AN433" s="26"/>
      <c r="AO433" s="26"/>
      <c r="AP433" s="26"/>
      <c r="AQ433" s="29"/>
      <c r="AR433" s="26"/>
      <c r="AS433" s="26"/>
      <c r="AT433" s="26"/>
      <c r="AU433" s="26"/>
      <c r="AV433" s="26"/>
      <c r="AX433" s="26" t="s">
        <v>13</v>
      </c>
      <c r="AY433" s="6" t="s">
        <v>888</v>
      </c>
      <c r="AZ433" s="97" t="s">
        <v>13</v>
      </c>
      <c r="BA433" s="62">
        <v>51.658061981201172</v>
      </c>
      <c r="BD433" s="26">
        <v>1407.6714184192199</v>
      </c>
      <c r="BE433" s="25" t="s">
        <v>239</v>
      </c>
      <c r="BF433" s="26">
        <f t="shared" si="161"/>
        <v>1246.388034882365</v>
      </c>
      <c r="BG433" s="26">
        <f t="shared" si="162"/>
        <v>1616.9556792808198</v>
      </c>
      <c r="BH433" s="83" t="s">
        <v>738</v>
      </c>
      <c r="BI433" s="25" t="s">
        <v>430</v>
      </c>
      <c r="BJ433" s="26">
        <v>1085.1046513455101</v>
      </c>
      <c r="BK433" s="26">
        <v>1826.23994014242</v>
      </c>
      <c r="BL433" s="26" t="s">
        <v>13</v>
      </c>
      <c r="BM433" s="25" t="s">
        <v>13</v>
      </c>
      <c r="CA433" s="25" t="s">
        <v>13</v>
      </c>
      <c r="CC433" s="25" t="s">
        <v>13</v>
      </c>
    </row>
    <row r="434" spans="1:81">
      <c r="A434" s="6" t="s">
        <v>444</v>
      </c>
      <c r="B434" s="25" t="s">
        <v>316</v>
      </c>
      <c r="C434" s="62">
        <v>226.58</v>
      </c>
      <c r="D434" s="62"/>
      <c r="E434" s="62"/>
      <c r="F434" s="25">
        <f t="shared" si="158"/>
        <v>3182.6</v>
      </c>
      <c r="G434" s="23" t="s">
        <v>389</v>
      </c>
      <c r="H434" s="26">
        <f t="shared" si="157"/>
        <v>1874.6666666666663</v>
      </c>
      <c r="I434" s="26">
        <f t="shared" si="157"/>
        <v>4490.5333333333328</v>
      </c>
      <c r="J434" s="23" t="s">
        <v>417</v>
      </c>
      <c r="K434" s="23" t="s">
        <v>416</v>
      </c>
      <c r="L434" s="26">
        <v>4773.8999999999996</v>
      </c>
      <c r="M434" s="26">
        <v>2811.9999999999995</v>
      </c>
      <c r="N434" s="26">
        <v>6735.7999999999993</v>
      </c>
      <c r="O434" s="25">
        <v>3000</v>
      </c>
      <c r="P434" s="25">
        <v>2000</v>
      </c>
      <c r="Q434" s="26" t="s">
        <v>393</v>
      </c>
      <c r="R434" s="26" t="s">
        <v>13</v>
      </c>
      <c r="S434" s="6" t="s">
        <v>1131</v>
      </c>
      <c r="T434" s="44" t="s">
        <v>1150</v>
      </c>
      <c r="U434" s="62">
        <v>96</v>
      </c>
      <c r="V434" s="62">
        <v>97</v>
      </c>
      <c r="W434" s="62">
        <v>93.5</v>
      </c>
      <c r="X434" s="26">
        <v>1337.4363931977211</v>
      </c>
      <c r="Y434" s="26" t="s">
        <v>389</v>
      </c>
      <c r="Z434" s="26">
        <f t="shared" si="159"/>
        <v>936.20547523840469</v>
      </c>
      <c r="AA434" s="26">
        <f t="shared" si="160"/>
        <v>2006.1545897965816</v>
      </c>
      <c r="AB434" s="25" t="s">
        <v>1191</v>
      </c>
      <c r="AC434" s="77" t="s">
        <v>400</v>
      </c>
      <c r="AF434" s="26" t="s">
        <v>1283</v>
      </c>
      <c r="AG434" s="25" t="s">
        <v>13</v>
      </c>
      <c r="AM434" s="26"/>
      <c r="AN434" s="26"/>
      <c r="AO434" s="26"/>
      <c r="AP434" s="26"/>
      <c r="AQ434" s="29"/>
      <c r="AR434" s="26"/>
      <c r="AS434" s="26"/>
      <c r="AT434" s="26"/>
      <c r="AU434" s="26"/>
      <c r="AV434" s="26"/>
      <c r="AX434" s="26" t="s">
        <v>13</v>
      </c>
      <c r="AY434" s="6" t="s">
        <v>888</v>
      </c>
      <c r="AZ434" s="97" t="s">
        <v>13</v>
      </c>
      <c r="BA434" s="62">
        <v>51.711231231689453</v>
      </c>
      <c r="BD434" s="26">
        <v>1911.9983488974401</v>
      </c>
      <c r="BE434" s="25" t="s">
        <v>239</v>
      </c>
      <c r="BF434" s="26">
        <f t="shared" si="161"/>
        <v>1666.5216522155301</v>
      </c>
      <c r="BG434" s="26">
        <f t="shared" si="162"/>
        <v>2246.176299327145</v>
      </c>
      <c r="BH434" s="83" t="s">
        <v>887</v>
      </c>
      <c r="BI434" s="25" t="s">
        <v>430</v>
      </c>
      <c r="BJ434" s="26">
        <v>1421.0449555336202</v>
      </c>
      <c r="BK434" s="26">
        <v>2580.3542497568501</v>
      </c>
      <c r="BL434" s="26" t="s">
        <v>13</v>
      </c>
      <c r="BM434" s="25" t="s">
        <v>13</v>
      </c>
      <c r="CA434" s="25" t="s">
        <v>13</v>
      </c>
      <c r="CC434" s="25" t="s">
        <v>13</v>
      </c>
    </row>
    <row r="435" spans="1:81">
      <c r="A435" s="6" t="s">
        <v>444</v>
      </c>
      <c r="B435" s="25" t="s">
        <v>316</v>
      </c>
      <c r="C435" s="62">
        <v>227.09</v>
      </c>
      <c r="D435" s="62"/>
      <c r="E435" s="62"/>
      <c r="F435" s="25">
        <f t="shared" si="158"/>
        <v>3568.1333333333332</v>
      </c>
      <c r="G435" s="23" t="s">
        <v>389</v>
      </c>
      <c r="H435" s="26">
        <f t="shared" si="157"/>
        <v>2054.8000000000002</v>
      </c>
      <c r="I435" s="26">
        <f t="shared" si="157"/>
        <v>5081.4666666666662</v>
      </c>
      <c r="J435" s="23" t="s">
        <v>417</v>
      </c>
      <c r="K435" s="23" t="s">
        <v>416</v>
      </c>
      <c r="L435" s="26">
        <v>5352.2</v>
      </c>
      <c r="M435" s="26">
        <v>3082.2</v>
      </c>
      <c r="N435" s="26">
        <v>7622.2</v>
      </c>
      <c r="O435" s="25">
        <v>3000</v>
      </c>
      <c r="P435" s="25">
        <v>2000</v>
      </c>
      <c r="Q435" s="26" t="s">
        <v>393</v>
      </c>
      <c r="R435" s="26" t="s">
        <v>13</v>
      </c>
      <c r="S435" s="6" t="s">
        <v>1131</v>
      </c>
      <c r="T435" s="44" t="s">
        <v>1150</v>
      </c>
      <c r="U435" s="62">
        <v>96</v>
      </c>
      <c r="V435" s="62">
        <v>97</v>
      </c>
      <c r="W435" s="62">
        <v>93.5</v>
      </c>
      <c r="X435" s="26">
        <v>1425.1562927840705</v>
      </c>
      <c r="Y435" s="26" t="s">
        <v>389</v>
      </c>
      <c r="Z435" s="26">
        <f t="shared" si="159"/>
        <v>997.60940494884926</v>
      </c>
      <c r="AA435" s="26">
        <f t="shared" si="160"/>
        <v>2137.7344391761058</v>
      </c>
      <c r="AB435" s="25" t="s">
        <v>1191</v>
      </c>
      <c r="AC435" s="77" t="s">
        <v>400</v>
      </c>
      <c r="AF435" s="26" t="s">
        <v>1283</v>
      </c>
      <c r="AG435" s="25" t="s">
        <v>13</v>
      </c>
      <c r="AM435" s="26"/>
      <c r="AN435" s="26"/>
      <c r="AO435" s="26"/>
      <c r="AP435" s="26"/>
      <c r="AQ435" s="29"/>
      <c r="AR435" s="26"/>
      <c r="AS435" s="26"/>
      <c r="AT435" s="26"/>
      <c r="AU435" s="26"/>
      <c r="AV435" s="26"/>
      <c r="AX435" s="26" t="s">
        <v>13</v>
      </c>
      <c r="AY435" s="6" t="s">
        <v>888</v>
      </c>
      <c r="AZ435" s="97" t="s">
        <v>13</v>
      </c>
      <c r="BA435" s="62">
        <v>52.881664276123047</v>
      </c>
      <c r="BD435" s="26">
        <v>1284.46894972566</v>
      </c>
      <c r="BE435" s="25" t="s">
        <v>239</v>
      </c>
      <c r="BF435" s="26">
        <f t="shared" si="161"/>
        <v>1142.28253914476</v>
      </c>
      <c r="BG435" s="26">
        <f t="shared" si="162"/>
        <v>1479.1192338021451</v>
      </c>
      <c r="BH435" s="83" t="s">
        <v>738</v>
      </c>
      <c r="BI435" s="25" t="s">
        <v>430</v>
      </c>
      <c r="BJ435" s="26">
        <v>1000.0961285638601</v>
      </c>
      <c r="BK435" s="26">
        <v>1673.76951787863</v>
      </c>
      <c r="BL435" s="26" t="s">
        <v>13</v>
      </c>
      <c r="BM435" s="25" t="s">
        <v>13</v>
      </c>
      <c r="CA435" s="25" t="s">
        <v>13</v>
      </c>
      <c r="CC435" s="25" t="s">
        <v>13</v>
      </c>
    </row>
    <row r="436" spans="1:81">
      <c r="A436" s="6" t="s">
        <v>444</v>
      </c>
      <c r="B436" s="25" t="s">
        <v>316</v>
      </c>
      <c r="C436" s="62">
        <v>229.25</v>
      </c>
      <c r="D436" s="62"/>
      <c r="E436" s="62"/>
      <c r="F436" s="25">
        <f t="shared" si="158"/>
        <v>3319.7333333333331</v>
      </c>
      <c r="G436" s="23" t="s">
        <v>389</v>
      </c>
      <c r="H436" s="26">
        <f t="shared" si="157"/>
        <v>1935.666666666667</v>
      </c>
      <c r="I436" s="26">
        <f t="shared" si="157"/>
        <v>4703.8</v>
      </c>
      <c r="J436" s="23" t="s">
        <v>417</v>
      </c>
      <c r="K436" s="23" t="s">
        <v>416</v>
      </c>
      <c r="L436" s="26">
        <v>4979.6000000000004</v>
      </c>
      <c r="M436" s="26">
        <v>2903.5000000000005</v>
      </c>
      <c r="N436" s="26">
        <v>7055.7000000000007</v>
      </c>
      <c r="O436" s="25">
        <v>3000</v>
      </c>
      <c r="P436" s="25">
        <v>2000</v>
      </c>
      <c r="Q436" s="26" t="s">
        <v>393</v>
      </c>
      <c r="R436" s="26" t="s">
        <v>13</v>
      </c>
      <c r="S436" s="6" t="s">
        <v>1131</v>
      </c>
      <c r="T436" s="44" t="s">
        <v>1149</v>
      </c>
      <c r="U436" s="62">
        <v>96</v>
      </c>
      <c r="V436" s="62">
        <v>97</v>
      </c>
      <c r="W436" s="62">
        <v>93.9</v>
      </c>
      <c r="X436" s="26">
        <v>923.17640369452067</v>
      </c>
      <c r="Y436" s="26" t="s">
        <v>389</v>
      </c>
      <c r="Z436" s="26">
        <f t="shared" si="159"/>
        <v>646.22348258616444</v>
      </c>
      <c r="AA436" s="26">
        <f t="shared" si="160"/>
        <v>1384.7646055417811</v>
      </c>
      <c r="AB436" s="25" t="s">
        <v>1191</v>
      </c>
      <c r="AC436" s="77" t="s">
        <v>400</v>
      </c>
      <c r="AF436" s="26" t="s">
        <v>1300</v>
      </c>
      <c r="AG436" s="25" t="s">
        <v>13</v>
      </c>
      <c r="AM436" s="26"/>
      <c r="AN436" s="26"/>
      <c r="AO436" s="26"/>
      <c r="AP436" s="26"/>
      <c r="AQ436" s="29"/>
      <c r="AR436" s="26"/>
      <c r="AS436" s="26"/>
      <c r="AT436" s="26"/>
      <c r="AU436" s="26"/>
      <c r="AV436" s="26"/>
      <c r="AX436" s="26" t="s">
        <v>13</v>
      </c>
      <c r="AY436" s="6" t="s">
        <v>888</v>
      </c>
      <c r="AZ436" s="97" t="s">
        <v>13</v>
      </c>
      <c r="BA436" s="62">
        <v>52.881664276123047</v>
      </c>
      <c r="BD436" s="26">
        <v>940.434592113897</v>
      </c>
      <c r="BE436" s="25" t="s">
        <v>239</v>
      </c>
      <c r="BF436" s="26">
        <f t="shared" si="161"/>
        <v>836.84474010114945</v>
      </c>
      <c r="BG436" s="26">
        <f t="shared" si="162"/>
        <v>1066.6645949309236</v>
      </c>
      <c r="BH436" s="83" t="s">
        <v>887</v>
      </c>
      <c r="BI436" s="25" t="s">
        <v>430</v>
      </c>
      <c r="BJ436" s="26">
        <v>733.25488808840203</v>
      </c>
      <c r="BK436" s="26">
        <v>1192.89459774795</v>
      </c>
      <c r="BL436" s="26" t="s">
        <v>13</v>
      </c>
      <c r="BM436" s="25" t="s">
        <v>13</v>
      </c>
      <c r="CA436" s="25" t="s">
        <v>13</v>
      </c>
      <c r="CC436" s="25" t="s">
        <v>13</v>
      </c>
    </row>
    <row r="437" spans="1:81">
      <c r="A437" s="6" t="s">
        <v>444</v>
      </c>
      <c r="B437" s="25" t="s">
        <v>316</v>
      </c>
      <c r="C437" s="62">
        <v>229.72</v>
      </c>
      <c r="D437" s="62"/>
      <c r="E437" s="62"/>
      <c r="F437" s="25">
        <f t="shared" si="158"/>
        <v>2445.6</v>
      </c>
      <c r="G437" s="23" t="s">
        <v>389</v>
      </c>
      <c r="H437" s="26">
        <f t="shared" si="157"/>
        <v>1504.5333333333333</v>
      </c>
      <c r="I437" s="26">
        <f t="shared" si="157"/>
        <v>3386.6666666666665</v>
      </c>
      <c r="J437" s="23" t="s">
        <v>417</v>
      </c>
      <c r="K437" s="23" t="s">
        <v>416</v>
      </c>
      <c r="L437" s="26">
        <v>3668.4</v>
      </c>
      <c r="M437" s="26">
        <v>2256.8000000000002</v>
      </c>
      <c r="N437" s="26">
        <v>5080</v>
      </c>
      <c r="O437" s="25">
        <v>3000</v>
      </c>
      <c r="P437" s="25">
        <v>2000</v>
      </c>
      <c r="Q437" s="26" t="s">
        <v>393</v>
      </c>
      <c r="R437" s="26" t="s">
        <v>13</v>
      </c>
      <c r="S437" s="6" t="s">
        <v>1131</v>
      </c>
      <c r="T437" s="44" t="s">
        <v>1149</v>
      </c>
      <c r="U437" s="62">
        <v>96</v>
      </c>
      <c r="V437" s="62">
        <v>97</v>
      </c>
      <c r="W437" s="62">
        <v>93.9</v>
      </c>
      <c r="X437" s="26">
        <v>1130.0434784467441</v>
      </c>
      <c r="Y437" s="26" t="s">
        <v>389</v>
      </c>
      <c r="Z437" s="26">
        <f t="shared" si="159"/>
        <v>791.03043491272081</v>
      </c>
      <c r="AA437" s="26">
        <f t="shared" si="160"/>
        <v>1695.065217670116</v>
      </c>
      <c r="AB437" s="25" t="s">
        <v>1191</v>
      </c>
      <c r="AC437" s="77" t="s">
        <v>400</v>
      </c>
      <c r="AF437" s="26" t="s">
        <v>1301</v>
      </c>
      <c r="AG437" s="25" t="s">
        <v>13</v>
      </c>
      <c r="AM437" s="26"/>
      <c r="AN437" s="26"/>
      <c r="AO437" s="26"/>
      <c r="AP437" s="26"/>
      <c r="AQ437" s="29"/>
      <c r="AR437" s="26"/>
      <c r="AS437" s="26"/>
      <c r="AT437" s="26"/>
      <c r="AU437" s="26"/>
      <c r="AV437" s="26"/>
      <c r="AX437" s="26" t="s">
        <v>13</v>
      </c>
      <c r="AY437" s="6" t="s">
        <v>888</v>
      </c>
      <c r="AZ437" s="97" t="s">
        <v>13</v>
      </c>
      <c r="BA437" s="62">
        <v>53.871471405029297</v>
      </c>
      <c r="BD437" s="26">
        <v>869.39693620267803</v>
      </c>
      <c r="BE437" s="25" t="s">
        <v>239</v>
      </c>
      <c r="BF437" s="26">
        <f t="shared" si="161"/>
        <v>770.97174504122654</v>
      </c>
      <c r="BG437" s="26">
        <f t="shared" si="162"/>
        <v>983.49332066533896</v>
      </c>
      <c r="BH437" s="83" t="s">
        <v>738</v>
      </c>
      <c r="BI437" s="25" t="s">
        <v>430</v>
      </c>
      <c r="BJ437" s="26">
        <v>672.54655387977505</v>
      </c>
      <c r="BK437" s="26">
        <v>1097.5897051279999</v>
      </c>
      <c r="BL437" s="26" t="s">
        <v>13</v>
      </c>
      <c r="BM437" s="25" t="s">
        <v>13</v>
      </c>
      <c r="CA437" s="25" t="s">
        <v>13</v>
      </c>
      <c r="CC437" s="25" t="s">
        <v>13</v>
      </c>
    </row>
    <row r="438" spans="1:81">
      <c r="A438" s="6" t="s">
        <v>444</v>
      </c>
      <c r="B438" s="25" t="s">
        <v>316</v>
      </c>
      <c r="C438" s="62">
        <v>231.02</v>
      </c>
      <c r="D438" s="62"/>
      <c r="E438" s="62"/>
      <c r="F438" s="25">
        <f t="shared" si="158"/>
        <v>2516.4</v>
      </c>
      <c r="G438" s="23" t="s">
        <v>389</v>
      </c>
      <c r="H438" s="26">
        <f t="shared" si="157"/>
        <v>1541</v>
      </c>
      <c r="I438" s="26">
        <f t="shared" si="157"/>
        <v>3491.8</v>
      </c>
      <c r="J438" s="23" t="s">
        <v>417</v>
      </c>
      <c r="K438" s="23" t="s">
        <v>416</v>
      </c>
      <c r="L438" s="26">
        <v>3774.6</v>
      </c>
      <c r="M438" s="26">
        <v>2311.5</v>
      </c>
      <c r="N438" s="26">
        <v>5237.7</v>
      </c>
      <c r="O438" s="25">
        <v>3000</v>
      </c>
      <c r="P438" s="25">
        <v>2000</v>
      </c>
      <c r="Q438" s="26" t="s">
        <v>393</v>
      </c>
      <c r="R438" s="26" t="s">
        <v>13</v>
      </c>
      <c r="S438" s="6" t="s">
        <v>1131</v>
      </c>
      <c r="T438" s="44" t="s">
        <v>1149</v>
      </c>
      <c r="U438" s="62">
        <v>96</v>
      </c>
      <c r="V438" s="62">
        <v>97</v>
      </c>
      <c r="W438" s="62">
        <v>93.9</v>
      </c>
      <c r="X438" s="26">
        <v>1024.0569156372849</v>
      </c>
      <c r="Y438" s="26" t="s">
        <v>389</v>
      </c>
      <c r="Z438" s="26">
        <f t="shared" si="159"/>
        <v>716.83984094609934</v>
      </c>
      <c r="AA438" s="26">
        <f t="shared" si="160"/>
        <v>1536.0853734559273</v>
      </c>
      <c r="AB438" s="25" t="s">
        <v>1191</v>
      </c>
      <c r="AC438" s="77" t="s">
        <v>400</v>
      </c>
      <c r="AF438" s="26" t="s">
        <v>1302</v>
      </c>
      <c r="AG438" s="25" t="s">
        <v>13</v>
      </c>
      <c r="AM438" s="26"/>
      <c r="AN438" s="26"/>
      <c r="AO438" s="26"/>
      <c r="AP438" s="26"/>
      <c r="AQ438" s="29"/>
      <c r="AR438" s="26"/>
      <c r="AS438" s="26"/>
      <c r="AT438" s="26"/>
      <c r="AU438" s="26"/>
      <c r="AV438" s="26"/>
      <c r="AX438" s="26" t="s">
        <v>13</v>
      </c>
      <c r="AY438" s="6" t="s">
        <v>895</v>
      </c>
      <c r="AZ438" s="97" t="s">
        <v>13</v>
      </c>
      <c r="BA438" s="62">
        <v>39.807929992675781</v>
      </c>
      <c r="BD438" s="26">
        <v>1081.9975496935199</v>
      </c>
      <c r="BE438" s="25" t="s">
        <v>239</v>
      </c>
      <c r="BF438" s="26">
        <f t="shared" si="161"/>
        <v>991.47845561517033</v>
      </c>
      <c r="BG438" s="26">
        <f t="shared" si="162"/>
        <v>1198.5305681289246</v>
      </c>
      <c r="BH438" s="83" t="s">
        <v>887</v>
      </c>
      <c r="BI438" s="25" t="s">
        <v>430</v>
      </c>
      <c r="BJ438" s="26">
        <v>900.95936153682067</v>
      </c>
      <c r="BK438" s="26">
        <v>1315.0635865643296</v>
      </c>
      <c r="BL438" s="26" t="s">
        <v>13</v>
      </c>
      <c r="BM438" s="25" t="s">
        <v>13</v>
      </c>
      <c r="CA438" s="25" t="s">
        <v>13</v>
      </c>
      <c r="CC438" s="25" t="s">
        <v>13</v>
      </c>
    </row>
    <row r="439" spans="1:81">
      <c r="A439" s="6" t="s">
        <v>444</v>
      </c>
      <c r="B439" s="25" t="s">
        <v>316</v>
      </c>
      <c r="C439" s="62">
        <v>231.42</v>
      </c>
      <c r="D439" s="62"/>
      <c r="E439" s="62"/>
      <c r="F439" s="25">
        <f t="shared" si="158"/>
        <v>3230.8666666666668</v>
      </c>
      <c r="G439" s="23" t="s">
        <v>389</v>
      </c>
      <c r="H439" s="26">
        <f t="shared" si="157"/>
        <v>1899.7333333333336</v>
      </c>
      <c r="I439" s="26">
        <f t="shared" si="157"/>
        <v>4562</v>
      </c>
      <c r="J439" s="23" t="s">
        <v>417</v>
      </c>
      <c r="K439" s="23" t="s">
        <v>416</v>
      </c>
      <c r="L439" s="26">
        <v>4846.3</v>
      </c>
      <c r="M439" s="26">
        <v>2849.6000000000004</v>
      </c>
      <c r="N439" s="26">
        <v>6843</v>
      </c>
      <c r="O439" s="25">
        <v>3000</v>
      </c>
      <c r="P439" s="25">
        <v>2000</v>
      </c>
      <c r="Q439" s="26" t="s">
        <v>393</v>
      </c>
      <c r="R439" s="26" t="s">
        <v>13</v>
      </c>
      <c r="S439" s="6" t="s">
        <v>1131</v>
      </c>
      <c r="T439" s="44" t="s">
        <v>1149</v>
      </c>
      <c r="U439" s="62">
        <v>96</v>
      </c>
      <c r="V439" s="62">
        <v>97</v>
      </c>
      <c r="W439" s="62">
        <v>93.9</v>
      </c>
      <c r="X439" s="26">
        <v>1224.8014715530719</v>
      </c>
      <c r="Y439" s="26" t="s">
        <v>389</v>
      </c>
      <c r="Z439" s="26">
        <f t="shared" si="159"/>
        <v>857.36103008715031</v>
      </c>
      <c r="AA439" s="26">
        <f t="shared" si="160"/>
        <v>1837.202207329608</v>
      </c>
      <c r="AB439" s="25" t="s">
        <v>1191</v>
      </c>
      <c r="AC439" s="77" t="s">
        <v>400</v>
      </c>
      <c r="AF439" s="26" t="s">
        <v>1303</v>
      </c>
      <c r="AG439" s="25" t="s">
        <v>13</v>
      </c>
      <c r="AM439" s="26"/>
      <c r="AN439" s="26"/>
      <c r="AO439" s="26"/>
      <c r="AP439" s="26"/>
      <c r="AQ439" s="29"/>
      <c r="AR439" s="26"/>
      <c r="AS439" s="26"/>
      <c r="AT439" s="26"/>
      <c r="AU439" s="26"/>
      <c r="AV439" s="26"/>
      <c r="AX439" s="26" t="s">
        <v>13</v>
      </c>
      <c r="AY439" s="6" t="s">
        <v>895</v>
      </c>
      <c r="AZ439" s="97" t="s">
        <v>13</v>
      </c>
      <c r="BA439" s="62">
        <v>39.910953521728516</v>
      </c>
      <c r="BD439" s="26">
        <v>892.73605884005997</v>
      </c>
      <c r="BE439" s="25" t="s">
        <v>239</v>
      </c>
      <c r="BF439" s="26">
        <f t="shared" si="161"/>
        <v>824.71101298114991</v>
      </c>
      <c r="BG439" s="26">
        <f t="shared" si="162"/>
        <v>980.44952809701988</v>
      </c>
      <c r="BH439" s="83" t="s">
        <v>738</v>
      </c>
      <c r="BI439" s="25" t="s">
        <v>430</v>
      </c>
      <c r="BJ439" s="26">
        <v>756.68596712223996</v>
      </c>
      <c r="BK439" s="26">
        <v>1068.1629973539798</v>
      </c>
      <c r="BL439" s="26" t="s">
        <v>13</v>
      </c>
      <c r="BM439" s="25" t="s">
        <v>13</v>
      </c>
      <c r="CA439" s="25" t="s">
        <v>13</v>
      </c>
      <c r="CC439" s="25" t="s">
        <v>13</v>
      </c>
    </row>
    <row r="440" spans="1:81">
      <c r="A440" s="6" t="s">
        <v>444</v>
      </c>
      <c r="B440" s="25" t="s">
        <v>316</v>
      </c>
      <c r="C440" s="62">
        <v>232.03</v>
      </c>
      <c r="D440" s="62"/>
      <c r="E440" s="62"/>
      <c r="F440" s="25">
        <f t="shared" si="158"/>
        <v>2142.8000000000002</v>
      </c>
      <c r="G440" s="23" t="s">
        <v>389</v>
      </c>
      <c r="H440" s="26">
        <f t="shared" si="157"/>
        <v>1335.4666666666665</v>
      </c>
      <c r="I440" s="26">
        <f t="shared" si="157"/>
        <v>2950.1333333333332</v>
      </c>
      <c r="J440" s="23" t="s">
        <v>417</v>
      </c>
      <c r="K440" s="23" t="s">
        <v>416</v>
      </c>
      <c r="L440" s="26">
        <v>3214.2</v>
      </c>
      <c r="M440" s="26">
        <v>2003.1999999999998</v>
      </c>
      <c r="N440" s="26">
        <v>4425.2</v>
      </c>
      <c r="O440" s="25">
        <v>3000</v>
      </c>
      <c r="P440" s="25">
        <v>2000</v>
      </c>
      <c r="Q440" s="26" t="s">
        <v>393</v>
      </c>
      <c r="R440" s="26" t="s">
        <v>13</v>
      </c>
      <c r="S440" s="6" t="s">
        <v>1131</v>
      </c>
      <c r="T440" s="44" t="s">
        <v>1149</v>
      </c>
      <c r="U440" s="62">
        <v>96</v>
      </c>
      <c r="V440" s="62">
        <v>97</v>
      </c>
      <c r="W440" s="62">
        <v>93.9</v>
      </c>
      <c r="X440" s="26">
        <v>1021.5033708644537</v>
      </c>
      <c r="Y440" s="26" t="s">
        <v>389</v>
      </c>
      <c r="Z440" s="26">
        <f t="shared" si="159"/>
        <v>715.05235960511754</v>
      </c>
      <c r="AA440" s="26">
        <f t="shared" si="160"/>
        <v>1532.2550562966806</v>
      </c>
      <c r="AB440" s="25" t="s">
        <v>1191</v>
      </c>
      <c r="AC440" s="77" t="s">
        <v>400</v>
      </c>
      <c r="AF440" s="26" t="s">
        <v>1304</v>
      </c>
      <c r="AG440" s="25" t="s">
        <v>13</v>
      </c>
      <c r="AM440" s="26"/>
      <c r="AN440" s="26"/>
      <c r="AO440" s="26"/>
      <c r="AP440" s="26"/>
      <c r="AQ440" s="29"/>
      <c r="AR440" s="26"/>
      <c r="AS440" s="26"/>
      <c r="AT440" s="26"/>
      <c r="AU440" s="26"/>
      <c r="AV440" s="26"/>
      <c r="AX440" s="26" t="s">
        <v>13</v>
      </c>
      <c r="AY440" s="6" t="s">
        <v>895</v>
      </c>
      <c r="AZ440" s="97" t="s">
        <v>13</v>
      </c>
      <c r="BA440" s="62">
        <v>39.982666015625</v>
      </c>
      <c r="BD440" s="26">
        <v>869.54460598123899</v>
      </c>
      <c r="BE440" s="25" t="s">
        <v>239</v>
      </c>
      <c r="BF440" s="26">
        <f t="shared" si="161"/>
        <v>796.62294421524803</v>
      </c>
      <c r="BG440" s="26">
        <f t="shared" si="162"/>
        <v>951.21626563228961</v>
      </c>
      <c r="BH440" s="83" t="s">
        <v>887</v>
      </c>
      <c r="BI440" s="25" t="s">
        <v>430</v>
      </c>
      <c r="BJ440" s="26">
        <v>723.70128244925706</v>
      </c>
      <c r="BK440" s="26">
        <v>1032.8879252833401</v>
      </c>
      <c r="BL440" s="26" t="s">
        <v>13</v>
      </c>
      <c r="BM440" s="25" t="s">
        <v>13</v>
      </c>
      <c r="CA440" s="25" t="s">
        <v>13</v>
      </c>
      <c r="CC440" s="25" t="s">
        <v>13</v>
      </c>
    </row>
    <row r="441" spans="1:81">
      <c r="A441" s="6" t="s">
        <v>444</v>
      </c>
      <c r="B441" s="25" t="s">
        <v>316</v>
      </c>
      <c r="C441" s="62">
        <v>232.19</v>
      </c>
      <c r="D441" s="62"/>
      <c r="E441" s="62"/>
      <c r="F441" s="25">
        <f t="shared" si="158"/>
        <v>2884.2</v>
      </c>
      <c r="G441" s="23" t="s">
        <v>389</v>
      </c>
      <c r="H441" s="26">
        <f t="shared" si="157"/>
        <v>1723.8000000000004</v>
      </c>
      <c r="I441" s="26">
        <f t="shared" si="157"/>
        <v>4044.6</v>
      </c>
      <c r="J441" s="23" t="s">
        <v>417</v>
      </c>
      <c r="K441" s="23" t="s">
        <v>416</v>
      </c>
      <c r="L441" s="26">
        <v>4326.3</v>
      </c>
      <c r="M441" s="26">
        <v>2585.7000000000003</v>
      </c>
      <c r="N441" s="26">
        <v>6066.9</v>
      </c>
      <c r="O441" s="25">
        <v>3000</v>
      </c>
      <c r="P441" s="25">
        <v>2000</v>
      </c>
      <c r="Q441" s="26" t="s">
        <v>393</v>
      </c>
      <c r="R441" s="26" t="s">
        <v>13</v>
      </c>
      <c r="S441" s="6" t="s">
        <v>1131</v>
      </c>
      <c r="T441" s="44" t="s">
        <v>1150</v>
      </c>
      <c r="U441" s="62">
        <v>96</v>
      </c>
      <c r="V441" s="62">
        <v>97</v>
      </c>
      <c r="W441" s="62">
        <v>93.9</v>
      </c>
      <c r="X441" s="26">
        <v>950.57022337889941</v>
      </c>
      <c r="Y441" s="26" t="s">
        <v>389</v>
      </c>
      <c r="Z441" s="26">
        <f t="shared" si="159"/>
        <v>665.3991563652296</v>
      </c>
      <c r="AA441" s="26">
        <f t="shared" si="160"/>
        <v>1425.8553350683492</v>
      </c>
      <c r="AB441" s="25" t="s">
        <v>1191</v>
      </c>
      <c r="AC441" s="77" t="s">
        <v>400</v>
      </c>
      <c r="AF441" s="26" t="s">
        <v>1305</v>
      </c>
      <c r="AG441" s="25" t="s">
        <v>13</v>
      </c>
      <c r="AM441" s="26"/>
      <c r="AN441" s="26"/>
      <c r="AO441" s="26"/>
      <c r="AP441" s="26"/>
      <c r="AQ441" s="29"/>
      <c r="AR441" s="26"/>
      <c r="AS441" s="26"/>
      <c r="AT441" s="26"/>
      <c r="AU441" s="26"/>
      <c r="AV441" s="26"/>
      <c r="AX441" s="26" t="s">
        <v>13</v>
      </c>
      <c r="AY441" s="6" t="s">
        <v>895</v>
      </c>
      <c r="AZ441" s="97" t="s">
        <v>13</v>
      </c>
      <c r="BA441" s="62">
        <v>40.061538696289063</v>
      </c>
      <c r="BD441" s="26">
        <v>1186.1101639687799</v>
      </c>
      <c r="BE441" s="25" t="s">
        <v>239</v>
      </c>
      <c r="BF441" s="26">
        <f t="shared" si="161"/>
        <v>1084.614117419394</v>
      </c>
      <c r="BG441" s="26">
        <f t="shared" si="162"/>
        <v>1324.7962146852901</v>
      </c>
      <c r="BH441" s="83" t="s">
        <v>738</v>
      </c>
      <c r="BI441" s="25" t="s">
        <v>430</v>
      </c>
      <c r="BJ441" s="26">
        <v>983.11807087000807</v>
      </c>
      <c r="BK441" s="26">
        <v>1463.4822654018001</v>
      </c>
      <c r="BL441" s="26" t="s">
        <v>13</v>
      </c>
      <c r="BM441" s="25" t="s">
        <v>13</v>
      </c>
      <c r="CA441" s="25" t="s">
        <v>13</v>
      </c>
      <c r="CC441" s="25" t="s">
        <v>13</v>
      </c>
    </row>
    <row r="442" spans="1:81" ht="16.8">
      <c r="A442" s="6" t="s">
        <v>445</v>
      </c>
      <c r="B442" s="25" t="s">
        <v>446</v>
      </c>
      <c r="C442" s="62">
        <v>100</v>
      </c>
      <c r="D442" s="62"/>
      <c r="E442" s="62"/>
      <c r="F442" s="25">
        <f t="shared" si="158"/>
        <v>746</v>
      </c>
      <c r="G442" s="23" t="s">
        <v>389</v>
      </c>
      <c r="H442" s="23">
        <f>F442*0.5</f>
        <v>373</v>
      </c>
      <c r="I442" s="23">
        <f>F442*2</f>
        <v>1492</v>
      </c>
      <c r="J442" s="23" t="s">
        <v>483</v>
      </c>
      <c r="K442" s="23" t="s">
        <v>400</v>
      </c>
      <c r="L442" s="25">
        <v>746</v>
      </c>
      <c r="M442" s="25">
        <v>560</v>
      </c>
      <c r="N442" s="25">
        <v>1119</v>
      </c>
      <c r="O442" s="25">
        <v>2000</v>
      </c>
      <c r="P442" s="25">
        <v>2000</v>
      </c>
      <c r="Q442" s="25" t="s">
        <v>493</v>
      </c>
      <c r="R442" s="26" t="s">
        <v>13</v>
      </c>
      <c r="S442" s="6" t="s">
        <v>1131</v>
      </c>
      <c r="T442" s="44" t="s">
        <v>1150</v>
      </c>
      <c r="U442" s="62">
        <v>96</v>
      </c>
      <c r="V442" s="62">
        <v>97</v>
      </c>
      <c r="W442" s="62">
        <v>93.9</v>
      </c>
      <c r="X442" s="26">
        <v>851.03363620660582</v>
      </c>
      <c r="Y442" s="26" t="s">
        <v>389</v>
      </c>
      <c r="Z442" s="26">
        <f t="shared" si="159"/>
        <v>595.72354534462409</v>
      </c>
      <c r="AA442" s="26">
        <f t="shared" si="160"/>
        <v>1276.5504543099087</v>
      </c>
      <c r="AB442" s="25" t="s">
        <v>1191</v>
      </c>
      <c r="AC442" s="77" t="s">
        <v>400</v>
      </c>
      <c r="AF442" s="26" t="s">
        <v>1306</v>
      </c>
      <c r="AG442" s="25" t="s">
        <v>13</v>
      </c>
      <c r="AM442" s="26"/>
      <c r="AN442" s="26"/>
      <c r="AO442" s="26"/>
      <c r="AP442" s="26"/>
      <c r="AQ442" s="29"/>
      <c r="AR442" s="26"/>
      <c r="AS442" s="26"/>
      <c r="AT442" s="26"/>
      <c r="AU442" s="26"/>
      <c r="AV442" s="26"/>
      <c r="AX442" s="26" t="s">
        <v>13</v>
      </c>
      <c r="AY442" s="6" t="s">
        <v>895</v>
      </c>
      <c r="AZ442" s="97" t="s">
        <v>13</v>
      </c>
      <c r="BA442" s="62">
        <v>40.110877990722656</v>
      </c>
      <c r="BD442" s="26">
        <v>1201.40359181502</v>
      </c>
      <c r="BE442" s="25" t="s">
        <v>239</v>
      </c>
      <c r="BF442" s="26">
        <f t="shared" si="161"/>
        <v>1101.5856992872129</v>
      </c>
      <c r="BG442" s="26">
        <f t="shared" si="162"/>
        <v>1312.76527625425</v>
      </c>
      <c r="BH442" s="83" t="s">
        <v>887</v>
      </c>
      <c r="BI442" s="25" t="s">
        <v>430</v>
      </c>
      <c r="BJ442" s="26">
        <v>1001.7678067594059</v>
      </c>
      <c r="BK442" s="26">
        <v>1424.12696069348</v>
      </c>
      <c r="BL442" s="26" t="s">
        <v>13</v>
      </c>
      <c r="BM442" s="25" t="s">
        <v>13</v>
      </c>
      <c r="CA442" s="25" t="s">
        <v>13</v>
      </c>
      <c r="CC442" s="25" t="s">
        <v>13</v>
      </c>
    </row>
    <row r="443" spans="1:81" ht="16.8">
      <c r="A443" s="6" t="s">
        <v>445</v>
      </c>
      <c r="B443" s="25" t="s">
        <v>446</v>
      </c>
      <c r="C443" s="62">
        <v>102.5</v>
      </c>
      <c r="D443" s="62"/>
      <c r="E443" s="62"/>
      <c r="F443" s="25">
        <f t="shared" si="158"/>
        <v>886</v>
      </c>
      <c r="G443" s="23" t="s">
        <v>389</v>
      </c>
      <c r="H443" s="23">
        <f t="shared" ref="H443:H449" si="163">F443*0.5</f>
        <v>443</v>
      </c>
      <c r="I443" s="23">
        <f t="shared" ref="I443:I449" si="164">F443*2</f>
        <v>1772</v>
      </c>
      <c r="J443" s="23" t="s">
        <v>483</v>
      </c>
      <c r="K443" s="23" t="s">
        <v>400</v>
      </c>
      <c r="L443" s="25">
        <v>886</v>
      </c>
      <c r="M443" s="25">
        <v>664</v>
      </c>
      <c r="N443" s="25">
        <v>1328</v>
      </c>
      <c r="O443" s="25">
        <v>2000</v>
      </c>
      <c r="P443" s="25">
        <v>2000</v>
      </c>
      <c r="Q443" s="25" t="s">
        <v>493</v>
      </c>
      <c r="R443" s="26" t="s">
        <v>13</v>
      </c>
      <c r="S443" s="6" t="s">
        <v>1131</v>
      </c>
      <c r="T443" s="44" t="s">
        <v>1149</v>
      </c>
      <c r="U443" s="62">
        <v>96.3</v>
      </c>
      <c r="V443" s="62">
        <v>97</v>
      </c>
      <c r="W443" s="62">
        <v>93.9</v>
      </c>
      <c r="X443" s="26">
        <v>1173.5398380644301</v>
      </c>
      <c r="Y443" s="26" t="s">
        <v>389</v>
      </c>
      <c r="Z443" s="26">
        <f t="shared" si="159"/>
        <v>821.47788664510108</v>
      </c>
      <c r="AA443" s="26">
        <f t="shared" si="160"/>
        <v>1760.3097570966452</v>
      </c>
      <c r="AB443" s="25" t="s">
        <v>1191</v>
      </c>
      <c r="AC443" s="77" t="s">
        <v>400</v>
      </c>
      <c r="AF443" s="26" t="s">
        <v>1307</v>
      </c>
      <c r="AG443" s="25" t="s">
        <v>13</v>
      </c>
      <c r="AM443" s="26"/>
      <c r="AN443" s="26"/>
      <c r="AO443" s="26"/>
      <c r="AP443" s="26"/>
      <c r="AQ443" s="29"/>
      <c r="AR443" s="26"/>
      <c r="AS443" s="26"/>
      <c r="AT443" s="26"/>
      <c r="AU443" s="26"/>
      <c r="AV443" s="26"/>
      <c r="AX443" s="26" t="s">
        <v>13</v>
      </c>
      <c r="AY443" s="6" t="s">
        <v>895</v>
      </c>
      <c r="AZ443" s="97" t="s">
        <v>13</v>
      </c>
      <c r="BA443" s="62">
        <v>40.250213623046875</v>
      </c>
      <c r="BD443" s="26">
        <v>958.02396171487499</v>
      </c>
      <c r="BE443" s="25" t="s">
        <v>239</v>
      </c>
      <c r="BF443" s="26">
        <f t="shared" si="161"/>
        <v>876.65847250300646</v>
      </c>
      <c r="BG443" s="26">
        <f t="shared" si="162"/>
        <v>1046.917900533686</v>
      </c>
      <c r="BH443" s="83" t="s">
        <v>738</v>
      </c>
      <c r="BI443" s="25" t="s">
        <v>430</v>
      </c>
      <c r="BJ443" s="26">
        <v>795.29298329113794</v>
      </c>
      <c r="BK443" s="26">
        <v>1135.8118393524971</v>
      </c>
      <c r="BL443" s="26" t="s">
        <v>13</v>
      </c>
      <c r="BM443" s="25" t="s">
        <v>13</v>
      </c>
      <c r="CA443" s="25" t="s">
        <v>13</v>
      </c>
      <c r="CC443" s="25" t="s">
        <v>13</v>
      </c>
    </row>
    <row r="444" spans="1:81" ht="16.8">
      <c r="A444" s="6" t="s">
        <v>445</v>
      </c>
      <c r="B444" s="25" t="s">
        <v>446</v>
      </c>
      <c r="C444" s="62">
        <v>111.5</v>
      </c>
      <c r="D444" s="62"/>
      <c r="E444" s="62"/>
      <c r="F444" s="25">
        <f t="shared" si="158"/>
        <v>996</v>
      </c>
      <c r="G444" s="23" t="s">
        <v>389</v>
      </c>
      <c r="H444" s="23">
        <f t="shared" si="163"/>
        <v>498</v>
      </c>
      <c r="I444" s="23">
        <f t="shared" si="164"/>
        <v>1992</v>
      </c>
      <c r="J444" s="23" t="s">
        <v>483</v>
      </c>
      <c r="K444" s="23" t="s">
        <v>400</v>
      </c>
      <c r="L444" s="25">
        <v>996</v>
      </c>
      <c r="M444" s="25">
        <v>747</v>
      </c>
      <c r="N444" s="25">
        <v>1494</v>
      </c>
      <c r="O444" s="25">
        <v>2000</v>
      </c>
      <c r="P444" s="25">
        <v>2000</v>
      </c>
      <c r="Q444" s="25" t="s">
        <v>493</v>
      </c>
      <c r="R444" s="26" t="s">
        <v>13</v>
      </c>
      <c r="S444" s="6" t="s">
        <v>1131</v>
      </c>
      <c r="T444" s="44" t="s">
        <v>1149</v>
      </c>
      <c r="U444" s="62">
        <v>96.7</v>
      </c>
      <c r="V444" s="62">
        <v>97</v>
      </c>
      <c r="W444" s="62">
        <v>93.9</v>
      </c>
      <c r="X444" s="26">
        <v>1134.9489479286317</v>
      </c>
      <c r="Y444" s="26" t="s">
        <v>389</v>
      </c>
      <c r="Z444" s="26">
        <f t="shared" si="159"/>
        <v>794.46426355004212</v>
      </c>
      <c r="AA444" s="26">
        <f t="shared" si="160"/>
        <v>1702.4234218929475</v>
      </c>
      <c r="AB444" s="25" t="s">
        <v>1191</v>
      </c>
      <c r="AC444" s="77" t="s">
        <v>400</v>
      </c>
      <c r="AF444" s="26" t="s">
        <v>1308</v>
      </c>
      <c r="AG444" s="25" t="s">
        <v>13</v>
      </c>
      <c r="AM444" s="26"/>
      <c r="AN444" s="26"/>
      <c r="AO444" s="26"/>
      <c r="AP444" s="26"/>
      <c r="AQ444" s="29"/>
      <c r="AR444" s="26"/>
      <c r="AS444" s="26"/>
      <c r="AT444" s="26"/>
      <c r="AU444" s="26"/>
      <c r="AV444" s="26"/>
      <c r="AX444" s="26" t="s">
        <v>13</v>
      </c>
      <c r="AY444" s="6" t="s">
        <v>895</v>
      </c>
      <c r="AZ444" s="97" t="s">
        <v>13</v>
      </c>
      <c r="BA444" s="62">
        <v>40.394073486328125</v>
      </c>
      <c r="BD444" s="26">
        <v>945.25884251766206</v>
      </c>
      <c r="BE444" s="25" t="s">
        <v>239</v>
      </c>
      <c r="BF444" s="26">
        <f t="shared" si="161"/>
        <v>870.86145938966558</v>
      </c>
      <c r="BG444" s="26">
        <f t="shared" si="162"/>
        <v>1041.9491501120769</v>
      </c>
      <c r="BH444" s="83" t="s">
        <v>887</v>
      </c>
      <c r="BI444" s="25" t="s">
        <v>430</v>
      </c>
      <c r="BJ444" s="26">
        <v>796.46407626166911</v>
      </c>
      <c r="BK444" s="26">
        <v>1138.6394577064921</v>
      </c>
      <c r="BL444" s="26" t="s">
        <v>13</v>
      </c>
      <c r="BM444" s="25" t="s">
        <v>13</v>
      </c>
      <c r="CA444" s="25" t="s">
        <v>13</v>
      </c>
      <c r="CC444" s="25" t="s">
        <v>13</v>
      </c>
    </row>
    <row r="445" spans="1:81" ht="16.8">
      <c r="A445" s="6" t="s">
        <v>445</v>
      </c>
      <c r="B445" s="25" t="s">
        <v>446</v>
      </c>
      <c r="C445" s="62">
        <v>113.5</v>
      </c>
      <c r="D445" s="62"/>
      <c r="E445" s="62"/>
      <c r="F445" s="25">
        <f t="shared" si="158"/>
        <v>1335</v>
      </c>
      <c r="G445" s="23" t="s">
        <v>389</v>
      </c>
      <c r="H445" s="23">
        <f t="shared" si="163"/>
        <v>667.5</v>
      </c>
      <c r="I445" s="23">
        <f t="shared" si="164"/>
        <v>2670</v>
      </c>
      <c r="J445" s="23" t="s">
        <v>483</v>
      </c>
      <c r="K445" s="23" t="s">
        <v>400</v>
      </c>
      <c r="L445" s="25">
        <v>1335</v>
      </c>
      <c r="M445" s="25">
        <v>1001</v>
      </c>
      <c r="N445" s="25">
        <v>2002</v>
      </c>
      <c r="O445" s="25">
        <v>2000</v>
      </c>
      <c r="P445" s="25">
        <v>2000</v>
      </c>
      <c r="Q445" s="25" t="s">
        <v>493</v>
      </c>
      <c r="R445" s="26" t="s">
        <v>13</v>
      </c>
      <c r="S445" s="6" t="s">
        <v>1131</v>
      </c>
      <c r="T445" s="44" t="s">
        <v>1150</v>
      </c>
      <c r="U445" s="62">
        <v>97</v>
      </c>
      <c r="V445" s="62">
        <v>98</v>
      </c>
      <c r="W445" s="62">
        <v>96</v>
      </c>
      <c r="X445" s="26">
        <v>1186.0420446317944</v>
      </c>
      <c r="Y445" s="26" t="s">
        <v>389</v>
      </c>
      <c r="Z445" s="26">
        <f t="shared" si="159"/>
        <v>830.22943124225606</v>
      </c>
      <c r="AA445" s="26">
        <f t="shared" si="160"/>
        <v>1779.0630669476916</v>
      </c>
      <c r="AB445" s="25" t="s">
        <v>1191</v>
      </c>
      <c r="AC445" s="77" t="s">
        <v>400</v>
      </c>
      <c r="AF445" s="26" t="s">
        <v>1309</v>
      </c>
      <c r="AG445" s="25" t="s">
        <v>13</v>
      </c>
      <c r="AM445" s="26"/>
      <c r="AN445" s="26"/>
      <c r="AO445" s="26"/>
      <c r="AP445" s="26"/>
      <c r="AQ445" s="29"/>
      <c r="AR445" s="26"/>
      <c r="AS445" s="26"/>
      <c r="AT445" s="26"/>
      <c r="AU445" s="26"/>
      <c r="AV445" s="26"/>
      <c r="AX445" s="26" t="s">
        <v>13</v>
      </c>
      <c r="AY445" s="6" t="s">
        <v>895</v>
      </c>
      <c r="AZ445" s="97" t="s">
        <v>13</v>
      </c>
      <c r="BA445" s="62">
        <v>40.517196655273438</v>
      </c>
      <c r="BD445" s="26">
        <v>942.70326167640394</v>
      </c>
      <c r="BE445" s="25" t="s">
        <v>239</v>
      </c>
      <c r="BF445" s="26">
        <f t="shared" si="161"/>
        <v>864.23944874854885</v>
      </c>
      <c r="BG445" s="26">
        <f t="shared" si="162"/>
        <v>1034.9011237413531</v>
      </c>
      <c r="BH445" s="83" t="s">
        <v>887</v>
      </c>
      <c r="BI445" s="25" t="s">
        <v>430</v>
      </c>
      <c r="BJ445" s="26">
        <v>785.77563582069376</v>
      </c>
      <c r="BK445" s="26">
        <v>1127.0989858063022</v>
      </c>
      <c r="BL445" s="26" t="s">
        <v>13</v>
      </c>
      <c r="BM445" s="25" t="s">
        <v>13</v>
      </c>
      <c r="CA445" s="25" t="s">
        <v>13</v>
      </c>
      <c r="CC445" s="25" t="s">
        <v>13</v>
      </c>
    </row>
    <row r="446" spans="1:81" ht="16.8">
      <c r="A446" s="6" t="s">
        <v>445</v>
      </c>
      <c r="B446" s="25" t="s">
        <v>446</v>
      </c>
      <c r="C446" s="62">
        <v>115.5</v>
      </c>
      <c r="D446" s="62"/>
      <c r="E446" s="62"/>
      <c r="F446" s="25">
        <f t="shared" si="158"/>
        <v>986</v>
      </c>
      <c r="G446" s="23" t="s">
        <v>389</v>
      </c>
      <c r="H446" s="23">
        <f t="shared" si="163"/>
        <v>493</v>
      </c>
      <c r="I446" s="23">
        <f t="shared" si="164"/>
        <v>1972</v>
      </c>
      <c r="J446" s="23" t="s">
        <v>483</v>
      </c>
      <c r="K446" s="23" t="s">
        <v>400</v>
      </c>
      <c r="L446" s="25">
        <v>986</v>
      </c>
      <c r="M446" s="25">
        <v>739</v>
      </c>
      <c r="N446" s="25">
        <v>1479</v>
      </c>
      <c r="O446" s="25">
        <v>2000</v>
      </c>
      <c r="P446" s="25">
        <v>2000</v>
      </c>
      <c r="Q446" s="25" t="s">
        <v>493</v>
      </c>
      <c r="R446" s="26" t="s">
        <v>13</v>
      </c>
      <c r="S446" s="6" t="s">
        <v>1131</v>
      </c>
      <c r="T446" s="44" t="s">
        <v>1150</v>
      </c>
      <c r="U446" s="62">
        <v>97</v>
      </c>
      <c r="V446" s="62">
        <v>99.5</v>
      </c>
      <c r="W446" s="62">
        <v>97.5</v>
      </c>
      <c r="X446" s="26">
        <v>907.14272343609002</v>
      </c>
      <c r="Y446" s="26" t="s">
        <v>389</v>
      </c>
      <c r="Z446" s="26">
        <f t="shared" si="159"/>
        <v>634.999906405263</v>
      </c>
      <c r="AA446" s="26">
        <f t="shared" si="160"/>
        <v>1360.7140851541351</v>
      </c>
      <c r="AB446" s="25" t="s">
        <v>1191</v>
      </c>
      <c r="AC446" s="77" t="s">
        <v>400</v>
      </c>
      <c r="AF446" s="26" t="s">
        <v>1310</v>
      </c>
      <c r="AG446" s="25" t="s">
        <v>13</v>
      </c>
      <c r="AM446" s="26"/>
      <c r="AN446" s="26"/>
      <c r="AO446" s="26"/>
      <c r="AP446" s="26"/>
      <c r="AQ446" s="29"/>
      <c r="AR446" s="26"/>
      <c r="AS446" s="26"/>
      <c r="AT446" s="26"/>
      <c r="AU446" s="26"/>
      <c r="AV446" s="26"/>
      <c r="AX446" s="26" t="s">
        <v>13</v>
      </c>
      <c r="AY446" s="6" t="s">
        <v>895</v>
      </c>
      <c r="AZ446" s="97" t="s">
        <v>13</v>
      </c>
      <c r="BA446" s="62">
        <v>40.648937225341797</v>
      </c>
      <c r="BD446" s="26">
        <v>901.91655238217299</v>
      </c>
      <c r="BE446" s="25" t="s">
        <v>239</v>
      </c>
      <c r="BF446" s="26">
        <f t="shared" si="161"/>
        <v>827.63493632666905</v>
      </c>
      <c r="BG446" s="26">
        <f t="shared" si="162"/>
        <v>994.91700705829953</v>
      </c>
      <c r="BH446" s="83" t="s">
        <v>738</v>
      </c>
      <c r="BI446" s="25" t="s">
        <v>430</v>
      </c>
      <c r="BJ446" s="26">
        <v>753.35332027116499</v>
      </c>
      <c r="BK446" s="26">
        <v>1087.9174617344261</v>
      </c>
      <c r="BL446" s="26" t="s">
        <v>13</v>
      </c>
      <c r="BM446" s="25" t="s">
        <v>13</v>
      </c>
      <c r="CA446" s="25" t="s">
        <v>13</v>
      </c>
      <c r="CC446" s="25" t="s">
        <v>13</v>
      </c>
    </row>
    <row r="447" spans="1:81" ht="16.8">
      <c r="A447" s="6" t="s">
        <v>445</v>
      </c>
      <c r="B447" s="25" t="s">
        <v>446</v>
      </c>
      <c r="C447" s="62">
        <v>116</v>
      </c>
      <c r="D447" s="62"/>
      <c r="E447" s="62"/>
      <c r="F447" s="25">
        <f t="shared" si="158"/>
        <v>1071</v>
      </c>
      <c r="G447" s="23" t="s">
        <v>389</v>
      </c>
      <c r="H447" s="23">
        <f t="shared" si="163"/>
        <v>535.5</v>
      </c>
      <c r="I447" s="23">
        <f t="shared" si="164"/>
        <v>2142</v>
      </c>
      <c r="J447" s="23" t="s">
        <v>483</v>
      </c>
      <c r="K447" s="23" t="s">
        <v>400</v>
      </c>
      <c r="L447" s="25">
        <v>1071</v>
      </c>
      <c r="M447" s="25">
        <v>803</v>
      </c>
      <c r="N447" s="25">
        <v>1606</v>
      </c>
      <c r="O447" s="25">
        <v>2000</v>
      </c>
      <c r="P447" s="25">
        <v>2000</v>
      </c>
      <c r="Q447" s="25" t="s">
        <v>493</v>
      </c>
      <c r="R447" s="26" t="s">
        <v>13</v>
      </c>
      <c r="S447" s="6" t="s">
        <v>1131</v>
      </c>
      <c r="T447" s="44" t="s">
        <v>1150</v>
      </c>
      <c r="U447" s="62">
        <v>97</v>
      </c>
      <c r="V447" s="62">
        <v>97</v>
      </c>
      <c r="W447" s="62">
        <v>93.5</v>
      </c>
      <c r="X447" s="26">
        <v>1099.852423966026</v>
      </c>
      <c r="Y447" s="26" t="s">
        <v>389</v>
      </c>
      <c r="Z447" s="26">
        <f t="shared" si="159"/>
        <v>769.89669677621816</v>
      </c>
      <c r="AA447" s="26">
        <f t="shared" si="160"/>
        <v>1649.778635949039</v>
      </c>
      <c r="AB447" s="25" t="s">
        <v>1191</v>
      </c>
      <c r="AC447" s="77" t="s">
        <v>400</v>
      </c>
      <c r="AF447" s="26" t="s">
        <v>1311</v>
      </c>
      <c r="AG447" s="25" t="s">
        <v>13</v>
      </c>
      <c r="AM447" s="26"/>
      <c r="AN447" s="26"/>
      <c r="AO447" s="26"/>
      <c r="AP447" s="26"/>
      <c r="AQ447" s="29"/>
      <c r="AR447" s="26"/>
      <c r="AS447" s="26"/>
      <c r="AT447" s="26"/>
      <c r="AU447" s="26"/>
      <c r="AV447" s="26"/>
      <c r="AX447" s="26" t="s">
        <v>13</v>
      </c>
      <c r="AY447" s="6" t="s">
        <v>895</v>
      </c>
      <c r="AZ447" s="97" t="s">
        <v>13</v>
      </c>
      <c r="BA447" s="62">
        <v>41.0123291015625</v>
      </c>
      <c r="BD447" s="26">
        <v>1177.7248490971899</v>
      </c>
      <c r="BE447" s="25" t="s">
        <v>239</v>
      </c>
      <c r="BF447" s="26">
        <f t="shared" si="161"/>
        <v>1081.0168829049499</v>
      </c>
      <c r="BG447" s="26">
        <f t="shared" si="162"/>
        <v>1298.7174971403047</v>
      </c>
      <c r="BH447" s="83" t="s">
        <v>887</v>
      </c>
      <c r="BI447" s="25" t="s">
        <v>430</v>
      </c>
      <c r="BJ447" s="26">
        <v>984.3089167127099</v>
      </c>
      <c r="BK447" s="26">
        <v>1419.7101451834196</v>
      </c>
      <c r="BL447" s="26" t="s">
        <v>13</v>
      </c>
      <c r="BM447" s="25" t="s">
        <v>13</v>
      </c>
      <c r="CA447" s="25" t="s">
        <v>13</v>
      </c>
      <c r="CC447" s="25" t="s">
        <v>13</v>
      </c>
    </row>
    <row r="448" spans="1:81" ht="16.8">
      <c r="A448" s="6" t="s">
        <v>445</v>
      </c>
      <c r="B448" s="25" t="s">
        <v>446</v>
      </c>
      <c r="C448" s="62">
        <v>116.5</v>
      </c>
      <c r="D448" s="62"/>
      <c r="E448" s="62"/>
      <c r="F448" s="25">
        <f t="shared" si="158"/>
        <v>1190</v>
      </c>
      <c r="G448" s="23" t="s">
        <v>389</v>
      </c>
      <c r="H448" s="23">
        <f t="shared" si="163"/>
        <v>595</v>
      </c>
      <c r="I448" s="23">
        <f t="shared" si="164"/>
        <v>2380</v>
      </c>
      <c r="J448" s="23" t="s">
        <v>483</v>
      </c>
      <c r="K448" s="23" t="s">
        <v>400</v>
      </c>
      <c r="L448" s="25">
        <v>1190</v>
      </c>
      <c r="M448" s="25">
        <v>892</v>
      </c>
      <c r="N448" s="25">
        <v>1785</v>
      </c>
      <c r="O448" s="25">
        <v>2000</v>
      </c>
      <c r="P448" s="25">
        <v>2000</v>
      </c>
      <c r="Q448" s="25" t="s">
        <v>493</v>
      </c>
      <c r="R448" s="26" t="s">
        <v>13</v>
      </c>
      <c r="S448" s="6" t="s">
        <v>1131</v>
      </c>
      <c r="T448" s="44" t="s">
        <v>1150</v>
      </c>
      <c r="U448" s="62">
        <v>97</v>
      </c>
      <c r="V448" s="62">
        <v>97</v>
      </c>
      <c r="W448" s="62">
        <v>93.5</v>
      </c>
      <c r="X448" s="26">
        <v>1457.0238853967112</v>
      </c>
      <c r="Y448" s="26" t="s">
        <v>389</v>
      </c>
      <c r="Z448" s="26">
        <f t="shared" si="159"/>
        <v>1019.9167197776977</v>
      </c>
      <c r="AA448" s="26">
        <f t="shared" si="160"/>
        <v>2185.5358280950668</v>
      </c>
      <c r="AB448" s="25" t="s">
        <v>1191</v>
      </c>
      <c r="AC448" s="77" t="s">
        <v>400</v>
      </c>
      <c r="AF448" s="26" t="s">
        <v>1283</v>
      </c>
      <c r="AG448" s="25" t="s">
        <v>13</v>
      </c>
      <c r="AM448" s="26"/>
      <c r="AN448" s="26"/>
      <c r="AO448" s="26"/>
      <c r="AP448" s="26"/>
      <c r="AQ448" s="29"/>
      <c r="AR448" s="26"/>
      <c r="AS448" s="26"/>
      <c r="AT448" s="26"/>
      <c r="AU448" s="26"/>
      <c r="AV448" s="26"/>
      <c r="AX448" s="26" t="s">
        <v>13</v>
      </c>
      <c r="AY448" s="6" t="s">
        <v>895</v>
      </c>
      <c r="AZ448" s="97" t="s">
        <v>13</v>
      </c>
      <c r="BA448" s="62">
        <v>39.123607635498047</v>
      </c>
      <c r="BD448" s="26">
        <v>790.912965400453</v>
      </c>
      <c r="BE448" s="25" t="s">
        <v>239</v>
      </c>
      <c r="BF448" s="26">
        <f t="shared" si="161"/>
        <v>728.57243252618605</v>
      </c>
      <c r="BG448" s="26">
        <f t="shared" si="162"/>
        <v>866.08739134921052</v>
      </c>
      <c r="BH448" s="83" t="s">
        <v>738</v>
      </c>
      <c r="BI448" s="25" t="s">
        <v>430</v>
      </c>
      <c r="BJ448" s="26">
        <v>666.23189965191909</v>
      </c>
      <c r="BK448" s="26">
        <v>941.26181729796804</v>
      </c>
      <c r="BL448" s="26" t="s">
        <v>13</v>
      </c>
      <c r="BM448" s="25" t="s">
        <v>13</v>
      </c>
      <c r="CA448" s="25" t="s">
        <v>13</v>
      </c>
      <c r="CC448" s="25" t="s">
        <v>13</v>
      </c>
    </row>
    <row r="449" spans="1:81" ht="16.8">
      <c r="A449" s="6" t="s">
        <v>445</v>
      </c>
      <c r="B449" s="25" t="s">
        <v>446</v>
      </c>
      <c r="C449" s="62">
        <v>119.4</v>
      </c>
      <c r="D449" s="62"/>
      <c r="E449" s="62"/>
      <c r="F449" s="25">
        <f t="shared" si="158"/>
        <v>1179</v>
      </c>
      <c r="G449" s="23" t="s">
        <v>389</v>
      </c>
      <c r="H449" s="23">
        <f t="shared" si="163"/>
        <v>589.5</v>
      </c>
      <c r="I449" s="23">
        <f t="shared" si="164"/>
        <v>2358</v>
      </c>
      <c r="J449" s="23" t="s">
        <v>483</v>
      </c>
      <c r="K449" s="23" t="s">
        <v>400</v>
      </c>
      <c r="L449" s="25">
        <v>1179</v>
      </c>
      <c r="M449" s="25">
        <v>884</v>
      </c>
      <c r="N449" s="25">
        <v>1768</v>
      </c>
      <c r="O449" s="25">
        <v>2000</v>
      </c>
      <c r="P449" s="25">
        <v>2000</v>
      </c>
      <c r="Q449" s="25" t="s">
        <v>493</v>
      </c>
      <c r="R449" s="26" t="s">
        <v>13</v>
      </c>
      <c r="S449" s="6" t="s">
        <v>1131</v>
      </c>
      <c r="T449" s="44" t="s">
        <v>1149</v>
      </c>
      <c r="U449" s="62">
        <v>97</v>
      </c>
      <c r="V449" s="62">
        <v>97</v>
      </c>
      <c r="W449" s="62">
        <v>93.9</v>
      </c>
      <c r="X449" s="26">
        <v>911.25171432955221</v>
      </c>
      <c r="Y449" s="26" t="s">
        <v>389</v>
      </c>
      <c r="Z449" s="26">
        <f t="shared" si="159"/>
        <v>637.8762000306865</v>
      </c>
      <c r="AA449" s="26">
        <f t="shared" si="160"/>
        <v>1366.8775714943283</v>
      </c>
      <c r="AB449" s="25" t="s">
        <v>1191</v>
      </c>
      <c r="AC449" s="77" t="s">
        <v>400</v>
      </c>
      <c r="AF449" s="26" t="s">
        <v>1312</v>
      </c>
      <c r="AG449" s="25" t="s">
        <v>13</v>
      </c>
      <c r="AM449" s="26"/>
      <c r="AN449" s="26"/>
      <c r="AO449" s="26"/>
      <c r="AP449" s="26"/>
      <c r="AQ449" s="29"/>
      <c r="AR449" s="26"/>
      <c r="AS449" s="26"/>
      <c r="AT449" s="26"/>
      <c r="AU449" s="26"/>
      <c r="AV449" s="26"/>
      <c r="AX449" s="26" t="s">
        <v>13</v>
      </c>
      <c r="AY449" s="6" t="s">
        <v>895</v>
      </c>
      <c r="AZ449" s="97" t="s">
        <v>13</v>
      </c>
      <c r="BA449" s="62">
        <v>39.327358245849609</v>
      </c>
      <c r="BD449" s="26">
        <v>900.46776329566796</v>
      </c>
      <c r="BE449" s="25" t="s">
        <v>239</v>
      </c>
      <c r="BF449" s="26">
        <f t="shared" si="161"/>
        <v>825.8017572517499</v>
      </c>
      <c r="BG449" s="26">
        <f t="shared" si="162"/>
        <v>990.23673736006901</v>
      </c>
      <c r="BH449" s="83" t="s">
        <v>887</v>
      </c>
      <c r="BI449" s="25" t="s">
        <v>430</v>
      </c>
      <c r="BJ449" s="26">
        <v>751.13575120783196</v>
      </c>
      <c r="BK449" s="26">
        <v>1080.0057114244701</v>
      </c>
      <c r="BL449" s="26" t="s">
        <v>13</v>
      </c>
      <c r="BM449" s="25" t="s">
        <v>13</v>
      </c>
      <c r="CA449" s="25" t="s">
        <v>13</v>
      </c>
      <c r="CC449" s="25" t="s">
        <v>13</v>
      </c>
    </row>
    <row r="450" spans="1:81">
      <c r="A450" s="6" t="s">
        <v>448</v>
      </c>
      <c r="B450" s="25" t="s">
        <v>485</v>
      </c>
      <c r="C450" s="62">
        <v>0.95</v>
      </c>
      <c r="F450" s="26">
        <f>L450</f>
        <v>244.16674592693224</v>
      </c>
      <c r="G450" s="23" t="s">
        <v>389</v>
      </c>
      <c r="H450" s="26">
        <f>M450</f>
        <v>153.01627154479019</v>
      </c>
      <c r="I450" s="26">
        <f>N450</f>
        <v>403.085949790835</v>
      </c>
      <c r="J450" s="23" t="s">
        <v>484</v>
      </c>
      <c r="K450" s="23" t="s">
        <v>400</v>
      </c>
      <c r="L450" s="26">
        <v>244.16674592693224</v>
      </c>
      <c r="M450" s="26">
        <v>153.01627154479019</v>
      </c>
      <c r="N450" s="26">
        <v>403.085949790835</v>
      </c>
      <c r="O450" s="25">
        <v>1274</v>
      </c>
      <c r="P450" s="25">
        <f>O450</f>
        <v>1274</v>
      </c>
      <c r="Q450" s="87" t="s">
        <v>449</v>
      </c>
      <c r="R450" s="26" t="s">
        <v>13</v>
      </c>
      <c r="S450" s="6" t="s">
        <v>1131</v>
      </c>
      <c r="T450" s="44" t="s">
        <v>1149</v>
      </c>
      <c r="U450" s="62">
        <v>97</v>
      </c>
      <c r="V450" s="62">
        <v>97</v>
      </c>
      <c r="W450" s="62">
        <v>93.9</v>
      </c>
      <c r="X450" s="26">
        <v>924.08981364484009</v>
      </c>
      <c r="Y450" s="26" t="s">
        <v>389</v>
      </c>
      <c r="Z450" s="26">
        <f t="shared" si="159"/>
        <v>646.86286955138803</v>
      </c>
      <c r="AA450" s="26">
        <f t="shared" si="160"/>
        <v>1386.1347204672602</v>
      </c>
      <c r="AB450" s="25" t="s">
        <v>1191</v>
      </c>
      <c r="AC450" s="77" t="s">
        <v>400</v>
      </c>
      <c r="AF450" s="26" t="s">
        <v>1313</v>
      </c>
      <c r="AG450" s="25" t="s">
        <v>13</v>
      </c>
      <c r="AM450" s="26"/>
      <c r="AN450" s="26"/>
      <c r="AO450" s="26"/>
      <c r="AP450" s="26"/>
      <c r="AQ450" s="29"/>
      <c r="AR450" s="26"/>
      <c r="AS450" s="26"/>
      <c r="AT450" s="26"/>
      <c r="AU450" s="26"/>
      <c r="AV450" s="26"/>
      <c r="AX450" s="26" t="s">
        <v>13</v>
      </c>
      <c r="AY450" s="6" t="s">
        <v>895</v>
      </c>
      <c r="AZ450" s="97" t="s">
        <v>13</v>
      </c>
      <c r="BA450" s="62">
        <v>39.958087921142578</v>
      </c>
      <c r="BD450" s="26">
        <v>930.46485190491092</v>
      </c>
      <c r="BE450" s="25" t="s">
        <v>239</v>
      </c>
      <c r="BF450" s="26">
        <f t="shared" si="161"/>
        <v>855.35468043135893</v>
      </c>
      <c r="BG450" s="26">
        <f t="shared" si="162"/>
        <v>1018.2714484427429</v>
      </c>
      <c r="BH450" s="83" t="s">
        <v>738</v>
      </c>
      <c r="BI450" s="25" t="s">
        <v>430</v>
      </c>
      <c r="BJ450" s="26">
        <v>780.24450895780683</v>
      </c>
      <c r="BK450" s="26">
        <v>1106.0780449805748</v>
      </c>
      <c r="BL450" s="26" t="s">
        <v>13</v>
      </c>
      <c r="BM450" s="25" t="s">
        <v>13</v>
      </c>
      <c r="CA450" s="25" t="s">
        <v>13</v>
      </c>
      <c r="CC450" s="25" t="s">
        <v>13</v>
      </c>
    </row>
    <row r="451" spans="1:81">
      <c r="A451" s="6" t="s">
        <v>448</v>
      </c>
      <c r="B451" s="25" t="s">
        <v>485</v>
      </c>
      <c r="C451" s="62">
        <v>1.07</v>
      </c>
      <c r="F451" s="26">
        <f t="shared" ref="F451:F514" si="165">L451</f>
        <v>213.84778040527922</v>
      </c>
      <c r="G451" s="23" t="s">
        <v>389</v>
      </c>
      <c r="H451" s="26">
        <f t="shared" ref="H451:I481" si="166">M451</f>
        <v>134.01575186465848</v>
      </c>
      <c r="I451" s="26">
        <f t="shared" si="166"/>
        <v>353.03347860940596</v>
      </c>
      <c r="J451" s="23" t="s">
        <v>484</v>
      </c>
      <c r="K451" s="23" t="s">
        <v>400</v>
      </c>
      <c r="L451" s="26">
        <v>213.84778040527922</v>
      </c>
      <c r="M451" s="26">
        <v>134.01575186465848</v>
      </c>
      <c r="N451" s="26">
        <v>353.03347860940596</v>
      </c>
      <c r="O451" s="25">
        <v>1274</v>
      </c>
      <c r="P451" s="25">
        <f>O451</f>
        <v>1274</v>
      </c>
      <c r="Q451" s="87" t="s">
        <v>450</v>
      </c>
      <c r="R451" s="26" t="s">
        <v>13</v>
      </c>
      <c r="S451" s="6" t="s">
        <v>1131</v>
      </c>
      <c r="T451" s="44" t="s">
        <v>1149</v>
      </c>
      <c r="U451" s="62">
        <v>97</v>
      </c>
      <c r="V451" s="62">
        <v>97</v>
      </c>
      <c r="W451" s="62">
        <v>93.9</v>
      </c>
      <c r="X451" s="26">
        <v>1112.4058068423435</v>
      </c>
      <c r="Y451" s="26" t="s">
        <v>389</v>
      </c>
      <c r="Z451" s="26">
        <f t="shared" si="159"/>
        <v>778.68406478964039</v>
      </c>
      <c r="AA451" s="26">
        <f t="shared" si="160"/>
        <v>1668.6087102635151</v>
      </c>
      <c r="AB451" s="25" t="s">
        <v>1191</v>
      </c>
      <c r="AC451" s="77" t="s">
        <v>400</v>
      </c>
      <c r="AF451" s="26" t="s">
        <v>1314</v>
      </c>
      <c r="AG451" s="25" t="s">
        <v>13</v>
      </c>
      <c r="AM451" s="26"/>
      <c r="AN451" s="26"/>
      <c r="AO451" s="26"/>
      <c r="AP451" s="26"/>
      <c r="AQ451" s="29"/>
      <c r="AR451" s="26"/>
      <c r="AS451" s="26"/>
      <c r="AT451" s="26"/>
      <c r="AU451" s="26"/>
      <c r="AV451" s="26"/>
      <c r="AX451" s="26" t="s">
        <v>13</v>
      </c>
      <c r="AY451" s="6" t="s">
        <v>895</v>
      </c>
      <c r="AZ451" s="97" t="s">
        <v>13</v>
      </c>
      <c r="BA451" s="62">
        <v>40.000175476074219</v>
      </c>
      <c r="BD451" s="26">
        <v>898.21127840434303</v>
      </c>
      <c r="BE451" s="25" t="s">
        <v>239</v>
      </c>
      <c r="BF451" s="26">
        <f t="shared" si="161"/>
        <v>819.41808310133047</v>
      </c>
      <c r="BG451" s="26">
        <f t="shared" si="162"/>
        <v>984.33149461963103</v>
      </c>
      <c r="BH451" s="83" t="s">
        <v>887</v>
      </c>
      <c r="BI451" s="25" t="s">
        <v>430</v>
      </c>
      <c r="BJ451" s="26">
        <v>740.62488779831801</v>
      </c>
      <c r="BK451" s="26">
        <v>1070.4517108349191</v>
      </c>
      <c r="BL451" s="26" t="s">
        <v>13</v>
      </c>
      <c r="BM451" s="25" t="s">
        <v>13</v>
      </c>
      <c r="CA451" s="25" t="s">
        <v>13</v>
      </c>
      <c r="CC451" s="25" t="s">
        <v>13</v>
      </c>
    </row>
    <row r="452" spans="1:81">
      <c r="A452" s="6" t="s">
        <v>448</v>
      </c>
      <c r="B452" s="25" t="s">
        <v>485</v>
      </c>
      <c r="C452" s="62">
        <v>1.1599999999999999</v>
      </c>
      <c r="F452" s="26">
        <f t="shared" si="165"/>
        <v>334.66648312201056</v>
      </c>
      <c r="G452" s="23" t="s">
        <v>389</v>
      </c>
      <c r="H452" s="26">
        <f t="shared" si="166"/>
        <v>209.73133447771841</v>
      </c>
      <c r="I452" s="26">
        <f t="shared" si="166"/>
        <v>552.48865565322808</v>
      </c>
      <c r="J452" s="23" t="s">
        <v>484</v>
      </c>
      <c r="K452" s="23" t="s">
        <v>400</v>
      </c>
      <c r="L452" s="26">
        <v>334.66648312201056</v>
      </c>
      <c r="M452" s="26">
        <v>209.73133447771841</v>
      </c>
      <c r="N452" s="26">
        <v>552.48865565322808</v>
      </c>
      <c r="O452" s="25">
        <v>1274</v>
      </c>
      <c r="P452" s="25">
        <f t="shared" ref="P452:P515" si="167">O452</f>
        <v>1274</v>
      </c>
      <c r="Q452" s="87" t="s">
        <v>451</v>
      </c>
      <c r="R452" s="26" t="s">
        <v>13</v>
      </c>
      <c r="S452" s="6" t="s">
        <v>1131</v>
      </c>
      <c r="T452" s="44" t="s">
        <v>1149</v>
      </c>
      <c r="U452" s="62">
        <v>97</v>
      </c>
      <c r="V452" s="62">
        <v>97</v>
      </c>
      <c r="W452" s="62">
        <v>93.9</v>
      </c>
      <c r="X452" s="26">
        <v>1193.6200737682805</v>
      </c>
      <c r="Y452" s="26" t="s">
        <v>389</v>
      </c>
      <c r="Z452" s="26">
        <f t="shared" si="159"/>
        <v>835.53405163779632</v>
      </c>
      <c r="AA452" s="26">
        <f t="shared" si="160"/>
        <v>1790.4301106524208</v>
      </c>
      <c r="AB452" s="25" t="s">
        <v>1191</v>
      </c>
      <c r="AC452" s="77" t="s">
        <v>400</v>
      </c>
      <c r="AF452" s="26" t="s">
        <v>1315</v>
      </c>
      <c r="AG452" s="25" t="s">
        <v>13</v>
      </c>
      <c r="AM452" s="26"/>
      <c r="AN452" s="26"/>
      <c r="AO452" s="26"/>
      <c r="AP452" s="26"/>
      <c r="AQ452" s="29"/>
      <c r="AR452" s="26"/>
      <c r="AS452" s="26"/>
      <c r="AT452" s="26"/>
      <c r="AU452" s="26"/>
      <c r="AV452" s="26"/>
      <c r="AX452" s="26" t="s">
        <v>13</v>
      </c>
      <c r="AY452" s="6" t="s">
        <v>895</v>
      </c>
      <c r="AZ452" s="97" t="s">
        <v>13</v>
      </c>
      <c r="BA452" s="62">
        <v>40.031204223632813</v>
      </c>
      <c r="BD452" s="26">
        <v>1061.34210992</v>
      </c>
      <c r="BE452" s="25" t="s">
        <v>239</v>
      </c>
      <c r="BF452" s="26">
        <f t="shared" si="161"/>
        <v>969.87271646820591</v>
      </c>
      <c r="BG452" s="26">
        <f t="shared" si="162"/>
        <v>1166.8915013763449</v>
      </c>
      <c r="BH452" s="83" t="s">
        <v>738</v>
      </c>
      <c r="BI452" s="25" t="s">
        <v>430</v>
      </c>
      <c r="BJ452" s="26">
        <v>878.40332301641195</v>
      </c>
      <c r="BK452" s="26">
        <v>1272.44089283269</v>
      </c>
      <c r="BL452" s="26" t="s">
        <v>13</v>
      </c>
      <c r="BM452" s="25" t="s">
        <v>13</v>
      </c>
      <c r="CA452" s="25" t="s">
        <v>13</v>
      </c>
      <c r="CC452" s="25" t="s">
        <v>13</v>
      </c>
    </row>
    <row r="453" spans="1:81">
      <c r="A453" s="6" t="s">
        <v>448</v>
      </c>
      <c r="B453" s="25" t="s">
        <v>485</v>
      </c>
      <c r="C453" s="62">
        <v>1.23</v>
      </c>
      <c r="F453" s="26">
        <f t="shared" si="165"/>
        <v>216.52804913287139</v>
      </c>
      <c r="G453" s="23" t="s">
        <v>389</v>
      </c>
      <c r="H453" s="26">
        <f t="shared" si="166"/>
        <v>135.69544303585911</v>
      </c>
      <c r="I453" s="26">
        <f t="shared" si="166"/>
        <v>357.45823621370101</v>
      </c>
      <c r="J453" s="23" t="s">
        <v>484</v>
      </c>
      <c r="K453" s="23" t="s">
        <v>400</v>
      </c>
      <c r="L453" s="26">
        <v>216.52804913287139</v>
      </c>
      <c r="M453" s="26">
        <v>135.69544303585911</v>
      </c>
      <c r="N453" s="26">
        <v>357.45823621370101</v>
      </c>
      <c r="O453" s="25">
        <v>1274</v>
      </c>
      <c r="P453" s="25">
        <f t="shared" si="167"/>
        <v>1274</v>
      </c>
      <c r="Q453" s="87" t="s">
        <v>452</v>
      </c>
      <c r="R453" s="26" t="s">
        <v>13</v>
      </c>
      <c r="S453" s="6" t="s">
        <v>1131</v>
      </c>
      <c r="T453" s="44" t="s">
        <v>1149</v>
      </c>
      <c r="U453" s="62">
        <v>97</v>
      </c>
      <c r="V453" s="62">
        <v>97</v>
      </c>
      <c r="W453" s="62">
        <v>93.9</v>
      </c>
      <c r="X453" s="26">
        <v>1037.1371762293531</v>
      </c>
      <c r="Y453" s="26" t="s">
        <v>389</v>
      </c>
      <c r="Z453" s="26">
        <f t="shared" si="159"/>
        <v>725.99602336054716</v>
      </c>
      <c r="AA453" s="26">
        <f t="shared" si="160"/>
        <v>1555.7057643440298</v>
      </c>
      <c r="AB453" s="25" t="s">
        <v>1191</v>
      </c>
      <c r="AC453" s="77" t="s">
        <v>400</v>
      </c>
      <c r="AF453" s="26" t="s">
        <v>1316</v>
      </c>
      <c r="AG453" s="25" t="s">
        <v>13</v>
      </c>
      <c r="AM453" s="26"/>
      <c r="AN453" s="26"/>
      <c r="AO453" s="26"/>
      <c r="AP453" s="26"/>
      <c r="AQ453" s="29"/>
      <c r="AR453" s="26"/>
      <c r="AS453" s="26"/>
      <c r="AT453" s="26"/>
      <c r="AU453" s="26"/>
      <c r="AV453" s="26"/>
      <c r="AX453" s="26" t="s">
        <v>13</v>
      </c>
      <c r="AY453" s="6" t="s">
        <v>895</v>
      </c>
      <c r="AZ453" s="97" t="s">
        <v>13</v>
      </c>
      <c r="BA453" s="62">
        <v>40.092166900634766</v>
      </c>
      <c r="BD453" s="26">
        <v>1370.2110625600999</v>
      </c>
      <c r="BE453" s="25" t="s">
        <v>239</v>
      </c>
      <c r="BF453" s="26">
        <f t="shared" si="161"/>
        <v>1245.0500730632198</v>
      </c>
      <c r="BG453" s="26">
        <f t="shared" si="162"/>
        <v>1525.355661572075</v>
      </c>
      <c r="BH453" s="83" t="s">
        <v>887</v>
      </c>
      <c r="BI453" s="25" t="s">
        <v>430</v>
      </c>
      <c r="BJ453" s="26">
        <v>1119.8890835663399</v>
      </c>
      <c r="BK453" s="26">
        <v>1680.5002605840498</v>
      </c>
      <c r="BL453" s="26" t="s">
        <v>13</v>
      </c>
      <c r="BM453" s="25" t="s">
        <v>13</v>
      </c>
      <c r="CA453" s="25" t="s">
        <v>13</v>
      </c>
      <c r="CC453" s="25" t="s">
        <v>13</v>
      </c>
    </row>
    <row r="454" spans="1:81">
      <c r="A454" s="6" t="s">
        <v>448</v>
      </c>
      <c r="B454" s="25" t="s">
        <v>485</v>
      </c>
      <c r="C454" s="62">
        <v>1.23</v>
      </c>
      <c r="F454" s="26">
        <f t="shared" si="165"/>
        <v>193.48789252215906</v>
      </c>
      <c r="G454" s="23" t="s">
        <v>389</v>
      </c>
      <c r="H454" s="26">
        <f t="shared" si="166"/>
        <v>121.25646262927144</v>
      </c>
      <c r="I454" s="26">
        <f t="shared" si="166"/>
        <v>319.42208442119693</v>
      </c>
      <c r="J454" s="23" t="s">
        <v>484</v>
      </c>
      <c r="K454" s="23" t="s">
        <v>400</v>
      </c>
      <c r="L454" s="26">
        <v>193.48789252215906</v>
      </c>
      <c r="M454" s="26">
        <v>121.25646262927144</v>
      </c>
      <c r="N454" s="26">
        <v>319.42208442119693</v>
      </c>
      <c r="O454" s="25">
        <v>1274</v>
      </c>
      <c r="P454" s="25">
        <f t="shared" si="167"/>
        <v>1274</v>
      </c>
      <c r="Q454" s="87" t="s">
        <v>453</v>
      </c>
      <c r="R454" s="26" t="s">
        <v>13</v>
      </c>
      <c r="S454" s="6" t="s">
        <v>1131</v>
      </c>
      <c r="T454" s="44" t="s">
        <v>1150</v>
      </c>
      <c r="U454" s="62">
        <v>97</v>
      </c>
      <c r="V454" s="62">
        <v>97</v>
      </c>
      <c r="W454" s="62">
        <v>93.9</v>
      </c>
      <c r="X454" s="26">
        <v>902.28082924895659</v>
      </c>
      <c r="Y454" s="26" t="s">
        <v>389</v>
      </c>
      <c r="Z454" s="26">
        <f t="shared" si="159"/>
        <v>631.59658047426956</v>
      </c>
      <c r="AA454" s="26">
        <f t="shared" si="160"/>
        <v>1353.4212438734348</v>
      </c>
      <c r="AB454" s="25" t="s">
        <v>1191</v>
      </c>
      <c r="AC454" s="77" t="s">
        <v>400</v>
      </c>
      <c r="AF454" s="26" t="s">
        <v>1317</v>
      </c>
      <c r="AG454" s="25" t="s">
        <v>13</v>
      </c>
      <c r="AM454" s="26"/>
      <c r="AN454" s="26"/>
      <c r="AO454" s="26"/>
      <c r="AP454" s="26"/>
      <c r="AQ454" s="29"/>
      <c r="AR454" s="26"/>
      <c r="AS454" s="26"/>
      <c r="AT454" s="26"/>
      <c r="AU454" s="26"/>
      <c r="AV454" s="26"/>
      <c r="AX454" s="26" t="s">
        <v>13</v>
      </c>
      <c r="AY454" s="6" t="s">
        <v>895</v>
      </c>
      <c r="AZ454" s="97" t="s">
        <v>13</v>
      </c>
      <c r="BA454" s="62">
        <v>40.139675140380859</v>
      </c>
      <c r="BD454" s="26">
        <v>1407.51841733021</v>
      </c>
      <c r="BE454" s="25" t="s">
        <v>239</v>
      </c>
      <c r="BF454" s="26">
        <f t="shared" si="161"/>
        <v>1275.3744555626599</v>
      </c>
      <c r="BG454" s="26">
        <f t="shared" si="162"/>
        <v>1552.6885398862501</v>
      </c>
      <c r="BH454" s="83" t="s">
        <v>887</v>
      </c>
      <c r="BI454" s="25" t="s">
        <v>430</v>
      </c>
      <c r="BJ454" s="26">
        <v>1143.2304937951099</v>
      </c>
      <c r="BK454" s="26">
        <v>1697.8586624422899</v>
      </c>
      <c r="BL454" s="26" t="s">
        <v>13</v>
      </c>
      <c r="BM454" s="25" t="s">
        <v>13</v>
      </c>
      <c r="CA454" s="25" t="s">
        <v>13</v>
      </c>
      <c r="CC454" s="25" t="s">
        <v>13</v>
      </c>
    </row>
    <row r="455" spans="1:81">
      <c r="A455" s="6" t="s">
        <v>448</v>
      </c>
      <c r="B455" s="25" t="s">
        <v>485</v>
      </c>
      <c r="C455" s="62">
        <v>1.28</v>
      </c>
      <c r="F455" s="26">
        <f t="shared" si="165"/>
        <v>140.87468108539386</v>
      </c>
      <c r="G455" s="23" t="s">
        <v>389</v>
      </c>
      <c r="H455" s="26">
        <f t="shared" si="166"/>
        <v>88.284415524786851</v>
      </c>
      <c r="I455" s="26">
        <f t="shared" si="166"/>
        <v>232.5648581309265</v>
      </c>
      <c r="J455" s="23" t="s">
        <v>484</v>
      </c>
      <c r="K455" s="23" t="s">
        <v>400</v>
      </c>
      <c r="L455" s="26">
        <v>140.87468108539386</v>
      </c>
      <c r="M455" s="26">
        <v>88.284415524786851</v>
      </c>
      <c r="N455" s="26">
        <v>232.5648581309265</v>
      </c>
      <c r="O455" s="25">
        <v>1274</v>
      </c>
      <c r="P455" s="25">
        <f t="shared" si="167"/>
        <v>1274</v>
      </c>
      <c r="Q455" s="87" t="s">
        <v>454</v>
      </c>
      <c r="R455" s="26" t="s">
        <v>13</v>
      </c>
      <c r="S455" s="6" t="s">
        <v>1131</v>
      </c>
      <c r="T455" s="44" t="s">
        <v>1150</v>
      </c>
      <c r="U455" s="62">
        <v>97</v>
      </c>
      <c r="V455" s="62">
        <v>97</v>
      </c>
      <c r="W455" s="62">
        <v>93.9</v>
      </c>
      <c r="X455" s="26">
        <v>902.28082924895659</v>
      </c>
      <c r="Y455" s="26" t="s">
        <v>389</v>
      </c>
      <c r="Z455" s="26">
        <f t="shared" si="159"/>
        <v>631.59658047426956</v>
      </c>
      <c r="AA455" s="26">
        <f t="shared" si="160"/>
        <v>1353.4212438734348</v>
      </c>
      <c r="AB455" s="25" t="s">
        <v>1191</v>
      </c>
      <c r="AC455" s="77" t="s">
        <v>400</v>
      </c>
      <c r="AF455" s="26" t="s">
        <v>1292</v>
      </c>
      <c r="AG455" s="25" t="s">
        <v>13</v>
      </c>
      <c r="AM455" s="26"/>
      <c r="AN455" s="26"/>
      <c r="AO455" s="26"/>
      <c r="AP455" s="26"/>
      <c r="AQ455" s="29"/>
      <c r="AR455" s="26"/>
      <c r="AS455" s="26"/>
      <c r="AT455" s="26"/>
      <c r="AU455" s="26"/>
      <c r="AV455" s="26"/>
      <c r="AX455" s="26" t="s">
        <v>13</v>
      </c>
      <c r="AY455" s="6" t="s">
        <v>895</v>
      </c>
      <c r="AZ455" s="97" t="s">
        <v>13</v>
      </c>
      <c r="BA455" s="62">
        <v>40.139675140380859</v>
      </c>
      <c r="BD455" s="26">
        <v>1350.57403591394</v>
      </c>
      <c r="BE455" s="25" t="s">
        <v>239</v>
      </c>
      <c r="BF455" s="26">
        <f t="shared" si="161"/>
        <v>1221.3199348923599</v>
      </c>
      <c r="BG455" s="26">
        <f t="shared" si="162"/>
        <v>1499.3834155090599</v>
      </c>
      <c r="BH455" s="83" t="s">
        <v>738</v>
      </c>
      <c r="BI455" s="25" t="s">
        <v>430</v>
      </c>
      <c r="BJ455" s="26">
        <v>1092.0658338707801</v>
      </c>
      <c r="BK455" s="26">
        <v>1648.1927951041798</v>
      </c>
      <c r="BL455" s="26" t="s">
        <v>13</v>
      </c>
      <c r="BM455" s="25" t="s">
        <v>13</v>
      </c>
      <c r="CA455" s="25" t="s">
        <v>13</v>
      </c>
      <c r="CC455" s="25" t="s">
        <v>13</v>
      </c>
    </row>
    <row r="456" spans="1:81">
      <c r="A456" s="6" t="s">
        <v>448</v>
      </c>
      <c r="B456" s="25" t="s">
        <v>485</v>
      </c>
      <c r="C456" s="62">
        <v>1.31</v>
      </c>
      <c r="F456" s="26">
        <f t="shared" si="165"/>
        <v>156.51279938937066</v>
      </c>
      <c r="G456" s="23" t="s">
        <v>389</v>
      </c>
      <c r="H456" s="26">
        <f t="shared" si="166"/>
        <v>98.084630323762582</v>
      </c>
      <c r="I456" s="26">
        <f t="shared" si="166"/>
        <v>258.38125563243671</v>
      </c>
      <c r="J456" s="23" t="s">
        <v>484</v>
      </c>
      <c r="K456" s="23" t="s">
        <v>400</v>
      </c>
      <c r="L456" s="26">
        <v>156.51279938937066</v>
      </c>
      <c r="M456" s="26">
        <v>98.084630323762582</v>
      </c>
      <c r="N456" s="26">
        <v>258.38125563243671</v>
      </c>
      <c r="O456" s="25">
        <v>1274</v>
      </c>
      <c r="P456" s="25">
        <f t="shared" si="167"/>
        <v>1274</v>
      </c>
      <c r="Q456" s="87" t="s">
        <v>455</v>
      </c>
      <c r="R456" s="26" t="s">
        <v>13</v>
      </c>
      <c r="S456" s="6" t="s">
        <v>1131</v>
      </c>
      <c r="T456" s="44" t="s">
        <v>1150</v>
      </c>
      <c r="U456" s="62">
        <v>97</v>
      </c>
      <c r="V456" s="62">
        <v>100</v>
      </c>
      <c r="W456" s="62">
        <v>93.9</v>
      </c>
      <c r="X456" s="26">
        <v>935.24224190649511</v>
      </c>
      <c r="Y456" s="26" t="s">
        <v>389</v>
      </c>
      <c r="Z456" s="26">
        <f t="shared" si="159"/>
        <v>654.66956933454651</v>
      </c>
      <c r="AA456" s="26">
        <f t="shared" si="160"/>
        <v>1402.8633628597427</v>
      </c>
      <c r="AB456" s="25" t="s">
        <v>1191</v>
      </c>
      <c r="AC456" s="77" t="s">
        <v>400</v>
      </c>
      <c r="AF456" s="26">
        <v>2098</v>
      </c>
      <c r="AG456" s="25" t="s">
        <v>13</v>
      </c>
      <c r="AM456" s="26"/>
      <c r="AN456" s="26"/>
      <c r="AO456" s="26"/>
      <c r="AP456" s="26"/>
      <c r="AQ456" s="29"/>
      <c r="AR456" s="26"/>
      <c r="AS456" s="26"/>
      <c r="AT456" s="26"/>
      <c r="AU456" s="26"/>
      <c r="AV456" s="26"/>
      <c r="AX456" s="26" t="s">
        <v>13</v>
      </c>
      <c r="AY456" s="6" t="s">
        <v>895</v>
      </c>
      <c r="AZ456" s="97" t="s">
        <v>13</v>
      </c>
      <c r="BA456" s="62">
        <v>40.168716430664063</v>
      </c>
      <c r="BD456" s="26">
        <v>1860.0804692684001</v>
      </c>
      <c r="BE456" s="25" t="s">
        <v>239</v>
      </c>
      <c r="BF456" s="26">
        <f t="shared" si="161"/>
        <v>1677.0695508559252</v>
      </c>
      <c r="BG456" s="26">
        <f t="shared" si="162"/>
        <v>2109.4840829170998</v>
      </c>
      <c r="BH456" s="83" t="s">
        <v>887</v>
      </c>
      <c r="BI456" s="25" t="s">
        <v>430</v>
      </c>
      <c r="BJ456" s="26">
        <v>1494.0586324434501</v>
      </c>
      <c r="BK456" s="26">
        <v>2358.8876965658001</v>
      </c>
      <c r="BL456" s="26" t="s">
        <v>13</v>
      </c>
      <c r="BM456" s="25" t="s">
        <v>13</v>
      </c>
      <c r="CA456" s="25" t="s">
        <v>13</v>
      </c>
      <c r="CC456" s="25" t="s">
        <v>13</v>
      </c>
    </row>
    <row r="457" spans="1:81">
      <c r="A457" s="6" t="s">
        <v>448</v>
      </c>
      <c r="B457" s="25" t="s">
        <v>485</v>
      </c>
      <c r="C457" s="62">
        <v>1.31</v>
      </c>
      <c r="F457" s="26">
        <f t="shared" si="165"/>
        <v>196.35058035174205</v>
      </c>
      <c r="G457" s="23" t="s">
        <v>389</v>
      </c>
      <c r="H457" s="26">
        <f t="shared" si="166"/>
        <v>123.0504735893492</v>
      </c>
      <c r="I457" s="26">
        <f t="shared" si="166"/>
        <v>324.14799104849601</v>
      </c>
      <c r="J457" s="23" t="s">
        <v>484</v>
      </c>
      <c r="K457" s="23" t="s">
        <v>400</v>
      </c>
      <c r="L457" s="26">
        <v>196.35058035174205</v>
      </c>
      <c r="M457" s="26">
        <v>123.0504735893492</v>
      </c>
      <c r="N457" s="26">
        <v>324.14799104849601</v>
      </c>
      <c r="O457" s="25">
        <v>1274</v>
      </c>
      <c r="P457" s="25">
        <f t="shared" si="167"/>
        <v>1274</v>
      </c>
      <c r="Q457" s="87" t="s">
        <v>456</v>
      </c>
      <c r="R457" s="26" t="s">
        <v>13</v>
      </c>
      <c r="S457" s="6" t="s">
        <v>1131</v>
      </c>
      <c r="T457" s="44" t="s">
        <v>1151</v>
      </c>
      <c r="U457" s="62">
        <v>99</v>
      </c>
      <c r="V457" s="62">
        <v>100</v>
      </c>
      <c r="W457" s="62">
        <v>98</v>
      </c>
      <c r="X457" s="26">
        <v>762.54974757158959</v>
      </c>
      <c r="Y457" s="26" t="s">
        <v>389</v>
      </c>
      <c r="Z457" s="26">
        <f t="shared" si="159"/>
        <v>533.78482330011263</v>
      </c>
      <c r="AA457" s="26">
        <f t="shared" si="160"/>
        <v>1143.8246213573843</v>
      </c>
      <c r="AB457" s="25" t="s">
        <v>1191</v>
      </c>
      <c r="AC457" s="77" t="s">
        <v>400</v>
      </c>
      <c r="AF457" s="26" t="s">
        <v>1318</v>
      </c>
      <c r="AG457" s="25" t="s">
        <v>13</v>
      </c>
      <c r="AM457" s="26"/>
      <c r="AN457" s="26"/>
      <c r="AO457" s="26"/>
      <c r="AP457" s="26"/>
      <c r="AQ457" s="29"/>
      <c r="AR457" s="26"/>
      <c r="AS457" s="26"/>
      <c r="AT457" s="26"/>
      <c r="AU457" s="26"/>
      <c r="AV457" s="26"/>
      <c r="AX457" s="26" t="s">
        <v>13</v>
      </c>
      <c r="AY457" s="6" t="s">
        <v>895</v>
      </c>
      <c r="AZ457" s="97" t="s">
        <v>13</v>
      </c>
      <c r="BA457" s="62">
        <v>40.244403839111328</v>
      </c>
      <c r="BD457" s="26">
        <v>939.95841319100293</v>
      </c>
      <c r="BE457" s="25" t="s">
        <v>239</v>
      </c>
      <c r="BF457" s="26">
        <f t="shared" si="161"/>
        <v>858.95405651955048</v>
      </c>
      <c r="BG457" s="26">
        <f t="shared" si="162"/>
        <v>1032.5370031386365</v>
      </c>
      <c r="BH457" s="83" t="s">
        <v>887</v>
      </c>
      <c r="BI457" s="25" t="s">
        <v>430</v>
      </c>
      <c r="BJ457" s="26">
        <v>777.94969984809791</v>
      </c>
      <c r="BK457" s="26">
        <v>1125.1155930862701</v>
      </c>
      <c r="BL457" s="26" t="s">
        <v>13</v>
      </c>
      <c r="BM457" s="25" t="s">
        <v>13</v>
      </c>
      <c r="CA457" s="25" t="s">
        <v>13</v>
      </c>
      <c r="CC457" s="25" t="s">
        <v>13</v>
      </c>
    </row>
    <row r="458" spans="1:81">
      <c r="A458" s="6" t="s">
        <v>448</v>
      </c>
      <c r="B458" s="25" t="s">
        <v>485</v>
      </c>
      <c r="C458" s="62">
        <v>1.36</v>
      </c>
      <c r="F458" s="26">
        <f t="shared" si="165"/>
        <v>194.38768809249743</v>
      </c>
      <c r="G458" s="23" t="s">
        <v>389</v>
      </c>
      <c r="H458" s="26">
        <f t="shared" si="166"/>
        <v>121.82035335404234</v>
      </c>
      <c r="I458" s="26">
        <f t="shared" si="166"/>
        <v>320.90752401580892</v>
      </c>
      <c r="J458" s="23" t="s">
        <v>484</v>
      </c>
      <c r="K458" s="23" t="s">
        <v>400</v>
      </c>
      <c r="L458" s="26">
        <v>194.38768809249743</v>
      </c>
      <c r="M458" s="26">
        <v>121.82035335404234</v>
      </c>
      <c r="N458" s="26">
        <v>320.90752401580892</v>
      </c>
      <c r="O458" s="25">
        <v>1274</v>
      </c>
      <c r="P458" s="25">
        <f t="shared" si="167"/>
        <v>1274</v>
      </c>
      <c r="Q458" s="87" t="s">
        <v>457</v>
      </c>
      <c r="R458" s="26" t="s">
        <v>13</v>
      </c>
      <c r="S458" s="6" t="s">
        <v>1131</v>
      </c>
      <c r="T458" s="44" t="s">
        <v>1152</v>
      </c>
      <c r="U458" s="62">
        <v>102</v>
      </c>
      <c r="V458" s="62">
        <v>105</v>
      </c>
      <c r="W458" s="62">
        <v>100.5</v>
      </c>
      <c r="X458" s="26">
        <v>1132.4522922504302</v>
      </c>
      <c r="Y458" s="26" t="s">
        <v>389</v>
      </c>
      <c r="Z458" s="26">
        <f t="shared" si="159"/>
        <v>792.71660457530106</v>
      </c>
      <c r="AA458" s="26">
        <f t="shared" si="160"/>
        <v>1698.6784383756453</v>
      </c>
      <c r="AB458" s="25" t="s">
        <v>1191</v>
      </c>
      <c r="AC458" s="77" t="s">
        <v>400</v>
      </c>
      <c r="AF458" s="26" t="s">
        <v>1319</v>
      </c>
      <c r="AG458" s="25" t="s">
        <v>13</v>
      </c>
      <c r="AM458" s="26"/>
      <c r="AN458" s="26"/>
      <c r="AO458" s="26"/>
      <c r="AP458" s="26"/>
      <c r="AQ458" s="29"/>
      <c r="AR458" s="26"/>
      <c r="AS458" s="26"/>
      <c r="AT458" s="26"/>
      <c r="AU458" s="26"/>
      <c r="AV458" s="26"/>
      <c r="AX458" s="26" t="s">
        <v>13</v>
      </c>
      <c r="AY458" s="6" t="s">
        <v>895</v>
      </c>
      <c r="AZ458" s="97" t="s">
        <v>13</v>
      </c>
      <c r="BA458" s="62">
        <v>40.309352874755859</v>
      </c>
      <c r="BD458" s="26">
        <v>963.80654660287701</v>
      </c>
      <c r="BE458" s="25" t="s">
        <v>239</v>
      </c>
      <c r="BF458" s="26">
        <f t="shared" si="161"/>
        <v>879.84903789542</v>
      </c>
      <c r="BG458" s="26">
        <f t="shared" si="162"/>
        <v>1047.8954129509805</v>
      </c>
      <c r="BH458" s="83" t="s">
        <v>887</v>
      </c>
      <c r="BI458" s="25" t="s">
        <v>430</v>
      </c>
      <c r="BJ458" s="26">
        <v>795.89152918796299</v>
      </c>
      <c r="BK458" s="26">
        <v>1131.9842792990839</v>
      </c>
      <c r="BL458" s="26" t="s">
        <v>13</v>
      </c>
      <c r="BM458" s="25" t="s">
        <v>13</v>
      </c>
      <c r="CA458" s="25" t="s">
        <v>13</v>
      </c>
      <c r="CC458" s="25" t="s">
        <v>13</v>
      </c>
    </row>
    <row r="459" spans="1:81">
      <c r="A459" s="6" t="s">
        <v>448</v>
      </c>
      <c r="B459" s="25" t="s">
        <v>485</v>
      </c>
      <c r="C459" s="62">
        <v>1.39</v>
      </c>
      <c r="F459" s="26">
        <f t="shared" si="165"/>
        <v>191.73135626440992</v>
      </c>
      <c r="G459" s="23" t="s">
        <v>389</v>
      </c>
      <c r="H459" s="26">
        <f t="shared" si="166"/>
        <v>120.15566314089867</v>
      </c>
      <c r="I459" s="26">
        <f t="shared" si="166"/>
        <v>316.5222829633492</v>
      </c>
      <c r="J459" s="23" t="s">
        <v>484</v>
      </c>
      <c r="K459" s="23" t="s">
        <v>400</v>
      </c>
      <c r="L459" s="26">
        <v>191.73135626440992</v>
      </c>
      <c r="M459" s="26">
        <v>120.15566314089867</v>
      </c>
      <c r="N459" s="26">
        <v>316.5222829633492</v>
      </c>
      <c r="O459" s="25">
        <v>1274</v>
      </c>
      <c r="P459" s="25">
        <f t="shared" si="167"/>
        <v>1274</v>
      </c>
      <c r="Q459" s="87" t="s">
        <v>458</v>
      </c>
      <c r="R459" s="26" t="s">
        <v>13</v>
      </c>
      <c r="S459" s="6" t="s">
        <v>1131</v>
      </c>
      <c r="T459" s="44" t="s">
        <v>1152</v>
      </c>
      <c r="U459" s="62">
        <v>102</v>
      </c>
      <c r="V459" s="62">
        <v>105</v>
      </c>
      <c r="W459" s="62">
        <v>100.5</v>
      </c>
      <c r="X459" s="26">
        <v>935.29297633359124</v>
      </c>
      <c r="Y459" s="26" t="s">
        <v>389</v>
      </c>
      <c r="Z459" s="26">
        <f t="shared" si="159"/>
        <v>654.70508343351378</v>
      </c>
      <c r="AA459" s="26">
        <f t="shared" si="160"/>
        <v>1402.9394645003867</v>
      </c>
      <c r="AB459" s="25" t="s">
        <v>1191</v>
      </c>
      <c r="AC459" s="77" t="s">
        <v>400</v>
      </c>
      <c r="AF459" s="26" t="s">
        <v>1320</v>
      </c>
      <c r="AG459" s="25" t="s">
        <v>13</v>
      </c>
      <c r="AM459" s="26"/>
      <c r="AN459" s="26"/>
      <c r="AO459" s="26"/>
      <c r="AP459" s="26"/>
      <c r="AQ459" s="29"/>
      <c r="AR459" s="26"/>
      <c r="AS459" s="26"/>
      <c r="AT459" s="26"/>
      <c r="AU459" s="26"/>
      <c r="AV459" s="26"/>
      <c r="AX459" s="26" t="s">
        <v>13</v>
      </c>
      <c r="AY459" s="6" t="s">
        <v>895</v>
      </c>
      <c r="AZ459" s="97" t="s">
        <v>13</v>
      </c>
      <c r="BA459" s="62">
        <v>40.377658843994141</v>
      </c>
      <c r="BD459" s="26">
        <v>912.71208972063403</v>
      </c>
      <c r="BE459" s="25" t="s">
        <v>239</v>
      </c>
      <c r="BF459" s="26">
        <f t="shared" si="161"/>
        <v>832.95691952006757</v>
      </c>
      <c r="BG459" s="26">
        <f t="shared" si="162"/>
        <v>1003.2663149779935</v>
      </c>
      <c r="BH459" s="83" t="s">
        <v>738</v>
      </c>
      <c r="BI459" s="25" t="s">
        <v>430</v>
      </c>
      <c r="BJ459" s="26">
        <v>753.20174931950112</v>
      </c>
      <c r="BK459" s="26">
        <v>1093.8205402353531</v>
      </c>
      <c r="BL459" s="26" t="s">
        <v>13</v>
      </c>
      <c r="BM459" s="25" t="s">
        <v>13</v>
      </c>
      <c r="CA459" s="25" t="s">
        <v>13</v>
      </c>
      <c r="CC459" s="25" t="s">
        <v>13</v>
      </c>
    </row>
    <row r="460" spans="1:81">
      <c r="A460" s="6" t="s">
        <v>448</v>
      </c>
      <c r="B460" s="25" t="s">
        <v>485</v>
      </c>
      <c r="C460" s="62">
        <v>1.39</v>
      </c>
      <c r="F460" s="26">
        <f t="shared" si="165"/>
        <v>191.66018607436405</v>
      </c>
      <c r="G460" s="23" t="s">
        <v>389</v>
      </c>
      <c r="H460" s="26">
        <f t="shared" si="166"/>
        <v>120.11106166544133</v>
      </c>
      <c r="I460" s="26">
        <f t="shared" si="166"/>
        <v>316.40479069984491</v>
      </c>
      <c r="J460" s="23" t="s">
        <v>484</v>
      </c>
      <c r="K460" s="23" t="s">
        <v>400</v>
      </c>
      <c r="L460" s="26">
        <v>191.66018607436405</v>
      </c>
      <c r="M460" s="26">
        <v>120.11106166544133</v>
      </c>
      <c r="N460" s="26">
        <v>316.40479069984491</v>
      </c>
      <c r="O460" s="25">
        <v>1274</v>
      </c>
      <c r="P460" s="25">
        <f t="shared" si="167"/>
        <v>1274</v>
      </c>
      <c r="Q460" s="87" t="s">
        <v>459</v>
      </c>
      <c r="R460" s="26" t="s">
        <v>13</v>
      </c>
      <c r="S460" s="6" t="s">
        <v>1131</v>
      </c>
      <c r="T460" s="44" t="s">
        <v>1153</v>
      </c>
      <c r="U460" s="62">
        <v>111</v>
      </c>
      <c r="V460" s="62">
        <v>113</v>
      </c>
      <c r="W460" s="62">
        <v>110</v>
      </c>
      <c r="X460" s="26">
        <v>1127.3193098009162</v>
      </c>
      <c r="Y460" s="26" t="s">
        <v>389</v>
      </c>
      <c r="Z460" s="26">
        <f t="shared" si="159"/>
        <v>789.1235168606413</v>
      </c>
      <c r="AA460" s="26">
        <f t="shared" si="160"/>
        <v>1690.9789647013745</v>
      </c>
      <c r="AB460" s="25" t="s">
        <v>1191</v>
      </c>
      <c r="AC460" s="77" t="s">
        <v>400</v>
      </c>
      <c r="AF460" s="26" t="s">
        <v>1321</v>
      </c>
      <c r="AG460" s="25" t="s">
        <v>13</v>
      </c>
      <c r="AM460" s="26"/>
      <c r="AN460" s="26"/>
      <c r="AO460" s="26"/>
      <c r="AP460" s="26"/>
      <c r="AQ460" s="29"/>
      <c r="AR460" s="26"/>
      <c r="AS460" s="26"/>
      <c r="AT460" s="26"/>
      <c r="AU460" s="26"/>
      <c r="AV460" s="26"/>
      <c r="AX460" s="26" t="s">
        <v>13</v>
      </c>
      <c r="AY460" s="6" t="s">
        <v>895</v>
      </c>
      <c r="AZ460" s="97" t="s">
        <v>13</v>
      </c>
      <c r="BA460" s="62">
        <v>40.516803741455078</v>
      </c>
      <c r="BD460" s="26">
        <v>1014.27127362292</v>
      </c>
      <c r="BE460" s="25" t="s">
        <v>239</v>
      </c>
      <c r="BF460" s="26">
        <f t="shared" si="161"/>
        <v>922.5711300559035</v>
      </c>
      <c r="BG460" s="26">
        <f t="shared" si="162"/>
        <v>1125.11867703443</v>
      </c>
      <c r="BH460" s="83" t="s">
        <v>887</v>
      </c>
      <c r="BI460" s="25" t="s">
        <v>430</v>
      </c>
      <c r="BJ460" s="26">
        <v>830.87098648888707</v>
      </c>
      <c r="BK460" s="26">
        <v>1235.96608044594</v>
      </c>
      <c r="BL460" s="26" t="s">
        <v>13</v>
      </c>
      <c r="BM460" s="25" t="s">
        <v>13</v>
      </c>
      <c r="CA460" s="25" t="s">
        <v>13</v>
      </c>
      <c r="CC460" s="25" t="s">
        <v>13</v>
      </c>
    </row>
    <row r="461" spans="1:81">
      <c r="A461" s="6" t="s">
        <v>448</v>
      </c>
      <c r="B461" s="25" t="s">
        <v>485</v>
      </c>
      <c r="C461" s="62">
        <v>1.44</v>
      </c>
      <c r="F461" s="26">
        <f t="shared" si="165"/>
        <v>193.67777448355315</v>
      </c>
      <c r="G461" s="23" t="s">
        <v>389</v>
      </c>
      <c r="H461" s="26">
        <f t="shared" si="166"/>
        <v>121.37545929958307</v>
      </c>
      <c r="I461" s="26">
        <f t="shared" si="166"/>
        <v>319.73555360581548</v>
      </c>
      <c r="J461" s="23" t="s">
        <v>484</v>
      </c>
      <c r="K461" s="23" t="s">
        <v>400</v>
      </c>
      <c r="L461" s="26">
        <v>193.67777448355315</v>
      </c>
      <c r="M461" s="26">
        <v>121.37545929958307</v>
      </c>
      <c r="N461" s="26">
        <v>319.73555360581548</v>
      </c>
      <c r="O461" s="25">
        <v>1274</v>
      </c>
      <c r="P461" s="25">
        <f t="shared" si="167"/>
        <v>1274</v>
      </c>
      <c r="Q461" s="87" t="s">
        <v>460</v>
      </c>
      <c r="R461" s="26" t="s">
        <v>13</v>
      </c>
      <c r="S461" s="6" t="s">
        <v>1131</v>
      </c>
      <c r="T461" s="44" t="s">
        <v>1153</v>
      </c>
      <c r="U461" s="62">
        <v>115</v>
      </c>
      <c r="V461" s="62">
        <v>115</v>
      </c>
      <c r="W461" s="62">
        <v>113.8</v>
      </c>
      <c r="X461" s="26">
        <v>908.26853751844624</v>
      </c>
      <c r="Y461" s="26" t="s">
        <v>389</v>
      </c>
      <c r="Z461" s="26">
        <f t="shared" si="159"/>
        <v>635.78797626291237</v>
      </c>
      <c r="AA461" s="26">
        <f t="shared" si="160"/>
        <v>1362.4028062776692</v>
      </c>
      <c r="AB461" s="25" t="s">
        <v>1191</v>
      </c>
      <c r="AC461" s="77" t="s">
        <v>400</v>
      </c>
      <c r="AF461" s="26" t="s">
        <v>1322</v>
      </c>
      <c r="AG461" s="25" t="s">
        <v>13</v>
      </c>
      <c r="AM461" s="26"/>
      <c r="AN461" s="26"/>
      <c r="AO461" s="26"/>
      <c r="AP461" s="26"/>
      <c r="AQ461" s="29"/>
      <c r="AR461" s="26"/>
      <c r="AS461" s="26"/>
      <c r="AT461" s="26"/>
      <c r="AU461" s="26"/>
      <c r="AV461" s="26"/>
      <c r="AX461" s="26" t="s">
        <v>13</v>
      </c>
      <c r="AY461" s="6" t="s">
        <v>895</v>
      </c>
      <c r="AZ461" s="97" t="s">
        <v>13</v>
      </c>
      <c r="BA461" s="62">
        <v>40.629241943359375</v>
      </c>
      <c r="BD461" s="26">
        <v>1135.92404700119</v>
      </c>
      <c r="BE461" s="25" t="s">
        <v>239</v>
      </c>
      <c r="BF461" s="26">
        <f t="shared" si="161"/>
        <v>1041.4887857515575</v>
      </c>
      <c r="BG461" s="26">
        <f t="shared" si="162"/>
        <v>1250.3585505562251</v>
      </c>
      <c r="BH461" s="83" t="s">
        <v>738</v>
      </c>
      <c r="BI461" s="25" t="s">
        <v>430</v>
      </c>
      <c r="BJ461" s="26">
        <v>947.05352450192504</v>
      </c>
      <c r="BK461" s="26">
        <v>1364.7930541112601</v>
      </c>
      <c r="BL461" s="26" t="s">
        <v>13</v>
      </c>
      <c r="BM461" s="25" t="s">
        <v>13</v>
      </c>
      <c r="CA461" s="25" t="s">
        <v>13</v>
      </c>
      <c r="CC461" s="25" t="s">
        <v>13</v>
      </c>
    </row>
    <row r="462" spans="1:81">
      <c r="A462" s="6" t="s">
        <v>448</v>
      </c>
      <c r="B462" s="25" t="s">
        <v>485</v>
      </c>
      <c r="C462" s="62">
        <v>1.48</v>
      </c>
      <c r="F462" s="26">
        <f t="shared" si="165"/>
        <v>238.94508865300099</v>
      </c>
      <c r="G462" s="23" t="s">
        <v>389</v>
      </c>
      <c r="H462" s="26">
        <f t="shared" si="166"/>
        <v>149.74392368960437</v>
      </c>
      <c r="I462" s="26">
        <f t="shared" si="166"/>
        <v>394.46570679355699</v>
      </c>
      <c r="J462" s="23" t="s">
        <v>484</v>
      </c>
      <c r="K462" s="23" t="s">
        <v>400</v>
      </c>
      <c r="L462" s="26">
        <v>238.94508865300099</v>
      </c>
      <c r="M462" s="26">
        <v>149.74392368960437</v>
      </c>
      <c r="N462" s="26">
        <v>394.46570679355699</v>
      </c>
      <c r="O462" s="25">
        <v>1274</v>
      </c>
      <c r="P462" s="25">
        <f t="shared" si="167"/>
        <v>1274</v>
      </c>
      <c r="Q462" s="87" t="s">
        <v>461</v>
      </c>
      <c r="R462" s="26" t="s">
        <v>13</v>
      </c>
      <c r="S462" s="6" t="s">
        <v>1131</v>
      </c>
      <c r="T462" s="44" t="s">
        <v>1154</v>
      </c>
      <c r="U462" s="62">
        <v>115</v>
      </c>
      <c r="V462" s="62">
        <v>115</v>
      </c>
      <c r="W462" s="62">
        <v>113</v>
      </c>
      <c r="X462" s="26">
        <v>997.44268403461024</v>
      </c>
      <c r="Y462" s="26" t="s">
        <v>389</v>
      </c>
      <c r="Z462" s="26">
        <f t="shared" si="159"/>
        <v>698.20987882422708</v>
      </c>
      <c r="AA462" s="26">
        <f t="shared" si="160"/>
        <v>1496.1640260519152</v>
      </c>
      <c r="AB462" s="25" t="s">
        <v>1191</v>
      </c>
      <c r="AC462" s="77" t="s">
        <v>400</v>
      </c>
      <c r="AF462" s="26" t="s">
        <v>1323</v>
      </c>
      <c r="AG462" s="25" t="s">
        <v>13</v>
      </c>
      <c r="AM462" s="26"/>
      <c r="AN462" s="26"/>
      <c r="AO462" s="26"/>
      <c r="AP462" s="26"/>
      <c r="AQ462" s="29"/>
      <c r="AR462" s="26"/>
      <c r="AS462" s="26"/>
      <c r="AT462" s="26"/>
      <c r="AU462" s="26"/>
      <c r="AV462" s="26"/>
      <c r="AX462" s="26" t="s">
        <v>13</v>
      </c>
      <c r="AY462" s="6" t="s">
        <v>895</v>
      </c>
      <c r="AZ462" s="97" t="s">
        <v>13</v>
      </c>
      <c r="BA462" s="62">
        <v>40.810317993164063</v>
      </c>
      <c r="BD462" s="26">
        <v>1096.93812436351</v>
      </c>
      <c r="BE462" s="25" t="s">
        <v>239</v>
      </c>
      <c r="BF462" s="26">
        <f t="shared" si="161"/>
        <v>998.78925835357791</v>
      </c>
      <c r="BG462" s="26">
        <f t="shared" si="162"/>
        <v>1214.6963660715951</v>
      </c>
      <c r="BH462" s="83" t="s">
        <v>887</v>
      </c>
      <c r="BI462" s="25" t="s">
        <v>430</v>
      </c>
      <c r="BJ462" s="26">
        <v>900.64039234364589</v>
      </c>
      <c r="BK462" s="26">
        <v>1332.4546077796799</v>
      </c>
      <c r="BL462" s="26" t="s">
        <v>13</v>
      </c>
      <c r="BM462" s="25" t="s">
        <v>13</v>
      </c>
      <c r="CA462" s="25" t="s">
        <v>13</v>
      </c>
      <c r="CC462" s="25" t="s">
        <v>13</v>
      </c>
    </row>
    <row r="463" spans="1:81">
      <c r="A463" s="6" t="s">
        <v>448</v>
      </c>
      <c r="B463" s="25" t="s">
        <v>485</v>
      </c>
      <c r="C463" s="62">
        <v>1.48</v>
      </c>
      <c r="F463" s="26">
        <f t="shared" si="165"/>
        <v>210.08658554476784</v>
      </c>
      <c r="G463" s="23" t="s">
        <v>389</v>
      </c>
      <c r="H463" s="26">
        <f t="shared" si="166"/>
        <v>131.65865769147774</v>
      </c>
      <c r="I463" s="26">
        <f t="shared" si="166"/>
        <v>346.82425959007514</v>
      </c>
      <c r="J463" s="23" t="s">
        <v>484</v>
      </c>
      <c r="K463" s="23" t="s">
        <v>400</v>
      </c>
      <c r="L463" s="26">
        <v>210.08658554476784</v>
      </c>
      <c r="M463" s="26">
        <v>131.65865769147774</v>
      </c>
      <c r="N463" s="26">
        <v>346.82425959007514</v>
      </c>
      <c r="O463" s="25">
        <v>1274</v>
      </c>
      <c r="P463" s="25">
        <f t="shared" si="167"/>
        <v>1274</v>
      </c>
      <c r="Q463" s="87" t="s">
        <v>462</v>
      </c>
      <c r="R463" s="26" t="s">
        <v>13</v>
      </c>
      <c r="S463" s="6" t="s">
        <v>1131</v>
      </c>
      <c r="T463" s="44" t="s">
        <v>1154</v>
      </c>
      <c r="U463" s="62">
        <v>116</v>
      </c>
      <c r="V463" s="62">
        <v>115</v>
      </c>
      <c r="W463" s="62">
        <v>113</v>
      </c>
      <c r="X463" s="26">
        <v>1289.6533592967965</v>
      </c>
      <c r="Y463" s="26" t="s">
        <v>389</v>
      </c>
      <c r="Z463" s="26">
        <f t="shared" si="159"/>
        <v>902.75735150775745</v>
      </c>
      <c r="AA463" s="26">
        <f t="shared" si="160"/>
        <v>1934.4800389451948</v>
      </c>
      <c r="AB463" s="25" t="s">
        <v>1191</v>
      </c>
      <c r="AC463" s="77" t="s">
        <v>400</v>
      </c>
      <c r="AF463" s="26" t="s">
        <v>1324</v>
      </c>
      <c r="AG463" s="25" t="s">
        <v>13</v>
      </c>
      <c r="AM463" s="26"/>
      <c r="AN463" s="26"/>
      <c r="AO463" s="26"/>
      <c r="AP463" s="26"/>
      <c r="AQ463" s="29"/>
      <c r="AR463" s="26"/>
      <c r="AS463" s="26"/>
      <c r="AT463" s="26"/>
      <c r="AU463" s="26"/>
      <c r="AV463" s="26"/>
      <c r="AX463" s="26" t="s">
        <v>13</v>
      </c>
      <c r="AY463" s="6" t="s">
        <v>895</v>
      </c>
      <c r="AZ463" s="97" t="s">
        <v>13</v>
      </c>
      <c r="BA463" s="62">
        <v>40.920524597167969</v>
      </c>
      <c r="BD463" s="26">
        <v>947.57616437611102</v>
      </c>
      <c r="BE463" s="25" t="s">
        <v>239</v>
      </c>
      <c r="BF463" s="26">
        <f t="shared" si="161"/>
        <v>864.37425110093955</v>
      </c>
      <c r="BG463" s="26">
        <f t="shared" si="162"/>
        <v>1038.9349416985945</v>
      </c>
      <c r="BH463" s="83" t="s">
        <v>738</v>
      </c>
      <c r="BI463" s="25" t="s">
        <v>430</v>
      </c>
      <c r="BJ463" s="26">
        <v>781.17233782576807</v>
      </c>
      <c r="BK463" s="26">
        <v>1130.293719021078</v>
      </c>
      <c r="BL463" s="26" t="s">
        <v>13</v>
      </c>
      <c r="BM463" s="25" t="s">
        <v>13</v>
      </c>
      <c r="CA463" s="25" t="s">
        <v>13</v>
      </c>
      <c r="CC463" s="25" t="s">
        <v>13</v>
      </c>
    </row>
    <row r="464" spans="1:81">
      <c r="A464" s="6" t="s">
        <v>448</v>
      </c>
      <c r="B464" s="25" t="s">
        <v>485</v>
      </c>
      <c r="C464" s="62">
        <v>1.52</v>
      </c>
      <c r="F464" s="26">
        <f t="shared" si="165"/>
        <v>302.60872418759823</v>
      </c>
      <c r="G464" s="23" t="s">
        <v>389</v>
      </c>
      <c r="H464" s="26">
        <f t="shared" si="166"/>
        <v>189.64113453012436</v>
      </c>
      <c r="I464" s="26">
        <f t="shared" si="166"/>
        <v>499.56567402775238</v>
      </c>
      <c r="J464" s="23" t="s">
        <v>484</v>
      </c>
      <c r="K464" s="23" t="s">
        <v>400</v>
      </c>
      <c r="L464" s="26">
        <v>302.60872418759823</v>
      </c>
      <c r="M464" s="26">
        <v>189.64113453012436</v>
      </c>
      <c r="N464" s="26">
        <v>499.56567402775238</v>
      </c>
      <c r="O464" s="25">
        <v>1274</v>
      </c>
      <c r="P464" s="25">
        <f t="shared" si="167"/>
        <v>1274</v>
      </c>
      <c r="Q464" s="87" t="s">
        <v>463</v>
      </c>
      <c r="R464" s="26" t="s">
        <v>13</v>
      </c>
      <c r="S464" s="6" t="s">
        <v>1131</v>
      </c>
      <c r="T464" s="44" t="s">
        <v>1154</v>
      </c>
      <c r="U464" s="62">
        <v>116</v>
      </c>
      <c r="V464" s="62">
        <v>116</v>
      </c>
      <c r="W464" s="62">
        <v>114</v>
      </c>
      <c r="X464" s="26">
        <v>1280.2385227503146</v>
      </c>
      <c r="Y464" s="26" t="s">
        <v>389</v>
      </c>
      <c r="Z464" s="26">
        <f t="shared" si="159"/>
        <v>896.16696592522021</v>
      </c>
      <c r="AA464" s="26">
        <f t="shared" si="160"/>
        <v>1920.3577841254719</v>
      </c>
      <c r="AB464" s="25" t="s">
        <v>1191</v>
      </c>
      <c r="AC464" s="77" t="s">
        <v>400</v>
      </c>
      <c r="AF464" s="26" t="s">
        <v>1325</v>
      </c>
      <c r="AG464" s="25" t="s">
        <v>13</v>
      </c>
      <c r="AM464" s="26"/>
      <c r="AN464" s="26"/>
      <c r="AO464" s="26"/>
      <c r="AP464" s="26"/>
      <c r="AQ464" s="29"/>
      <c r="AR464" s="26"/>
      <c r="AS464" s="26"/>
      <c r="AT464" s="26"/>
      <c r="AU464" s="26"/>
      <c r="AV464" s="26"/>
      <c r="AX464" s="26" t="s">
        <v>13</v>
      </c>
      <c r="AY464" s="6" t="s">
        <v>895</v>
      </c>
      <c r="AZ464" s="97" t="s">
        <v>13</v>
      </c>
      <c r="BA464" s="62">
        <v>41.129554748535156</v>
      </c>
      <c r="BD464" s="26">
        <v>865.22307113392696</v>
      </c>
      <c r="BE464" s="25" t="s">
        <v>239</v>
      </c>
      <c r="BF464" s="26">
        <f t="shared" si="161"/>
        <v>789.70179113661641</v>
      </c>
      <c r="BG464" s="26">
        <f t="shared" si="162"/>
        <v>946.96176877423363</v>
      </c>
      <c r="BH464" s="83" t="s">
        <v>887</v>
      </c>
      <c r="BI464" s="25" t="s">
        <v>430</v>
      </c>
      <c r="BJ464" s="26">
        <v>714.18051113930585</v>
      </c>
      <c r="BK464" s="26">
        <v>1028.7004664145402</v>
      </c>
      <c r="BL464" s="26" t="s">
        <v>13</v>
      </c>
      <c r="BM464" s="25" t="s">
        <v>13</v>
      </c>
      <c r="CA464" s="25" t="s">
        <v>13</v>
      </c>
      <c r="CC464" s="25" t="s">
        <v>13</v>
      </c>
    </row>
    <row r="465" spans="1:81">
      <c r="A465" s="6" t="s">
        <v>448</v>
      </c>
      <c r="B465" s="25" t="s">
        <v>485</v>
      </c>
      <c r="C465" s="62">
        <v>1.56</v>
      </c>
      <c r="F465" s="26">
        <f t="shared" si="165"/>
        <v>281.72801888559843</v>
      </c>
      <c r="G465" s="23" t="s">
        <v>389</v>
      </c>
      <c r="H465" s="26">
        <f t="shared" si="166"/>
        <v>176.55545547744256</v>
      </c>
      <c r="I465" s="26">
        <f t="shared" si="166"/>
        <v>465.09448141302244</v>
      </c>
      <c r="J465" s="23" t="s">
        <v>484</v>
      </c>
      <c r="K465" s="23" t="s">
        <v>400</v>
      </c>
      <c r="L465" s="26">
        <v>281.72801888559843</v>
      </c>
      <c r="M465" s="26">
        <v>176.55545547744256</v>
      </c>
      <c r="N465" s="26">
        <v>465.09448141302244</v>
      </c>
      <c r="O465" s="25">
        <v>1274</v>
      </c>
      <c r="P465" s="25">
        <f t="shared" si="167"/>
        <v>1274</v>
      </c>
      <c r="Q465" s="87" t="s">
        <v>464</v>
      </c>
      <c r="R465" s="26" t="s">
        <v>13</v>
      </c>
      <c r="S465" s="6" t="s">
        <v>1131</v>
      </c>
      <c r="T465" s="44" t="s">
        <v>1154</v>
      </c>
      <c r="U465" s="62">
        <v>116</v>
      </c>
      <c r="V465" s="62">
        <v>117</v>
      </c>
      <c r="W465" s="62">
        <v>115</v>
      </c>
      <c r="X465" s="26">
        <v>1188.8017358353327</v>
      </c>
      <c r="Y465" s="26" t="s">
        <v>389</v>
      </c>
      <c r="Z465" s="26">
        <f t="shared" si="159"/>
        <v>832.16121508473282</v>
      </c>
      <c r="AA465" s="26">
        <f t="shared" si="160"/>
        <v>1783.202603752999</v>
      </c>
      <c r="AB465" s="25" t="s">
        <v>1191</v>
      </c>
      <c r="AC465" s="77" t="s">
        <v>400</v>
      </c>
      <c r="AF465" s="26" t="s">
        <v>1326</v>
      </c>
      <c r="AG465" s="25" t="s">
        <v>13</v>
      </c>
      <c r="AM465" s="26"/>
      <c r="AN465" s="26"/>
      <c r="AO465" s="26"/>
      <c r="AP465" s="26"/>
      <c r="AQ465" s="29"/>
      <c r="AR465" s="26"/>
      <c r="AS465" s="26"/>
      <c r="AT465" s="26"/>
      <c r="AU465" s="26"/>
      <c r="AV465" s="26"/>
      <c r="AX465" s="26" t="s">
        <v>13</v>
      </c>
      <c r="AY465" s="6" t="s">
        <v>895</v>
      </c>
      <c r="AZ465" s="97" t="s">
        <v>13</v>
      </c>
      <c r="BA465" s="62">
        <v>41.529499999999999</v>
      </c>
      <c r="BD465" s="26">
        <v>836.67810356241796</v>
      </c>
      <c r="BE465" s="25" t="s">
        <v>239</v>
      </c>
      <c r="BF465" s="26">
        <f t="shared" si="161"/>
        <v>765.00214310643037</v>
      </c>
      <c r="BG465" s="26">
        <f t="shared" si="162"/>
        <v>921.51796209183499</v>
      </c>
      <c r="BH465" s="83" t="s">
        <v>738</v>
      </c>
      <c r="BI465" s="25" t="s">
        <v>430</v>
      </c>
      <c r="BJ465" s="26">
        <v>693.32618265044289</v>
      </c>
      <c r="BK465" s="26">
        <v>1006.3578206212519</v>
      </c>
      <c r="BL465" s="26" t="s">
        <v>13</v>
      </c>
      <c r="BM465" s="25" t="s">
        <v>13</v>
      </c>
      <c r="CA465" s="25" t="s">
        <v>13</v>
      </c>
      <c r="CC465" s="25" t="s">
        <v>13</v>
      </c>
    </row>
    <row r="466" spans="1:81">
      <c r="A466" s="6" t="s">
        <v>448</v>
      </c>
      <c r="B466" s="25" t="s">
        <v>485</v>
      </c>
      <c r="C466" s="62">
        <v>1.56</v>
      </c>
      <c r="F466" s="26">
        <f t="shared" si="165"/>
        <v>229.97563276510155</v>
      </c>
      <c r="G466" s="23" t="s">
        <v>389</v>
      </c>
      <c r="H466" s="26">
        <f t="shared" si="166"/>
        <v>144.12287692280776</v>
      </c>
      <c r="I466" s="26">
        <f t="shared" si="166"/>
        <v>379.65836015036228</v>
      </c>
      <c r="J466" s="23" t="s">
        <v>484</v>
      </c>
      <c r="K466" s="23" t="s">
        <v>400</v>
      </c>
      <c r="L466" s="26">
        <v>229.97563276510155</v>
      </c>
      <c r="M466" s="26">
        <v>144.12287692280776</v>
      </c>
      <c r="N466" s="26">
        <v>379.65836015036228</v>
      </c>
      <c r="O466" s="25">
        <v>1274</v>
      </c>
      <c r="P466" s="25">
        <f t="shared" si="167"/>
        <v>1274</v>
      </c>
      <c r="Q466" s="87" t="s">
        <v>465</v>
      </c>
      <c r="R466" s="26" t="s">
        <v>13</v>
      </c>
      <c r="S466" s="6" t="s">
        <v>1131</v>
      </c>
      <c r="T466" s="44" t="s">
        <v>1153</v>
      </c>
      <c r="U466" s="62">
        <v>117</v>
      </c>
      <c r="V466" s="62">
        <v>117</v>
      </c>
      <c r="W466" s="62">
        <v>116</v>
      </c>
      <c r="X466" s="26">
        <v>838.56944838054449</v>
      </c>
      <c r="Y466" s="26" t="s">
        <v>389</v>
      </c>
      <c r="Z466" s="26">
        <f t="shared" si="159"/>
        <v>586.99861386638111</v>
      </c>
      <c r="AA466" s="26">
        <f t="shared" si="160"/>
        <v>1257.8541725708167</v>
      </c>
      <c r="AB466" s="25" t="s">
        <v>1191</v>
      </c>
      <c r="AC466" s="77" t="s">
        <v>400</v>
      </c>
      <c r="AF466" s="26" t="s">
        <v>1327</v>
      </c>
      <c r="AG466" s="25" t="s">
        <v>13</v>
      </c>
      <c r="AM466" s="26"/>
      <c r="AN466" s="26"/>
      <c r="AO466" s="26"/>
      <c r="AP466" s="26"/>
      <c r="AQ466" s="29"/>
      <c r="AR466" s="26"/>
      <c r="AS466" s="26"/>
      <c r="AT466" s="26"/>
      <c r="AU466" s="26"/>
      <c r="AV466" s="26"/>
      <c r="AX466" s="26" t="s">
        <v>13</v>
      </c>
      <c r="AY466" s="6" t="s">
        <v>896</v>
      </c>
      <c r="AZ466" s="97" t="s">
        <v>13</v>
      </c>
      <c r="BA466" s="62">
        <v>55.393673673841626</v>
      </c>
      <c r="BD466" s="26">
        <v>1336.6309073974701</v>
      </c>
      <c r="BE466" s="25" t="s">
        <v>239</v>
      </c>
      <c r="BF466" s="26">
        <f t="shared" si="161"/>
        <v>1185.04174893001</v>
      </c>
      <c r="BG466" s="26">
        <f t="shared" si="162"/>
        <v>1556.1834085160501</v>
      </c>
      <c r="BH466" s="83" t="s">
        <v>887</v>
      </c>
      <c r="BI466" s="25" t="s">
        <v>430</v>
      </c>
      <c r="BJ466" s="26">
        <v>1033.45259046255</v>
      </c>
      <c r="BK466" s="26">
        <v>1775.7359096346302</v>
      </c>
      <c r="BL466" s="26" t="s">
        <v>13</v>
      </c>
      <c r="BM466" s="25" t="s">
        <v>13</v>
      </c>
      <c r="CA466" s="25" t="s">
        <v>13</v>
      </c>
      <c r="CC466" s="25" t="s">
        <v>13</v>
      </c>
    </row>
    <row r="467" spans="1:81">
      <c r="A467" s="6" t="s">
        <v>448</v>
      </c>
      <c r="B467" s="25" t="s">
        <v>485</v>
      </c>
      <c r="C467" s="62">
        <v>1.64</v>
      </c>
      <c r="F467" s="26">
        <f t="shared" si="165"/>
        <v>246.50040696621369</v>
      </c>
      <c r="G467" s="23" t="s">
        <v>389</v>
      </c>
      <c r="H467" s="26">
        <f t="shared" si="166"/>
        <v>154.47874797631476</v>
      </c>
      <c r="I467" s="26">
        <f t="shared" si="166"/>
        <v>406.93850544061274</v>
      </c>
      <c r="J467" s="23" t="s">
        <v>484</v>
      </c>
      <c r="K467" s="23" t="s">
        <v>400</v>
      </c>
      <c r="L467" s="26">
        <v>246.50040696621369</v>
      </c>
      <c r="M467" s="26">
        <v>154.47874797631476</v>
      </c>
      <c r="N467" s="26">
        <v>406.93850544061274</v>
      </c>
      <c r="O467" s="25">
        <v>1274</v>
      </c>
      <c r="P467" s="25">
        <f t="shared" si="167"/>
        <v>1274</v>
      </c>
      <c r="Q467" s="87" t="s">
        <v>466</v>
      </c>
      <c r="R467" s="26" t="s">
        <v>13</v>
      </c>
      <c r="S467" s="6" t="s">
        <v>1131</v>
      </c>
      <c r="T467" s="44" t="s">
        <v>1154</v>
      </c>
      <c r="U467" s="62">
        <v>117</v>
      </c>
      <c r="V467" s="62">
        <v>118</v>
      </c>
      <c r="W467" s="62">
        <v>116</v>
      </c>
      <c r="X467" s="26">
        <v>1227.8645837153686</v>
      </c>
      <c r="Y467" s="26" t="s">
        <v>389</v>
      </c>
      <c r="Z467" s="26">
        <f t="shared" si="159"/>
        <v>859.5052086007579</v>
      </c>
      <c r="AA467" s="26">
        <f t="shared" si="160"/>
        <v>1841.7968755730528</v>
      </c>
      <c r="AB467" s="25" t="s">
        <v>1191</v>
      </c>
      <c r="AC467" s="77" t="s">
        <v>400</v>
      </c>
      <c r="AF467" s="26" t="s">
        <v>1328</v>
      </c>
      <c r="AG467" s="25" t="s">
        <v>13</v>
      </c>
      <c r="AM467" s="26"/>
      <c r="AN467" s="26"/>
      <c r="AO467" s="26"/>
      <c r="AP467" s="26"/>
      <c r="AQ467" s="29"/>
      <c r="AR467" s="26"/>
      <c r="AS467" s="26"/>
      <c r="AT467" s="26"/>
      <c r="AU467" s="26"/>
      <c r="AV467" s="26"/>
      <c r="AX467" s="26" t="s">
        <v>13</v>
      </c>
      <c r="AY467" s="6" t="s">
        <v>896</v>
      </c>
      <c r="AZ467" s="97" t="s">
        <v>13</v>
      </c>
      <c r="BA467" s="62">
        <v>55.422562562730512</v>
      </c>
      <c r="BD467" s="26">
        <v>1341.3410702163601</v>
      </c>
      <c r="BE467" s="25" t="s">
        <v>239</v>
      </c>
      <c r="BF467" s="26">
        <f t="shared" si="161"/>
        <v>1204.2314932489001</v>
      </c>
      <c r="BG467" s="26">
        <f t="shared" si="162"/>
        <v>1535.108739533385</v>
      </c>
      <c r="BH467" s="83" t="s">
        <v>738</v>
      </c>
      <c r="BI467" s="25" t="s">
        <v>430</v>
      </c>
      <c r="BJ467" s="26">
        <v>1067.12191628144</v>
      </c>
      <c r="BK467" s="26">
        <v>1728.8764088504099</v>
      </c>
      <c r="BL467" s="26" t="s">
        <v>13</v>
      </c>
      <c r="BM467" s="25" t="s">
        <v>13</v>
      </c>
      <c r="CA467" s="25" t="s">
        <v>13</v>
      </c>
      <c r="CC467" s="25" t="s">
        <v>13</v>
      </c>
    </row>
    <row r="468" spans="1:81">
      <c r="A468" s="6" t="s">
        <v>448</v>
      </c>
      <c r="B468" s="25" t="s">
        <v>485</v>
      </c>
      <c r="C468" s="62">
        <v>1.64</v>
      </c>
      <c r="F468" s="26">
        <f t="shared" si="165"/>
        <v>207.4455288203869</v>
      </c>
      <c r="G468" s="23" t="s">
        <v>389</v>
      </c>
      <c r="H468" s="26">
        <f t="shared" si="166"/>
        <v>130.00354019638689</v>
      </c>
      <c r="I468" s="26">
        <f t="shared" si="166"/>
        <v>342.4642356475963</v>
      </c>
      <c r="J468" s="23" t="s">
        <v>484</v>
      </c>
      <c r="K468" s="23" t="s">
        <v>400</v>
      </c>
      <c r="L468" s="26">
        <v>207.4455288203869</v>
      </c>
      <c r="M468" s="26">
        <v>130.00354019638689</v>
      </c>
      <c r="N468" s="26">
        <v>342.4642356475963</v>
      </c>
      <c r="O468" s="25">
        <v>1274</v>
      </c>
      <c r="P468" s="25">
        <f t="shared" si="167"/>
        <v>1274</v>
      </c>
      <c r="Q468" s="87" t="s">
        <v>467</v>
      </c>
      <c r="R468" s="26" t="s">
        <v>13</v>
      </c>
      <c r="S468" s="6" t="s">
        <v>1131</v>
      </c>
      <c r="T468" s="44" t="s">
        <v>1155</v>
      </c>
      <c r="U468" s="62">
        <v>117</v>
      </c>
      <c r="V468" s="62">
        <v>118</v>
      </c>
      <c r="W468" s="62">
        <v>116</v>
      </c>
      <c r="X468" s="26">
        <v>1339.9911389941001</v>
      </c>
      <c r="Y468" s="26" t="s">
        <v>389</v>
      </c>
      <c r="Z468" s="26">
        <f t="shared" si="159"/>
        <v>937.99379729586997</v>
      </c>
      <c r="AA468" s="26">
        <f t="shared" si="160"/>
        <v>2009.9867084911502</v>
      </c>
      <c r="AB468" s="25" t="s">
        <v>1191</v>
      </c>
      <c r="AC468" s="77" t="s">
        <v>400</v>
      </c>
      <c r="AF468" s="26" t="s">
        <v>1329</v>
      </c>
      <c r="AG468" s="25" t="s">
        <v>13</v>
      </c>
      <c r="AM468" s="26"/>
      <c r="AN468" s="26"/>
      <c r="AO468" s="26"/>
      <c r="AP468" s="26"/>
      <c r="AQ468" s="29"/>
      <c r="AR468" s="26"/>
      <c r="AS468" s="26"/>
      <c r="AT468" s="26"/>
      <c r="AU468" s="26"/>
      <c r="AV468" s="26"/>
      <c r="AX468" s="26" t="s">
        <v>13</v>
      </c>
      <c r="AY468" s="6" t="s">
        <v>896</v>
      </c>
      <c r="AZ468" s="97" t="s">
        <v>13</v>
      </c>
      <c r="BA468" s="62">
        <v>55.439229229397178</v>
      </c>
      <c r="BD468" s="26">
        <v>1474.92645903893</v>
      </c>
      <c r="BE468" s="25" t="s">
        <v>239</v>
      </c>
      <c r="BF468" s="26">
        <f t="shared" si="161"/>
        <v>1305.8028479908098</v>
      </c>
      <c r="BG468" s="26">
        <f t="shared" si="162"/>
        <v>1690.249834573</v>
      </c>
      <c r="BH468" s="83" t="s">
        <v>887</v>
      </c>
      <c r="BI468" s="25" t="s">
        <v>430</v>
      </c>
      <c r="BJ468" s="26">
        <v>1136.6792369426898</v>
      </c>
      <c r="BK468" s="26">
        <v>1905.5732101070701</v>
      </c>
      <c r="BL468" s="26" t="s">
        <v>13</v>
      </c>
      <c r="BM468" s="25" t="s">
        <v>13</v>
      </c>
      <c r="CA468" s="25" t="s">
        <v>13</v>
      </c>
      <c r="CC468" s="25" t="s">
        <v>13</v>
      </c>
    </row>
    <row r="469" spans="1:81">
      <c r="A469" s="6" t="s">
        <v>448</v>
      </c>
      <c r="B469" s="25" t="s">
        <v>485</v>
      </c>
      <c r="C469" s="62">
        <v>1.73</v>
      </c>
      <c r="F469" s="26">
        <f t="shared" si="165"/>
        <v>238.70267738481732</v>
      </c>
      <c r="G469" s="23" t="s">
        <v>389</v>
      </c>
      <c r="H469" s="26">
        <f t="shared" si="166"/>
        <v>149.59200755419008</v>
      </c>
      <c r="I469" s="26">
        <f t="shared" si="166"/>
        <v>394.06551889776119</v>
      </c>
      <c r="J469" s="23" t="s">
        <v>484</v>
      </c>
      <c r="K469" s="23" t="s">
        <v>400</v>
      </c>
      <c r="L469" s="26">
        <v>238.70267738481732</v>
      </c>
      <c r="M469" s="26">
        <v>149.59200755419008</v>
      </c>
      <c r="N469" s="26">
        <v>394.06551889776119</v>
      </c>
      <c r="O469" s="25">
        <v>1274</v>
      </c>
      <c r="P469" s="25">
        <f t="shared" si="167"/>
        <v>1274</v>
      </c>
      <c r="Q469" s="87" t="s">
        <v>468</v>
      </c>
      <c r="R469" s="26" t="s">
        <v>13</v>
      </c>
      <c r="S469" s="6" t="s">
        <v>1131</v>
      </c>
      <c r="T469" s="44" t="s">
        <v>1153</v>
      </c>
      <c r="U469" s="62">
        <v>118</v>
      </c>
      <c r="V469" s="62">
        <v>118</v>
      </c>
      <c r="W469" s="62">
        <v>116</v>
      </c>
      <c r="X469" s="26">
        <v>1231.5872868412339</v>
      </c>
      <c r="Y469" s="26" t="s">
        <v>389</v>
      </c>
      <c r="Z469" s="26">
        <f t="shared" si="159"/>
        <v>862.11110078886372</v>
      </c>
      <c r="AA469" s="26">
        <f t="shared" si="160"/>
        <v>1847.3809302618508</v>
      </c>
      <c r="AB469" s="25" t="s">
        <v>1191</v>
      </c>
      <c r="AC469" s="77" t="s">
        <v>400</v>
      </c>
      <c r="AF469" s="26" t="s">
        <v>1330</v>
      </c>
      <c r="AG469" s="25" t="s">
        <v>13</v>
      </c>
      <c r="AM469" s="26"/>
      <c r="AN469" s="26"/>
      <c r="AO469" s="26"/>
      <c r="AP469" s="26"/>
      <c r="AQ469" s="29"/>
      <c r="AR469" s="26"/>
      <c r="AS469" s="26"/>
      <c r="AT469" s="26"/>
      <c r="AU469" s="26"/>
      <c r="AV469" s="26"/>
      <c r="AX469" s="26" t="s">
        <v>13</v>
      </c>
      <c r="AY469" s="6" t="s">
        <v>896</v>
      </c>
      <c r="AZ469" s="97" t="s">
        <v>13</v>
      </c>
      <c r="BA469" s="62">
        <v>55.49034034050829</v>
      </c>
      <c r="BD469" s="26">
        <v>1156.2379781802799</v>
      </c>
      <c r="BE469" s="25" t="s">
        <v>239</v>
      </c>
      <c r="BF469" s="26">
        <f t="shared" si="161"/>
        <v>1033.3848024684748</v>
      </c>
      <c r="BG469" s="26">
        <f t="shared" si="162"/>
        <v>1337.8730284199901</v>
      </c>
      <c r="BH469" s="83" t="s">
        <v>738</v>
      </c>
      <c r="BI469" s="25" t="s">
        <v>430</v>
      </c>
      <c r="BJ469" s="26">
        <v>910.53162675666999</v>
      </c>
      <c r="BK469" s="26">
        <v>1519.5080786597</v>
      </c>
      <c r="BL469" s="26" t="s">
        <v>13</v>
      </c>
      <c r="BM469" s="25" t="s">
        <v>13</v>
      </c>
      <c r="CA469" s="25" t="s">
        <v>13</v>
      </c>
      <c r="CC469" s="25" t="s">
        <v>13</v>
      </c>
    </row>
    <row r="470" spans="1:81">
      <c r="A470" s="6" t="s">
        <v>448</v>
      </c>
      <c r="B470" s="25" t="s">
        <v>485</v>
      </c>
      <c r="C470" s="62">
        <v>1.82</v>
      </c>
      <c r="F470" s="26">
        <f t="shared" si="165"/>
        <v>229.82611133573423</v>
      </c>
      <c r="G470" s="23" t="s">
        <v>389</v>
      </c>
      <c r="H470" s="26">
        <f t="shared" si="166"/>
        <v>144.02917369737065</v>
      </c>
      <c r="I470" s="26">
        <f t="shared" si="166"/>
        <v>379.41152069177099</v>
      </c>
      <c r="J470" s="23" t="s">
        <v>484</v>
      </c>
      <c r="K470" s="23" t="s">
        <v>400</v>
      </c>
      <c r="L470" s="26">
        <v>229.82611133573423</v>
      </c>
      <c r="M470" s="26">
        <v>144.02917369737065</v>
      </c>
      <c r="N470" s="26">
        <v>379.41152069177099</v>
      </c>
      <c r="O470" s="25">
        <v>1274</v>
      </c>
      <c r="P470" s="25">
        <f t="shared" si="167"/>
        <v>1274</v>
      </c>
      <c r="Q470" s="87" t="s">
        <v>469</v>
      </c>
      <c r="R470" s="26" t="s">
        <v>13</v>
      </c>
      <c r="S470" s="6" t="s">
        <v>1131</v>
      </c>
      <c r="T470" s="44" t="s">
        <v>1155</v>
      </c>
      <c r="U470" s="62">
        <v>120</v>
      </c>
      <c r="V470" s="62">
        <v>121</v>
      </c>
      <c r="W470" s="62">
        <v>119</v>
      </c>
      <c r="X470" s="26">
        <v>1047.8399091621634</v>
      </c>
      <c r="Y470" s="26" t="s">
        <v>389</v>
      </c>
      <c r="Z470" s="26">
        <f t="shared" si="159"/>
        <v>733.48793641351438</v>
      </c>
      <c r="AA470" s="26">
        <f t="shared" si="160"/>
        <v>1571.7598637432452</v>
      </c>
      <c r="AB470" s="25" t="s">
        <v>1191</v>
      </c>
      <c r="AC470" s="77" t="s">
        <v>400</v>
      </c>
      <c r="AF470" s="26" t="s">
        <v>1331</v>
      </c>
      <c r="AG470" s="25" t="s">
        <v>13</v>
      </c>
      <c r="AM470" s="26"/>
      <c r="AN470" s="26"/>
      <c r="AO470" s="26"/>
      <c r="AP470" s="26"/>
      <c r="AQ470" s="29"/>
      <c r="AR470" s="26"/>
      <c r="AS470" s="26"/>
      <c r="AT470" s="26"/>
      <c r="AU470" s="26"/>
      <c r="AV470" s="26"/>
      <c r="AX470" s="26" t="s">
        <v>13</v>
      </c>
      <c r="AY470" s="6" t="s">
        <v>896</v>
      </c>
      <c r="AZ470" s="97" t="s">
        <v>13</v>
      </c>
      <c r="BA470" s="62">
        <v>55.512007007174958</v>
      </c>
      <c r="BD470" s="26">
        <v>1692.1018403212299</v>
      </c>
      <c r="BE470" s="25" t="s">
        <v>239</v>
      </c>
      <c r="BF470" s="26">
        <f t="shared" si="161"/>
        <v>1511.9864697563148</v>
      </c>
      <c r="BG470" s="26">
        <f t="shared" si="162"/>
        <v>1941.5811530447099</v>
      </c>
      <c r="BH470" s="83" t="s">
        <v>887</v>
      </c>
      <c r="BI470" s="25" t="s">
        <v>430</v>
      </c>
      <c r="BJ470" s="26">
        <v>1331.8710991913999</v>
      </c>
      <c r="BK470" s="26">
        <v>2191.0604657681902</v>
      </c>
      <c r="BL470" s="26" t="s">
        <v>13</v>
      </c>
      <c r="BM470" s="25" t="s">
        <v>13</v>
      </c>
      <c r="CA470" s="25" t="s">
        <v>13</v>
      </c>
      <c r="CC470" s="25" t="s">
        <v>13</v>
      </c>
    </row>
    <row r="471" spans="1:81">
      <c r="A471" s="6" t="s">
        <v>448</v>
      </c>
      <c r="B471" s="25" t="s">
        <v>485</v>
      </c>
      <c r="C471" s="62">
        <v>1.94</v>
      </c>
      <c r="F471" s="26">
        <f t="shared" si="165"/>
        <v>307.05113901345283</v>
      </c>
      <c r="G471" s="23" t="s">
        <v>389</v>
      </c>
      <c r="H471" s="26">
        <f t="shared" si="166"/>
        <v>192.42514080717484</v>
      </c>
      <c r="I471" s="26">
        <f t="shared" si="166"/>
        <v>506.89949417040339</v>
      </c>
      <c r="J471" s="23" t="s">
        <v>484</v>
      </c>
      <c r="K471" s="23" t="s">
        <v>400</v>
      </c>
      <c r="L471" s="26">
        <v>307.05113901345283</v>
      </c>
      <c r="M471" s="26">
        <v>192.42514080717484</v>
      </c>
      <c r="N471" s="26">
        <v>506.89949417040339</v>
      </c>
      <c r="O471" s="25">
        <v>1274</v>
      </c>
      <c r="P471" s="25">
        <f t="shared" si="167"/>
        <v>1274</v>
      </c>
      <c r="Q471" s="87" t="s">
        <v>470</v>
      </c>
      <c r="R471" s="26" t="s">
        <v>13</v>
      </c>
      <c r="S471" s="6" t="s">
        <v>1131</v>
      </c>
      <c r="T471" s="44" t="s">
        <v>1156</v>
      </c>
      <c r="U471" s="62">
        <v>122</v>
      </c>
      <c r="V471" s="62">
        <v>126</v>
      </c>
      <c r="W471" s="62">
        <v>118</v>
      </c>
      <c r="X471" s="26">
        <v>895.77944525906139</v>
      </c>
      <c r="Y471" s="26" t="s">
        <v>389</v>
      </c>
      <c r="Z471" s="26">
        <f t="shared" si="159"/>
        <v>627.04561168134296</v>
      </c>
      <c r="AA471" s="26">
        <f t="shared" si="160"/>
        <v>1343.669167888592</v>
      </c>
      <c r="AB471" s="25" t="s">
        <v>1191</v>
      </c>
      <c r="AC471" s="77" t="s">
        <v>400</v>
      </c>
      <c r="AF471" s="26" t="s">
        <v>1332</v>
      </c>
      <c r="AG471" s="25" t="s">
        <v>13</v>
      </c>
      <c r="AM471" s="26"/>
      <c r="AN471" s="26"/>
      <c r="AO471" s="26"/>
      <c r="AP471" s="26"/>
      <c r="AQ471" s="29"/>
      <c r="AR471" s="26"/>
      <c r="AS471" s="26"/>
      <c r="AT471" s="26"/>
      <c r="AU471" s="26"/>
      <c r="AV471" s="26"/>
      <c r="AX471" s="26" t="s">
        <v>13</v>
      </c>
      <c r="AY471" s="6" t="s">
        <v>896</v>
      </c>
      <c r="AZ471" s="97" t="s">
        <v>13</v>
      </c>
      <c r="BA471" s="62">
        <v>55.522562562730513</v>
      </c>
      <c r="BD471" s="26">
        <v>1436.47748887855</v>
      </c>
      <c r="BE471" s="25" t="s">
        <v>239</v>
      </c>
      <c r="BF471" s="26">
        <f t="shared" si="161"/>
        <v>1241.821923947075</v>
      </c>
      <c r="BG471" s="26">
        <f t="shared" si="162"/>
        <v>1714.42197167837</v>
      </c>
      <c r="BH471" s="83" t="s">
        <v>738</v>
      </c>
      <c r="BI471" s="25" t="s">
        <v>430</v>
      </c>
      <c r="BJ471" s="26">
        <v>1047.1663590155999</v>
      </c>
      <c r="BK471" s="26">
        <v>1992.36645447819</v>
      </c>
      <c r="BL471" s="26" t="s">
        <v>13</v>
      </c>
      <c r="BM471" s="25" t="s">
        <v>13</v>
      </c>
      <c r="CA471" s="25" t="s">
        <v>13</v>
      </c>
      <c r="CC471" s="25" t="s">
        <v>13</v>
      </c>
    </row>
    <row r="472" spans="1:81">
      <c r="A472" s="6" t="s">
        <v>448</v>
      </c>
      <c r="B472" s="25" t="s">
        <v>485</v>
      </c>
      <c r="C472" s="62">
        <v>1.9400000000000002</v>
      </c>
      <c r="F472" s="26">
        <f t="shared" si="165"/>
        <v>251.65169788063997</v>
      </c>
      <c r="G472" s="23" t="s">
        <v>389</v>
      </c>
      <c r="H472" s="26">
        <f t="shared" si="166"/>
        <v>157.70699810667423</v>
      </c>
      <c r="I472" s="26">
        <f t="shared" si="166"/>
        <v>415.44258318882413</v>
      </c>
      <c r="J472" s="23" t="s">
        <v>484</v>
      </c>
      <c r="K472" s="23" t="s">
        <v>400</v>
      </c>
      <c r="L472" s="26">
        <v>251.65169788063997</v>
      </c>
      <c r="M472" s="26">
        <v>157.70699810667423</v>
      </c>
      <c r="N472" s="26">
        <v>415.44258318882413</v>
      </c>
      <c r="O472" s="25">
        <v>1274</v>
      </c>
      <c r="P472" s="25">
        <f t="shared" si="167"/>
        <v>1274</v>
      </c>
      <c r="Q472" s="87" t="s">
        <v>471</v>
      </c>
      <c r="R472" s="26" t="s">
        <v>13</v>
      </c>
      <c r="S472" s="6" t="s">
        <v>1131</v>
      </c>
      <c r="T472" s="44" t="s">
        <v>1156</v>
      </c>
      <c r="U472" s="62">
        <v>122</v>
      </c>
      <c r="V472" s="62">
        <v>126</v>
      </c>
      <c r="W472" s="62">
        <v>118</v>
      </c>
      <c r="X472" s="26">
        <v>836.149632248579</v>
      </c>
      <c r="Y472" s="26" t="s">
        <v>389</v>
      </c>
      <c r="Z472" s="26">
        <f t="shared" si="159"/>
        <v>585.30474257400522</v>
      </c>
      <c r="AA472" s="26">
        <f t="shared" si="160"/>
        <v>1254.2244483728684</v>
      </c>
      <c r="AB472" s="25" t="s">
        <v>1191</v>
      </c>
      <c r="AC472" s="77" t="s">
        <v>400</v>
      </c>
      <c r="AF472" s="26" t="s">
        <v>1333</v>
      </c>
      <c r="AG472" s="25" t="s">
        <v>13</v>
      </c>
      <c r="AM472" s="26"/>
      <c r="AN472" s="26"/>
      <c r="AO472" s="26"/>
      <c r="AP472" s="26"/>
      <c r="AQ472" s="29"/>
      <c r="AR472" s="26"/>
      <c r="AS472" s="26"/>
      <c r="AT472" s="26"/>
      <c r="AU472" s="26"/>
      <c r="AV472" s="26"/>
      <c r="AX472" s="26" t="s">
        <v>13</v>
      </c>
      <c r="AY472" s="6" t="s">
        <v>896</v>
      </c>
      <c r="AZ472" s="97" t="s">
        <v>13</v>
      </c>
      <c r="BA472" s="62">
        <v>55.54256256273051</v>
      </c>
      <c r="BD472" s="26">
        <v>952.37607860191292</v>
      </c>
      <c r="BE472" s="25" t="s">
        <v>239</v>
      </c>
      <c r="BF472" s="26">
        <f t="shared" si="161"/>
        <v>864.16683599690941</v>
      </c>
      <c r="BG472" s="26">
        <f t="shared" si="162"/>
        <v>1068.1205696622815</v>
      </c>
      <c r="BH472" s="83" t="s">
        <v>887</v>
      </c>
      <c r="BI472" s="25" t="s">
        <v>430</v>
      </c>
      <c r="BJ472" s="26">
        <v>775.95759339190602</v>
      </c>
      <c r="BK472" s="26">
        <v>1183.86506072265</v>
      </c>
      <c r="BL472" s="26" t="s">
        <v>13</v>
      </c>
      <c r="BM472" s="25" t="s">
        <v>13</v>
      </c>
      <c r="CA472" s="25" t="s">
        <v>13</v>
      </c>
      <c r="CC472" s="25" t="s">
        <v>13</v>
      </c>
    </row>
    <row r="473" spans="1:81">
      <c r="A473" s="6" t="s">
        <v>448</v>
      </c>
      <c r="B473" s="25" t="s">
        <v>485</v>
      </c>
      <c r="C473" s="62">
        <v>2.12</v>
      </c>
      <c r="F473" s="26">
        <f t="shared" si="165"/>
        <v>299.13998783737588</v>
      </c>
      <c r="G473" s="23" t="s">
        <v>389</v>
      </c>
      <c r="H473" s="26">
        <f t="shared" si="166"/>
        <v>187.46732047830525</v>
      </c>
      <c r="I473" s="26">
        <f t="shared" si="166"/>
        <v>493.83926406559573</v>
      </c>
      <c r="J473" s="23" t="s">
        <v>484</v>
      </c>
      <c r="K473" s="23" t="s">
        <v>400</v>
      </c>
      <c r="L473" s="26">
        <v>299.13998783737588</v>
      </c>
      <c r="M473" s="26">
        <v>187.46732047830525</v>
      </c>
      <c r="N473" s="26">
        <v>493.83926406559573</v>
      </c>
      <c r="O473" s="25">
        <v>1274</v>
      </c>
      <c r="P473" s="25">
        <f t="shared" si="167"/>
        <v>1274</v>
      </c>
      <c r="Q473" s="87" t="s">
        <v>472</v>
      </c>
      <c r="R473" s="26" t="s">
        <v>13</v>
      </c>
      <c r="S473" s="6" t="s">
        <v>1131</v>
      </c>
      <c r="T473" s="44" t="s">
        <v>1155</v>
      </c>
      <c r="U473" s="62">
        <v>122</v>
      </c>
      <c r="V473" s="62">
        <v>123</v>
      </c>
      <c r="W473" s="62">
        <v>121</v>
      </c>
      <c r="X473" s="26">
        <v>975.21991970568342</v>
      </c>
      <c r="Y473" s="26" t="s">
        <v>389</v>
      </c>
      <c r="Z473" s="26">
        <f t="shared" si="159"/>
        <v>682.65394379397833</v>
      </c>
      <c r="AA473" s="26">
        <f t="shared" si="160"/>
        <v>1462.8298795585251</v>
      </c>
      <c r="AB473" s="25" t="s">
        <v>1191</v>
      </c>
      <c r="AC473" s="77" t="s">
        <v>400</v>
      </c>
      <c r="AF473" s="26" t="s">
        <v>1334</v>
      </c>
      <c r="AG473" s="25" t="s">
        <v>13</v>
      </c>
      <c r="AM473" s="26"/>
      <c r="AN473" s="26"/>
      <c r="AO473" s="26"/>
      <c r="AP473" s="26"/>
      <c r="AQ473" s="29"/>
      <c r="AR473" s="26"/>
      <c r="AS473" s="26"/>
      <c r="AT473" s="26"/>
      <c r="AU473" s="26"/>
      <c r="AV473" s="26"/>
      <c r="AX473" s="26" t="s">
        <v>13</v>
      </c>
      <c r="AY473" s="6" t="s">
        <v>896</v>
      </c>
      <c r="AZ473" s="97" t="s">
        <v>13</v>
      </c>
      <c r="BA473" s="62">
        <v>55.564784784952735</v>
      </c>
      <c r="BD473" s="26">
        <v>997.19453847601994</v>
      </c>
      <c r="BE473" s="25" t="s">
        <v>239</v>
      </c>
      <c r="BF473" s="26">
        <f t="shared" si="161"/>
        <v>897.49821864643445</v>
      </c>
      <c r="BG473" s="26">
        <f t="shared" si="162"/>
        <v>1121.030607235605</v>
      </c>
      <c r="BH473" s="83" t="s">
        <v>738</v>
      </c>
      <c r="BI473" s="25" t="s">
        <v>430</v>
      </c>
      <c r="BJ473" s="26">
        <v>797.80189881684896</v>
      </c>
      <c r="BK473" s="26">
        <v>1244.86667599519</v>
      </c>
      <c r="BL473" s="26" t="s">
        <v>13</v>
      </c>
      <c r="BM473" s="25" t="s">
        <v>13</v>
      </c>
      <c r="CA473" s="25" t="s">
        <v>13</v>
      </c>
      <c r="CC473" s="25" t="s">
        <v>13</v>
      </c>
    </row>
    <row r="474" spans="1:81">
      <c r="A474" s="6" t="s">
        <v>448</v>
      </c>
      <c r="B474" s="25" t="s">
        <v>485</v>
      </c>
      <c r="C474" s="62">
        <v>2.12</v>
      </c>
      <c r="F474" s="26">
        <f t="shared" si="165"/>
        <v>299.76184167835663</v>
      </c>
      <c r="G474" s="23" t="s">
        <v>389</v>
      </c>
      <c r="H474" s="26">
        <f t="shared" si="166"/>
        <v>187.8570285682888</v>
      </c>
      <c r="I474" s="26">
        <f t="shared" si="166"/>
        <v>494.86585982568261</v>
      </c>
      <c r="J474" s="23" t="s">
        <v>484</v>
      </c>
      <c r="K474" s="23" t="s">
        <v>400</v>
      </c>
      <c r="L474" s="26">
        <v>299.76184167835663</v>
      </c>
      <c r="M474" s="26">
        <v>187.8570285682888</v>
      </c>
      <c r="N474" s="26">
        <v>494.86585982568261</v>
      </c>
      <c r="O474" s="25">
        <v>1274</v>
      </c>
      <c r="P474" s="25">
        <f t="shared" si="167"/>
        <v>1274</v>
      </c>
      <c r="Q474" s="87" t="s">
        <v>473</v>
      </c>
      <c r="R474" s="26" t="s">
        <v>13</v>
      </c>
      <c r="S474" s="6" t="s">
        <v>1131</v>
      </c>
      <c r="T474" s="44" t="s">
        <v>1155</v>
      </c>
      <c r="U474" s="62">
        <v>124</v>
      </c>
      <c r="V474" s="62">
        <v>125</v>
      </c>
      <c r="W474" s="62">
        <v>123</v>
      </c>
      <c r="X474" s="26">
        <v>960.27923525371989</v>
      </c>
      <c r="Y474" s="26" t="s">
        <v>389</v>
      </c>
      <c r="Z474" s="26">
        <f t="shared" si="159"/>
        <v>672.19546467760392</v>
      </c>
      <c r="AA474" s="26">
        <f t="shared" si="160"/>
        <v>1440.4188528805798</v>
      </c>
      <c r="AB474" s="25" t="s">
        <v>1191</v>
      </c>
      <c r="AC474" s="77" t="s">
        <v>400</v>
      </c>
      <c r="AF474" s="26" t="s">
        <v>1335</v>
      </c>
      <c r="AG474" s="25" t="s">
        <v>13</v>
      </c>
      <c r="AM474" s="26"/>
      <c r="AN474" s="26"/>
      <c r="AO474" s="26"/>
      <c r="AP474" s="26"/>
      <c r="AQ474" s="29"/>
      <c r="AR474" s="26"/>
      <c r="AS474" s="26"/>
      <c r="AT474" s="26"/>
      <c r="AU474" s="26"/>
      <c r="AV474" s="26"/>
      <c r="AX474" s="26" t="s">
        <v>13</v>
      </c>
      <c r="AY474" s="6" t="s">
        <v>896</v>
      </c>
      <c r="AZ474" s="97" t="s">
        <v>13</v>
      </c>
      <c r="BA474" s="62">
        <v>55.590340340508291</v>
      </c>
      <c r="BD474" s="26">
        <v>867.31773302604893</v>
      </c>
      <c r="BE474" s="25" t="s">
        <v>239</v>
      </c>
      <c r="BF474" s="26">
        <f t="shared" si="161"/>
        <v>779.18161971699942</v>
      </c>
      <c r="BG474" s="26">
        <f t="shared" si="162"/>
        <v>976.84236093252946</v>
      </c>
      <c r="BH474" s="83" t="s">
        <v>887</v>
      </c>
      <c r="BI474" s="25" t="s">
        <v>430</v>
      </c>
      <c r="BJ474" s="26">
        <v>691.04550640795003</v>
      </c>
      <c r="BK474" s="26">
        <v>1086.36698883901</v>
      </c>
      <c r="BL474" s="26" t="s">
        <v>13</v>
      </c>
      <c r="BM474" s="25" t="s">
        <v>13</v>
      </c>
      <c r="CA474" s="25" t="s">
        <v>13</v>
      </c>
      <c r="CC474" s="25" t="s">
        <v>13</v>
      </c>
    </row>
    <row r="475" spans="1:81">
      <c r="A475" s="6" t="s">
        <v>448</v>
      </c>
      <c r="B475" s="25" t="s">
        <v>485</v>
      </c>
      <c r="C475" s="62">
        <v>2.14</v>
      </c>
      <c r="F475" s="26">
        <f t="shared" si="165"/>
        <v>277.53849876681358</v>
      </c>
      <c r="G475" s="23" t="s">
        <v>389</v>
      </c>
      <c r="H475" s="26">
        <f t="shared" si="166"/>
        <v>173.92993517694188</v>
      </c>
      <c r="I475" s="26">
        <f t="shared" si="166"/>
        <v>458.17815589196408</v>
      </c>
      <c r="J475" s="23" t="s">
        <v>484</v>
      </c>
      <c r="K475" s="23" t="s">
        <v>400</v>
      </c>
      <c r="L475" s="26">
        <v>277.53849876681358</v>
      </c>
      <c r="M475" s="26">
        <v>173.92993517694188</v>
      </c>
      <c r="N475" s="26">
        <v>458.17815589196408</v>
      </c>
      <c r="O475" s="25">
        <v>1274</v>
      </c>
      <c r="P475" s="25">
        <f t="shared" si="167"/>
        <v>1274</v>
      </c>
      <c r="Q475" s="87" t="s">
        <v>474</v>
      </c>
      <c r="R475" s="26" t="s">
        <v>13</v>
      </c>
      <c r="S475" s="6" t="s">
        <v>1131</v>
      </c>
      <c r="T475" s="44" t="s">
        <v>1157</v>
      </c>
      <c r="U475" s="62">
        <v>140</v>
      </c>
      <c r="V475" s="62">
        <v>145</v>
      </c>
      <c r="W475" s="62">
        <v>132.9</v>
      </c>
      <c r="X475" s="26">
        <v>822.46351756132424</v>
      </c>
      <c r="Y475" s="26" t="s">
        <v>389</v>
      </c>
      <c r="Z475" s="26">
        <f t="shared" ref="Z475:Z538" si="168">X475*0.7</f>
        <v>575.72446229292689</v>
      </c>
      <c r="AA475" s="26">
        <f t="shared" ref="AA475:AA538" si="169">X475*1.5</f>
        <v>1233.6952763419863</v>
      </c>
      <c r="AB475" s="25" t="s">
        <v>1191</v>
      </c>
      <c r="AC475" s="77" t="s">
        <v>400</v>
      </c>
      <c r="AF475" s="26" t="s">
        <v>1336</v>
      </c>
      <c r="AG475" s="25" t="s">
        <v>13</v>
      </c>
      <c r="AM475" s="26"/>
      <c r="AN475" s="26"/>
      <c r="AO475" s="26"/>
      <c r="AP475" s="26"/>
      <c r="AQ475" s="29"/>
      <c r="AR475" s="26"/>
      <c r="AS475" s="26"/>
      <c r="AT475" s="26"/>
      <c r="AU475" s="26"/>
      <c r="AV475" s="26"/>
      <c r="AX475" s="26" t="s">
        <v>13</v>
      </c>
      <c r="AY475" s="6" t="s">
        <v>896</v>
      </c>
      <c r="AZ475" s="97" t="s">
        <v>13</v>
      </c>
      <c r="BA475" s="62">
        <v>55.611451451619402</v>
      </c>
      <c r="BD475" s="26">
        <v>1004.1078949412001</v>
      </c>
      <c r="BE475" s="25" t="s">
        <v>239</v>
      </c>
      <c r="BF475" s="26">
        <f t="shared" si="161"/>
        <v>906.80726905693859</v>
      </c>
      <c r="BG475" s="26">
        <f t="shared" si="162"/>
        <v>1125.208136560685</v>
      </c>
      <c r="BH475" s="83" t="s">
        <v>887</v>
      </c>
      <c r="BI475" s="25" t="s">
        <v>430</v>
      </c>
      <c r="BJ475" s="26">
        <v>809.50664317267695</v>
      </c>
      <c r="BK475" s="26">
        <v>1246.3083781801699</v>
      </c>
      <c r="BL475" s="26" t="s">
        <v>13</v>
      </c>
      <c r="BM475" s="25" t="s">
        <v>13</v>
      </c>
      <c r="CA475" s="25" t="s">
        <v>13</v>
      </c>
      <c r="CC475" s="25" t="s">
        <v>13</v>
      </c>
    </row>
    <row r="476" spans="1:81">
      <c r="A476" s="6" t="s">
        <v>448</v>
      </c>
      <c r="B476" s="25" t="s">
        <v>485</v>
      </c>
      <c r="C476" s="62">
        <v>2.2000000000000002</v>
      </c>
      <c r="F476" s="26">
        <f t="shared" si="165"/>
        <v>337.62212167038444</v>
      </c>
      <c r="G476" s="23" t="s">
        <v>389</v>
      </c>
      <c r="H476" s="26">
        <f t="shared" si="166"/>
        <v>211.58359650049834</v>
      </c>
      <c r="I476" s="26">
        <f t="shared" si="166"/>
        <v>557.36801122225461</v>
      </c>
      <c r="J476" s="23" t="s">
        <v>484</v>
      </c>
      <c r="K476" s="23" t="s">
        <v>400</v>
      </c>
      <c r="L476" s="26">
        <v>337.62212167038444</v>
      </c>
      <c r="M476" s="26">
        <v>211.58359650049834</v>
      </c>
      <c r="N476" s="26">
        <v>557.36801122225461</v>
      </c>
      <c r="O476" s="25">
        <v>1274</v>
      </c>
      <c r="P476" s="25">
        <f t="shared" si="167"/>
        <v>1274</v>
      </c>
      <c r="Q476" s="87" t="s">
        <v>475</v>
      </c>
      <c r="R476" s="26" t="s">
        <v>13</v>
      </c>
      <c r="S476" s="6" t="s">
        <v>1131</v>
      </c>
      <c r="T476" s="44" t="s">
        <v>1157</v>
      </c>
      <c r="U476" s="62">
        <v>140</v>
      </c>
      <c r="V476" s="62">
        <v>145</v>
      </c>
      <c r="W476" s="62">
        <v>132.9</v>
      </c>
      <c r="X476" s="26">
        <v>867.73096612236009</v>
      </c>
      <c r="Y476" s="26" t="s">
        <v>389</v>
      </c>
      <c r="Z476" s="26">
        <f t="shared" si="168"/>
        <v>607.41167628565199</v>
      </c>
      <c r="AA476" s="26">
        <f t="shared" si="169"/>
        <v>1301.5964491835402</v>
      </c>
      <c r="AB476" s="25" t="s">
        <v>1191</v>
      </c>
      <c r="AC476" s="77" t="s">
        <v>400</v>
      </c>
      <c r="AF476" s="26" t="s">
        <v>1337</v>
      </c>
      <c r="AG476" s="25" t="s">
        <v>13</v>
      </c>
      <c r="AM476" s="26"/>
      <c r="AN476" s="26"/>
      <c r="AO476" s="26"/>
      <c r="AP476" s="26"/>
      <c r="AQ476" s="29"/>
      <c r="AR476" s="26"/>
      <c r="AS476" s="26"/>
      <c r="AT476" s="26"/>
      <c r="AU476" s="26"/>
      <c r="AV476" s="26"/>
      <c r="AX476" s="26" t="s">
        <v>13</v>
      </c>
      <c r="AY476" s="6" t="s">
        <v>896</v>
      </c>
      <c r="AZ476" s="97" t="s">
        <v>13</v>
      </c>
      <c r="BA476" s="62">
        <v>55.635895896063843</v>
      </c>
      <c r="BD476" s="26">
        <v>1137.5660117467198</v>
      </c>
      <c r="BE476" s="25" t="s">
        <v>239</v>
      </c>
      <c r="BF476" s="26">
        <f t="shared" si="161"/>
        <v>1019.0418896241314</v>
      </c>
      <c r="BG476" s="26">
        <f t="shared" si="162"/>
        <v>1301.94700036259</v>
      </c>
      <c r="BH476" s="83" t="s">
        <v>738</v>
      </c>
      <c r="BI476" s="25" t="s">
        <v>430</v>
      </c>
      <c r="BJ476" s="26">
        <v>900.51776750154295</v>
      </c>
      <c r="BK476" s="26">
        <v>1466.3279889784601</v>
      </c>
      <c r="BL476" s="26" t="s">
        <v>13</v>
      </c>
      <c r="BM476" s="25" t="s">
        <v>13</v>
      </c>
      <c r="CA476" s="25" t="s">
        <v>13</v>
      </c>
      <c r="CC476" s="25" t="s">
        <v>13</v>
      </c>
    </row>
    <row r="477" spans="1:81">
      <c r="A477" s="6" t="s">
        <v>448</v>
      </c>
      <c r="B477" s="25" t="s">
        <v>485</v>
      </c>
      <c r="C477" s="62">
        <v>2.2599999999999998</v>
      </c>
      <c r="F477" s="26">
        <f t="shared" si="165"/>
        <v>386.98122006974296</v>
      </c>
      <c r="G477" s="23" t="s">
        <v>389</v>
      </c>
      <c r="H477" s="26">
        <f t="shared" si="166"/>
        <v>242.51633132157204</v>
      </c>
      <c r="I477" s="26">
        <f t="shared" si="166"/>
        <v>638.85314132706708</v>
      </c>
      <c r="J477" s="23" t="s">
        <v>484</v>
      </c>
      <c r="K477" s="23" t="s">
        <v>400</v>
      </c>
      <c r="L477" s="26">
        <v>386.98122006974296</v>
      </c>
      <c r="M477" s="26">
        <v>242.51633132157204</v>
      </c>
      <c r="N477" s="26">
        <v>638.85314132706708</v>
      </c>
      <c r="O477" s="25">
        <v>1274</v>
      </c>
      <c r="P477" s="25">
        <f t="shared" si="167"/>
        <v>1274</v>
      </c>
      <c r="Q477" s="87" t="s">
        <v>476</v>
      </c>
      <c r="R477" s="26" t="s">
        <v>13</v>
      </c>
      <c r="S477" s="6" t="s">
        <v>1131</v>
      </c>
      <c r="T477" s="44" t="s">
        <v>1158</v>
      </c>
      <c r="U477" s="62">
        <v>144</v>
      </c>
      <c r="V477" s="62">
        <v>150</v>
      </c>
      <c r="W477" s="62">
        <v>138</v>
      </c>
      <c r="X477" s="26">
        <v>643.16559707809483</v>
      </c>
      <c r="Y477" s="26" t="s">
        <v>389</v>
      </c>
      <c r="Z477" s="26">
        <f t="shared" si="168"/>
        <v>450.21591795466634</v>
      </c>
      <c r="AA477" s="26">
        <f t="shared" si="169"/>
        <v>964.74839561714225</v>
      </c>
      <c r="AB477" s="25" t="s">
        <v>1191</v>
      </c>
      <c r="AC477" s="77" t="s">
        <v>400</v>
      </c>
      <c r="AF477" s="26" t="s">
        <v>1338</v>
      </c>
      <c r="AG477" s="25" t="s">
        <v>13</v>
      </c>
      <c r="AM477" s="26"/>
      <c r="AN477" s="26"/>
      <c r="AO477" s="26"/>
      <c r="AP477" s="26"/>
      <c r="AQ477" s="29"/>
      <c r="AR477" s="26"/>
      <c r="AS477" s="26"/>
      <c r="AT477" s="26"/>
      <c r="AU477" s="26"/>
      <c r="AV477" s="26"/>
      <c r="AX477" s="26" t="s">
        <v>13</v>
      </c>
      <c r="AY477" s="6" t="s">
        <v>896</v>
      </c>
      <c r="AZ477" s="97" t="s">
        <v>13</v>
      </c>
      <c r="BA477" s="62">
        <v>55.657007007174954</v>
      </c>
      <c r="BD477" s="26">
        <v>1046.4381424626599</v>
      </c>
      <c r="BE477" s="25" t="s">
        <v>239</v>
      </c>
      <c r="BF477" s="26">
        <f t="shared" si="161"/>
        <v>939.31086559913297</v>
      </c>
      <c r="BG477" s="26">
        <f t="shared" si="162"/>
        <v>1186.1182359302948</v>
      </c>
      <c r="BH477" s="83" t="s">
        <v>887</v>
      </c>
      <c r="BI477" s="25" t="s">
        <v>430</v>
      </c>
      <c r="BJ477" s="26">
        <v>832.18358873560601</v>
      </c>
      <c r="BK477" s="26">
        <v>1325.7983293979298</v>
      </c>
      <c r="BL477" s="26" t="s">
        <v>13</v>
      </c>
      <c r="BM477" s="25" t="s">
        <v>13</v>
      </c>
      <c r="CA477" s="25" t="s">
        <v>13</v>
      </c>
      <c r="CC477" s="25" t="s">
        <v>13</v>
      </c>
    </row>
    <row r="478" spans="1:81">
      <c r="A478" s="6" t="s">
        <v>448</v>
      </c>
      <c r="B478" s="25" t="s">
        <v>485</v>
      </c>
      <c r="C478" s="62">
        <v>2.2599999999999998</v>
      </c>
      <c r="F478" s="26">
        <f t="shared" si="165"/>
        <v>341.80051881188069</v>
      </c>
      <c r="G478" s="23" t="s">
        <v>389</v>
      </c>
      <c r="H478" s="26">
        <f t="shared" si="166"/>
        <v>214.20214616907813</v>
      </c>
      <c r="I478" s="26">
        <f t="shared" si="166"/>
        <v>564.26597422696034</v>
      </c>
      <c r="J478" s="23" t="s">
        <v>484</v>
      </c>
      <c r="K478" s="23" t="s">
        <v>400</v>
      </c>
      <c r="L478" s="26">
        <v>341.80051881188069</v>
      </c>
      <c r="M478" s="26">
        <v>214.20214616907813</v>
      </c>
      <c r="N478" s="26">
        <v>564.26597422696034</v>
      </c>
      <c r="O478" s="25">
        <v>1274</v>
      </c>
      <c r="P478" s="25">
        <f t="shared" si="167"/>
        <v>1274</v>
      </c>
      <c r="Q478" s="87" t="s">
        <v>476</v>
      </c>
      <c r="R478" s="26" t="s">
        <v>13</v>
      </c>
      <c r="S478" s="6" t="s">
        <v>1131</v>
      </c>
      <c r="T478" s="44" t="s">
        <v>1159</v>
      </c>
      <c r="U478" s="62">
        <v>145</v>
      </c>
      <c r="V478" s="62">
        <v>152</v>
      </c>
      <c r="W478" s="62">
        <v>139</v>
      </c>
      <c r="X478" s="26">
        <v>1062.3529053697328</v>
      </c>
      <c r="Y478" s="26" t="s">
        <v>389</v>
      </c>
      <c r="Z478" s="26">
        <f t="shared" si="168"/>
        <v>743.64703375881288</v>
      </c>
      <c r="AA478" s="26">
        <f t="shared" si="169"/>
        <v>1593.529358054599</v>
      </c>
      <c r="AB478" s="25" t="s">
        <v>1191</v>
      </c>
      <c r="AC478" s="77" t="s">
        <v>400</v>
      </c>
      <c r="AF478" s="26">
        <v>307729</v>
      </c>
      <c r="AG478" s="25" t="s">
        <v>13</v>
      </c>
      <c r="AM478" s="26"/>
      <c r="AN478" s="26"/>
      <c r="AO478" s="26"/>
      <c r="AP478" s="26"/>
      <c r="AQ478" s="29"/>
      <c r="AR478" s="26"/>
      <c r="AS478" s="26"/>
      <c r="AT478" s="26"/>
      <c r="AU478" s="26"/>
      <c r="AV478" s="26"/>
      <c r="AX478" s="26" t="s">
        <v>13</v>
      </c>
      <c r="AY478" s="6" t="s">
        <v>896</v>
      </c>
      <c r="AZ478" s="97" t="s">
        <v>13</v>
      </c>
      <c r="BA478" s="62">
        <v>55.678118118286072</v>
      </c>
      <c r="BD478" s="26">
        <v>1388.3455420176201</v>
      </c>
      <c r="BE478" s="25" t="s">
        <v>239</v>
      </c>
      <c r="BF478" s="26">
        <f t="shared" si="161"/>
        <v>1241.4486054014301</v>
      </c>
      <c r="BG478" s="26">
        <f t="shared" si="162"/>
        <v>1576.33759267611</v>
      </c>
      <c r="BH478" s="83" t="s">
        <v>887</v>
      </c>
      <c r="BI478" s="25" t="s">
        <v>430</v>
      </c>
      <c r="BJ478" s="26">
        <v>1094.5516687852398</v>
      </c>
      <c r="BK478" s="26">
        <v>1764.3296433346</v>
      </c>
      <c r="BL478" s="26" t="s">
        <v>13</v>
      </c>
      <c r="BM478" s="25" t="s">
        <v>13</v>
      </c>
      <c r="CA478" s="25" t="s">
        <v>13</v>
      </c>
      <c r="CC478" s="25" t="s">
        <v>13</v>
      </c>
    </row>
    <row r="479" spans="1:81">
      <c r="A479" s="6" t="s">
        <v>448</v>
      </c>
      <c r="B479" s="25" t="s">
        <v>485</v>
      </c>
      <c r="C479" s="62">
        <v>2.34</v>
      </c>
      <c r="F479" s="26">
        <f t="shared" si="165"/>
        <v>405.30604265261877</v>
      </c>
      <c r="G479" s="23" t="s">
        <v>389</v>
      </c>
      <c r="H479" s="26">
        <f t="shared" si="166"/>
        <v>254.00027037193942</v>
      </c>
      <c r="I479" s="26">
        <f t="shared" si="166"/>
        <v>669.10492064912705</v>
      </c>
      <c r="J479" s="23" t="s">
        <v>484</v>
      </c>
      <c r="K479" s="23" t="s">
        <v>400</v>
      </c>
      <c r="L479" s="26">
        <v>405.30604265261877</v>
      </c>
      <c r="M479" s="26">
        <v>254.00027037193942</v>
      </c>
      <c r="N479" s="26">
        <v>669.10492064912705</v>
      </c>
      <c r="O479" s="25">
        <v>1274</v>
      </c>
      <c r="P479" s="25">
        <f t="shared" si="167"/>
        <v>1274</v>
      </c>
      <c r="Q479" s="87" t="s">
        <v>477</v>
      </c>
      <c r="R479" s="26" t="s">
        <v>13</v>
      </c>
      <c r="S479" s="6" t="s">
        <v>1131</v>
      </c>
      <c r="T479" s="44" t="s">
        <v>1160</v>
      </c>
      <c r="U479" s="62">
        <v>145</v>
      </c>
      <c r="V479" s="62">
        <v>152</v>
      </c>
      <c r="W479" s="62">
        <v>139</v>
      </c>
      <c r="X479" s="26">
        <v>779.2882261403372</v>
      </c>
      <c r="Y479" s="26" t="s">
        <v>389</v>
      </c>
      <c r="Z479" s="26">
        <f t="shared" si="168"/>
        <v>545.50175829823604</v>
      </c>
      <c r="AA479" s="26">
        <f t="shared" si="169"/>
        <v>1168.9323392105057</v>
      </c>
      <c r="AB479" s="25" t="s">
        <v>1191</v>
      </c>
      <c r="AC479" s="77" t="s">
        <v>400</v>
      </c>
      <c r="AF479" s="26">
        <v>267702</v>
      </c>
      <c r="AG479" s="25" t="s">
        <v>13</v>
      </c>
      <c r="AM479" s="26"/>
      <c r="AN479" s="26"/>
      <c r="AO479" s="26"/>
      <c r="AP479" s="26"/>
      <c r="AQ479" s="29"/>
      <c r="AR479" s="26"/>
      <c r="AS479" s="26"/>
      <c r="AT479" s="26"/>
      <c r="AU479" s="26"/>
      <c r="AV479" s="26"/>
      <c r="AX479" s="26" t="s">
        <v>13</v>
      </c>
      <c r="AY479" s="6" t="s">
        <v>896</v>
      </c>
      <c r="AZ479" s="97" t="s">
        <v>13</v>
      </c>
      <c r="BA479" s="62">
        <v>55.69928901672359</v>
      </c>
      <c r="BD479" s="26">
        <v>982.36693246607501</v>
      </c>
      <c r="BE479" s="25" t="s">
        <v>239</v>
      </c>
      <c r="BF479" s="26">
        <f t="shared" si="161"/>
        <v>871.09595103141601</v>
      </c>
      <c r="BG479" s="26">
        <f t="shared" si="162"/>
        <v>1107.3405609101223</v>
      </c>
      <c r="BH479" s="83" t="s">
        <v>887</v>
      </c>
      <c r="BI479" s="25" t="s">
        <v>430</v>
      </c>
      <c r="BJ479" s="26">
        <v>759.824969596757</v>
      </c>
      <c r="BK479" s="26">
        <v>1232.3141893541699</v>
      </c>
      <c r="BL479" s="26" t="s">
        <v>13</v>
      </c>
      <c r="BM479" s="25" t="s">
        <v>13</v>
      </c>
      <c r="CA479" s="25" t="s">
        <v>13</v>
      </c>
      <c r="CC479" s="25" t="s">
        <v>13</v>
      </c>
    </row>
    <row r="480" spans="1:81">
      <c r="A480" s="6" t="s">
        <v>448</v>
      </c>
      <c r="B480" s="25" t="s">
        <v>485</v>
      </c>
      <c r="C480" s="62">
        <v>2.56</v>
      </c>
      <c r="F480" s="26">
        <f t="shared" si="165"/>
        <v>399.76274982743018</v>
      </c>
      <c r="G480" s="23" t="s">
        <v>389</v>
      </c>
      <c r="H480" s="26">
        <f t="shared" si="166"/>
        <v>250.52635750566739</v>
      </c>
      <c r="I480" s="26">
        <f t="shared" si="166"/>
        <v>659.9537012849695</v>
      </c>
      <c r="J480" s="23" t="s">
        <v>484</v>
      </c>
      <c r="K480" s="23" t="s">
        <v>400</v>
      </c>
      <c r="L480" s="26">
        <v>399.76274982743018</v>
      </c>
      <c r="M480" s="26">
        <v>250.52635750566739</v>
      </c>
      <c r="N480" s="26">
        <v>659.9537012849695</v>
      </c>
      <c r="O480" s="25">
        <v>1274</v>
      </c>
      <c r="P480" s="25">
        <f t="shared" si="167"/>
        <v>1274</v>
      </c>
      <c r="Q480" s="87" t="s">
        <v>478</v>
      </c>
      <c r="R480" s="26" t="s">
        <v>13</v>
      </c>
      <c r="S480" s="6" t="s">
        <v>1131</v>
      </c>
      <c r="T480" s="44" t="s">
        <v>1160</v>
      </c>
      <c r="U480" s="62">
        <v>145</v>
      </c>
      <c r="V480" s="62">
        <v>152</v>
      </c>
      <c r="W480" s="62">
        <v>139</v>
      </c>
      <c r="X480" s="26">
        <v>732.71746596367052</v>
      </c>
      <c r="Y480" s="26" t="s">
        <v>389</v>
      </c>
      <c r="Z480" s="26">
        <f t="shared" si="168"/>
        <v>512.90222617456936</v>
      </c>
      <c r="AA480" s="26">
        <f t="shared" si="169"/>
        <v>1099.0761989455059</v>
      </c>
      <c r="AB480" s="25" t="s">
        <v>1191</v>
      </c>
      <c r="AC480" s="77" t="s">
        <v>400</v>
      </c>
      <c r="AF480" s="26">
        <v>267707</v>
      </c>
      <c r="AG480" s="25" t="s">
        <v>13</v>
      </c>
      <c r="AM480" s="26"/>
      <c r="AN480" s="26"/>
      <c r="AO480" s="26"/>
      <c r="AP480" s="26"/>
      <c r="AQ480" s="29"/>
      <c r="AR480" s="26"/>
      <c r="AS480" s="26"/>
      <c r="AT480" s="26"/>
      <c r="AU480" s="26"/>
      <c r="AV480" s="26"/>
      <c r="AX480" s="26" t="s">
        <v>13</v>
      </c>
      <c r="AY480" s="6" t="s">
        <v>896</v>
      </c>
      <c r="AZ480" s="97" t="s">
        <v>13</v>
      </c>
      <c r="BA480" s="62">
        <v>55.720459915161108</v>
      </c>
      <c r="BD480" s="26">
        <v>1477.9986226563401</v>
      </c>
      <c r="BE480" s="25" t="s">
        <v>239</v>
      </c>
      <c r="BF480" s="26">
        <f t="shared" si="161"/>
        <v>1252.6613831355401</v>
      </c>
      <c r="BG480" s="26">
        <f t="shared" si="162"/>
        <v>1817.2133144065101</v>
      </c>
      <c r="BH480" s="83" t="s">
        <v>738</v>
      </c>
      <c r="BI480" s="25" t="s">
        <v>430</v>
      </c>
      <c r="BJ480" s="26">
        <v>1027.32414361474</v>
      </c>
      <c r="BK480" s="26">
        <v>2156.4280061566801</v>
      </c>
      <c r="BL480" s="26" t="s">
        <v>13</v>
      </c>
      <c r="BM480" s="25" t="s">
        <v>13</v>
      </c>
      <c r="CA480" s="25" t="s">
        <v>13</v>
      </c>
      <c r="CC480" s="25" t="s">
        <v>13</v>
      </c>
    </row>
    <row r="481" spans="1:81">
      <c r="A481" s="6" t="s">
        <v>448</v>
      </c>
      <c r="B481" s="25" t="s">
        <v>485</v>
      </c>
      <c r="C481" s="62">
        <v>2.56</v>
      </c>
      <c r="F481" s="26">
        <f t="shared" si="165"/>
        <v>385.0266367304273</v>
      </c>
      <c r="G481" s="23" t="s">
        <v>389</v>
      </c>
      <c r="H481" s="26">
        <f t="shared" si="166"/>
        <v>241.29141818333846</v>
      </c>
      <c r="I481" s="26">
        <f t="shared" si="166"/>
        <v>635.62639118636946</v>
      </c>
      <c r="J481" s="23" t="s">
        <v>484</v>
      </c>
      <c r="K481" s="23" t="s">
        <v>400</v>
      </c>
      <c r="L481" s="26">
        <v>385.0266367304273</v>
      </c>
      <c r="M481" s="26">
        <v>241.29141818333846</v>
      </c>
      <c r="N481" s="26">
        <v>635.62639118636946</v>
      </c>
      <c r="O481" s="25">
        <v>1274</v>
      </c>
      <c r="P481" s="25">
        <f t="shared" si="167"/>
        <v>1274</v>
      </c>
      <c r="Q481" s="87" t="s">
        <v>479</v>
      </c>
      <c r="R481" s="26" t="s">
        <v>13</v>
      </c>
      <c r="S481" s="6" t="s">
        <v>1131</v>
      </c>
      <c r="T481" s="44" t="s">
        <v>1161</v>
      </c>
      <c r="U481" s="62">
        <v>145</v>
      </c>
      <c r="V481" s="62">
        <v>152.1</v>
      </c>
      <c r="W481" s="62">
        <v>145</v>
      </c>
      <c r="X481" s="26">
        <v>608.96645724607674</v>
      </c>
      <c r="Y481" s="26" t="s">
        <v>389</v>
      </c>
      <c r="Z481" s="26">
        <f t="shared" si="168"/>
        <v>426.27652007225367</v>
      </c>
      <c r="AA481" s="26">
        <f t="shared" si="169"/>
        <v>913.44968586911511</v>
      </c>
      <c r="AB481" s="25" t="s">
        <v>1191</v>
      </c>
      <c r="AC481" s="77" t="s">
        <v>400</v>
      </c>
      <c r="AF481" s="26">
        <v>1</v>
      </c>
      <c r="AG481" s="25" t="s">
        <v>13</v>
      </c>
      <c r="AM481" s="26"/>
      <c r="AN481" s="26"/>
      <c r="AO481" s="26"/>
      <c r="AP481" s="26"/>
      <c r="AQ481" s="29"/>
      <c r="AR481" s="26"/>
      <c r="AS481" s="26"/>
      <c r="AT481" s="26"/>
      <c r="AU481" s="26"/>
      <c r="AV481" s="26"/>
      <c r="AX481" s="26" t="s">
        <v>13</v>
      </c>
      <c r="AY481" s="6" t="s">
        <v>896</v>
      </c>
      <c r="AZ481" s="97" t="s">
        <v>13</v>
      </c>
      <c r="BA481" s="62">
        <v>55.734945266723621</v>
      </c>
      <c r="BD481" s="26">
        <v>1409.6481799440201</v>
      </c>
      <c r="BE481" s="25" t="s">
        <v>239</v>
      </c>
      <c r="BF481" s="26">
        <f t="shared" si="161"/>
        <v>1269.354843737595</v>
      </c>
      <c r="BG481" s="26">
        <f t="shared" si="162"/>
        <v>1586.11259485659</v>
      </c>
      <c r="BH481" s="83" t="s">
        <v>887</v>
      </c>
      <c r="BI481" s="25" t="s">
        <v>430</v>
      </c>
      <c r="BJ481" s="26">
        <v>1129.06150753117</v>
      </c>
      <c r="BK481" s="26">
        <v>1762.57700976916</v>
      </c>
      <c r="BL481" s="26" t="s">
        <v>13</v>
      </c>
      <c r="BM481" s="25" t="s">
        <v>13</v>
      </c>
      <c r="CA481" s="25" t="s">
        <v>13</v>
      </c>
      <c r="CC481" s="25" t="s">
        <v>13</v>
      </c>
    </row>
    <row r="482" spans="1:81">
      <c r="A482" s="6" t="s">
        <v>494</v>
      </c>
      <c r="B482" s="25" t="s">
        <v>315</v>
      </c>
      <c r="C482" s="76">
        <v>221.94300000000001</v>
      </c>
      <c r="F482" s="25">
        <f t="shared" si="165"/>
        <v>6</v>
      </c>
      <c r="G482" s="23" t="s">
        <v>389</v>
      </c>
      <c r="H482" s="23">
        <f>F482*0.5</f>
        <v>3</v>
      </c>
      <c r="I482" s="23">
        <f>F482*2</f>
        <v>12</v>
      </c>
      <c r="J482" s="23" t="s">
        <v>481</v>
      </c>
      <c r="K482" s="23" t="s">
        <v>400</v>
      </c>
      <c r="L482" s="21">
        <v>6</v>
      </c>
      <c r="O482" s="21">
        <v>2800</v>
      </c>
      <c r="P482" s="25">
        <f t="shared" si="167"/>
        <v>2800</v>
      </c>
      <c r="Q482" s="25" t="s">
        <v>492</v>
      </c>
      <c r="R482" s="26" t="s">
        <v>13</v>
      </c>
      <c r="S482" s="6" t="s">
        <v>1131</v>
      </c>
      <c r="T482" s="44" t="s">
        <v>1161</v>
      </c>
      <c r="U482" s="62">
        <v>145</v>
      </c>
      <c r="V482" s="62">
        <v>152.1</v>
      </c>
      <c r="W482" s="62">
        <v>145</v>
      </c>
      <c r="X482" s="26">
        <v>586.22610528205848</v>
      </c>
      <c r="Y482" s="26" t="s">
        <v>389</v>
      </c>
      <c r="Z482" s="26">
        <f t="shared" si="168"/>
        <v>410.35827369744089</v>
      </c>
      <c r="AA482" s="26">
        <f t="shared" si="169"/>
        <v>879.33915792308767</v>
      </c>
      <c r="AB482" s="25" t="s">
        <v>1191</v>
      </c>
      <c r="AC482" s="77" t="s">
        <v>400</v>
      </c>
      <c r="AF482" s="26">
        <v>2</v>
      </c>
      <c r="AG482" s="25" t="s">
        <v>13</v>
      </c>
      <c r="AM482" s="26"/>
      <c r="AN482" s="26"/>
      <c r="AO482" s="26"/>
      <c r="AP482" s="26"/>
      <c r="AQ482" s="29"/>
      <c r="AR482" s="26"/>
      <c r="AS482" s="26"/>
      <c r="AT482" s="26"/>
      <c r="AU482" s="26"/>
      <c r="AV482" s="26"/>
      <c r="AX482" s="26" t="s">
        <v>13</v>
      </c>
      <c r="AY482" s="6" t="s">
        <v>896</v>
      </c>
      <c r="AZ482" s="97" t="s">
        <v>13</v>
      </c>
      <c r="BA482" s="62">
        <v>55.74051655578613</v>
      </c>
      <c r="BD482" s="26">
        <v>1996.73168075842</v>
      </c>
      <c r="BE482" s="25" t="s">
        <v>239</v>
      </c>
      <c r="BF482" s="26">
        <f t="shared" si="161"/>
        <v>1727.0368189073752</v>
      </c>
      <c r="BG482" s="26">
        <f t="shared" si="162"/>
        <v>2371.07876468106</v>
      </c>
      <c r="BH482" s="83" t="s">
        <v>738</v>
      </c>
      <c r="BI482" s="25" t="s">
        <v>430</v>
      </c>
      <c r="BJ482" s="26">
        <v>1457.3419570563301</v>
      </c>
      <c r="BK482" s="26">
        <v>2745.4258486037002</v>
      </c>
      <c r="BL482" s="26" t="s">
        <v>13</v>
      </c>
      <c r="BM482" s="25" t="s">
        <v>13</v>
      </c>
      <c r="CA482" s="25" t="s">
        <v>13</v>
      </c>
      <c r="CC482" s="25" t="s">
        <v>13</v>
      </c>
    </row>
    <row r="483" spans="1:81">
      <c r="A483" s="6" t="s">
        <v>494</v>
      </c>
      <c r="B483" s="25" t="s">
        <v>315</v>
      </c>
      <c r="C483" s="76">
        <v>220.12299999999999</v>
      </c>
      <c r="F483" s="25">
        <f t="shared" si="165"/>
        <v>215</v>
      </c>
      <c r="G483" s="23" t="s">
        <v>389</v>
      </c>
      <c r="H483" s="23">
        <f t="shared" ref="H483:H525" si="170">F483*0.5</f>
        <v>107.5</v>
      </c>
      <c r="I483" s="23">
        <f t="shared" ref="I483:I525" si="171">F483*2</f>
        <v>430</v>
      </c>
      <c r="J483" s="23" t="s">
        <v>481</v>
      </c>
      <c r="K483" s="23" t="s">
        <v>400</v>
      </c>
      <c r="L483" s="21">
        <v>215</v>
      </c>
      <c r="O483" s="21">
        <v>2800</v>
      </c>
      <c r="P483" s="25">
        <f t="shared" si="167"/>
        <v>2800</v>
      </c>
      <c r="Q483" s="25" t="s">
        <v>492</v>
      </c>
      <c r="R483" s="26" t="s">
        <v>13</v>
      </c>
      <c r="S483" s="6" t="s">
        <v>1131</v>
      </c>
      <c r="T483" s="44" t="s">
        <v>1161</v>
      </c>
      <c r="U483" s="62">
        <v>146</v>
      </c>
      <c r="V483" s="62">
        <v>152.1</v>
      </c>
      <c r="W483" s="62">
        <v>145</v>
      </c>
      <c r="X483" s="26">
        <v>541.6134083745809</v>
      </c>
      <c r="Y483" s="26" t="s">
        <v>389</v>
      </c>
      <c r="Z483" s="26">
        <f t="shared" si="168"/>
        <v>379.12938586220662</v>
      </c>
      <c r="AA483" s="26">
        <f t="shared" si="169"/>
        <v>812.42011256187129</v>
      </c>
      <c r="AB483" s="25" t="s">
        <v>1191</v>
      </c>
      <c r="AC483" s="77" t="s">
        <v>400</v>
      </c>
      <c r="AF483" s="26">
        <v>3</v>
      </c>
      <c r="AG483" s="25" t="s">
        <v>13</v>
      </c>
      <c r="AM483" s="26"/>
      <c r="AN483" s="26"/>
      <c r="AO483" s="26"/>
      <c r="AP483" s="26"/>
      <c r="AQ483" s="29"/>
      <c r="AR483" s="26"/>
      <c r="AS483" s="26"/>
      <c r="AT483" s="26"/>
      <c r="AU483" s="26"/>
      <c r="AV483" s="26"/>
      <c r="AX483" s="26" t="s">
        <v>13</v>
      </c>
      <c r="AY483" s="6" t="s">
        <v>896</v>
      </c>
      <c r="AZ483" s="97" t="s">
        <v>13</v>
      </c>
      <c r="BA483" s="62">
        <v>55.74754180908203</v>
      </c>
      <c r="BD483" s="26">
        <v>973.64566165946701</v>
      </c>
      <c r="BE483" s="25" t="s">
        <v>239</v>
      </c>
      <c r="BF483" s="26">
        <f t="shared" si="161"/>
        <v>865.58658740144051</v>
      </c>
      <c r="BG483" s="26">
        <f t="shared" si="162"/>
        <v>1099.4845981879985</v>
      </c>
      <c r="BH483" s="83" t="s">
        <v>887</v>
      </c>
      <c r="BI483" s="25" t="s">
        <v>430</v>
      </c>
      <c r="BJ483" s="26">
        <v>757.52751314341401</v>
      </c>
      <c r="BK483" s="26">
        <v>1225.3235347165298</v>
      </c>
      <c r="BL483" s="26" t="s">
        <v>13</v>
      </c>
      <c r="BM483" s="25" t="s">
        <v>13</v>
      </c>
      <c r="CA483" s="25" t="s">
        <v>13</v>
      </c>
      <c r="CC483" s="25" t="s">
        <v>13</v>
      </c>
    </row>
    <row r="484" spans="1:81">
      <c r="A484" s="6" t="s">
        <v>494</v>
      </c>
      <c r="B484" s="25" t="s">
        <v>315</v>
      </c>
      <c r="C484" s="76">
        <v>214.727</v>
      </c>
      <c r="F484" s="25">
        <f t="shared" si="165"/>
        <v>355</v>
      </c>
      <c r="G484" s="23" t="s">
        <v>389</v>
      </c>
      <c r="H484" s="23">
        <f t="shared" si="170"/>
        <v>177.5</v>
      </c>
      <c r="I484" s="23">
        <f t="shared" si="171"/>
        <v>710</v>
      </c>
      <c r="J484" s="23" t="s">
        <v>481</v>
      </c>
      <c r="K484" s="23" t="s">
        <v>400</v>
      </c>
      <c r="L484" s="21">
        <v>355</v>
      </c>
      <c r="O484" s="21">
        <v>2800</v>
      </c>
      <c r="P484" s="25">
        <f t="shared" si="167"/>
        <v>2800</v>
      </c>
      <c r="Q484" s="25" t="s">
        <v>492</v>
      </c>
      <c r="R484" s="26" t="s">
        <v>13</v>
      </c>
      <c r="S484" s="6" t="s">
        <v>1131</v>
      </c>
      <c r="T484" s="44" t="s">
        <v>1161</v>
      </c>
      <c r="U484" s="62">
        <v>146</v>
      </c>
      <c r="V484" s="62">
        <v>152.1</v>
      </c>
      <c r="W484" s="62">
        <v>145</v>
      </c>
      <c r="X484" s="26">
        <v>693.07496900664398</v>
      </c>
      <c r="Y484" s="26" t="s">
        <v>389</v>
      </c>
      <c r="Z484" s="26">
        <f t="shared" si="168"/>
        <v>485.15247830465074</v>
      </c>
      <c r="AA484" s="26">
        <f t="shared" si="169"/>
        <v>1039.6124535099659</v>
      </c>
      <c r="AB484" s="25" t="s">
        <v>1191</v>
      </c>
      <c r="AC484" s="77" t="s">
        <v>400</v>
      </c>
      <c r="AF484" s="26" t="s">
        <v>1339</v>
      </c>
      <c r="AG484" s="25" t="s">
        <v>13</v>
      </c>
      <c r="AM484" s="26"/>
      <c r="AN484" s="26"/>
      <c r="AO484" s="26"/>
      <c r="AP484" s="26"/>
      <c r="AQ484" s="29"/>
      <c r="AR484" s="26"/>
      <c r="AS484" s="26"/>
      <c r="AT484" s="26"/>
      <c r="AU484" s="26"/>
      <c r="AV484" s="26"/>
      <c r="AX484" s="26" t="s">
        <v>13</v>
      </c>
      <c r="AY484" s="6" t="s">
        <v>896</v>
      </c>
      <c r="AZ484" s="97" t="s">
        <v>13</v>
      </c>
      <c r="BA484" s="62">
        <v>55.760337417602535</v>
      </c>
      <c r="BD484" s="26">
        <v>1257.6441121217799</v>
      </c>
      <c r="BE484" s="25" t="s">
        <v>239</v>
      </c>
      <c r="BF484" s="26">
        <f t="shared" si="161"/>
        <v>1027.269325703533</v>
      </c>
      <c r="BG484" s="26">
        <f t="shared" si="162"/>
        <v>1733.12903926032</v>
      </c>
      <c r="BH484" s="83" t="s">
        <v>738</v>
      </c>
      <c r="BI484" s="25" t="s">
        <v>430</v>
      </c>
      <c r="BJ484" s="26">
        <v>796.89453928528599</v>
      </c>
      <c r="BK484" s="26">
        <v>2208.6139663988602</v>
      </c>
      <c r="BL484" s="26" t="s">
        <v>13</v>
      </c>
      <c r="BM484" s="25" t="s">
        <v>13</v>
      </c>
      <c r="CA484" s="25" t="s">
        <v>13</v>
      </c>
      <c r="CC484" s="25" t="s">
        <v>13</v>
      </c>
    </row>
    <row r="485" spans="1:81">
      <c r="A485" s="6" t="s">
        <v>494</v>
      </c>
      <c r="B485" s="25" t="s">
        <v>315</v>
      </c>
      <c r="C485" s="76">
        <v>213.47800000000001</v>
      </c>
      <c r="F485" s="25">
        <f t="shared" si="165"/>
        <v>443</v>
      </c>
      <c r="G485" s="23" t="s">
        <v>389</v>
      </c>
      <c r="H485" s="23">
        <f t="shared" si="170"/>
        <v>221.5</v>
      </c>
      <c r="I485" s="23">
        <f t="shared" si="171"/>
        <v>886</v>
      </c>
      <c r="J485" s="23" t="s">
        <v>481</v>
      </c>
      <c r="K485" s="23" t="s">
        <v>400</v>
      </c>
      <c r="L485" s="21">
        <v>443</v>
      </c>
      <c r="O485" s="21">
        <v>2800</v>
      </c>
      <c r="P485" s="25">
        <f t="shared" si="167"/>
        <v>2800</v>
      </c>
      <c r="Q485" s="25" t="s">
        <v>492</v>
      </c>
      <c r="R485" s="26" t="s">
        <v>13</v>
      </c>
      <c r="S485" s="6" t="s">
        <v>1131</v>
      </c>
      <c r="T485" s="44" t="s">
        <v>1158</v>
      </c>
      <c r="U485" s="62">
        <v>146</v>
      </c>
      <c r="V485" s="62">
        <v>150</v>
      </c>
      <c r="W485" s="62">
        <v>138</v>
      </c>
      <c r="X485" s="26">
        <v>674.44111456985365</v>
      </c>
      <c r="Y485" s="26" t="s">
        <v>389</v>
      </c>
      <c r="Z485" s="26">
        <f t="shared" si="168"/>
        <v>472.10878019889753</v>
      </c>
      <c r="AA485" s="26">
        <f t="shared" si="169"/>
        <v>1011.6616718547805</v>
      </c>
      <c r="AB485" s="25" t="s">
        <v>1191</v>
      </c>
      <c r="AC485" s="77" t="s">
        <v>400</v>
      </c>
      <c r="AF485" s="26" t="s">
        <v>1340</v>
      </c>
      <c r="AG485" s="25" t="s">
        <v>13</v>
      </c>
      <c r="AM485" s="26"/>
      <c r="AN485" s="26"/>
      <c r="AO485" s="26"/>
      <c r="AP485" s="26"/>
      <c r="AQ485" s="29"/>
      <c r="AR485" s="26"/>
      <c r="AS485" s="26"/>
      <c r="AT485" s="26"/>
      <c r="AU485" s="26"/>
      <c r="AV485" s="26"/>
      <c r="AX485" s="26" t="s">
        <v>13</v>
      </c>
      <c r="AY485" s="6" t="s">
        <v>896</v>
      </c>
      <c r="AZ485" s="97" t="s">
        <v>13</v>
      </c>
      <c r="BA485" s="62">
        <v>55.776863971710199</v>
      </c>
      <c r="BD485" s="26">
        <v>1151.96979181796</v>
      </c>
      <c r="BE485" s="25" t="s">
        <v>239</v>
      </c>
      <c r="BF485" s="26">
        <f t="shared" si="161"/>
        <v>1003.401306363892</v>
      </c>
      <c r="BG485" s="26">
        <f t="shared" si="162"/>
        <v>1363.472524673535</v>
      </c>
      <c r="BH485" s="83" t="s">
        <v>887</v>
      </c>
      <c r="BI485" s="25" t="s">
        <v>430</v>
      </c>
      <c r="BJ485" s="26">
        <v>854.83282090982402</v>
      </c>
      <c r="BK485" s="26">
        <v>1574.97525752911</v>
      </c>
      <c r="BL485" s="26" t="s">
        <v>13</v>
      </c>
      <c r="BM485" s="25" t="s">
        <v>13</v>
      </c>
      <c r="CA485" s="25" t="s">
        <v>13</v>
      </c>
      <c r="CC485" s="25" t="s">
        <v>13</v>
      </c>
    </row>
    <row r="486" spans="1:81">
      <c r="A486" s="6" t="s">
        <v>494</v>
      </c>
      <c r="B486" s="25" t="s">
        <v>315</v>
      </c>
      <c r="C486" s="76">
        <v>213.32599999999999</v>
      </c>
      <c r="F486" s="25">
        <f t="shared" si="165"/>
        <v>500</v>
      </c>
      <c r="G486" s="23" t="s">
        <v>389</v>
      </c>
      <c r="H486" s="23">
        <f t="shared" si="170"/>
        <v>250</v>
      </c>
      <c r="I486" s="23">
        <f t="shared" si="171"/>
        <v>1000</v>
      </c>
      <c r="J486" s="23" t="s">
        <v>481</v>
      </c>
      <c r="K486" s="23" t="s">
        <v>400</v>
      </c>
      <c r="L486" s="21">
        <v>500</v>
      </c>
      <c r="O486" s="21">
        <v>2800</v>
      </c>
      <c r="P486" s="25">
        <f t="shared" si="167"/>
        <v>2800</v>
      </c>
      <c r="Q486" s="25" t="s">
        <v>492</v>
      </c>
      <c r="R486" s="26" t="s">
        <v>13</v>
      </c>
      <c r="S486" s="6" t="s">
        <v>1131</v>
      </c>
      <c r="T486" s="44" t="s">
        <v>1161</v>
      </c>
      <c r="U486" s="62">
        <v>147</v>
      </c>
      <c r="V486" s="62">
        <v>152.1</v>
      </c>
      <c r="W486" s="62">
        <v>145</v>
      </c>
      <c r="X486" s="26">
        <v>724.73506660741862</v>
      </c>
      <c r="Y486" s="26" t="s">
        <v>389</v>
      </c>
      <c r="Z486" s="26">
        <f t="shared" si="168"/>
        <v>507.31454662519297</v>
      </c>
      <c r="AA486" s="26">
        <f t="shared" si="169"/>
        <v>1087.102599911128</v>
      </c>
      <c r="AB486" s="25" t="s">
        <v>1191</v>
      </c>
      <c r="AC486" s="77" t="s">
        <v>400</v>
      </c>
      <c r="AF486" s="26" t="s">
        <v>1341</v>
      </c>
      <c r="AG486" s="25" t="s">
        <v>13</v>
      </c>
      <c r="AM486" s="26"/>
      <c r="AN486" s="26"/>
      <c r="AO486" s="26"/>
      <c r="AP486" s="26"/>
      <c r="AQ486" s="29"/>
      <c r="AR486" s="26"/>
      <c r="AS486" s="26"/>
      <c r="AT486" s="26"/>
      <c r="AU486" s="26"/>
      <c r="AV486" s="26"/>
      <c r="AX486" s="26" t="s">
        <v>13</v>
      </c>
      <c r="AY486" s="6" t="s">
        <v>896</v>
      </c>
      <c r="AZ486" s="97" t="s">
        <v>13</v>
      </c>
      <c r="BA486" s="62">
        <v>55.791236038208005</v>
      </c>
      <c r="BD486" s="26">
        <v>1231.9401508887399</v>
      </c>
      <c r="BE486" s="25" t="s">
        <v>239</v>
      </c>
      <c r="BF486" s="26">
        <f t="shared" si="161"/>
        <v>1099.0810221755555</v>
      </c>
      <c r="BG486" s="26">
        <f t="shared" si="162"/>
        <v>1380.6314474067949</v>
      </c>
      <c r="BH486" s="83" t="s">
        <v>887</v>
      </c>
      <c r="BI486" s="25" t="s">
        <v>430</v>
      </c>
      <c r="BJ486" s="26">
        <v>966.22189346237099</v>
      </c>
      <c r="BK486" s="26">
        <v>1529.3227439248499</v>
      </c>
      <c r="BL486" s="26" t="s">
        <v>13</v>
      </c>
      <c r="BM486" s="25" t="s">
        <v>13</v>
      </c>
      <c r="CA486" s="25" t="s">
        <v>13</v>
      </c>
      <c r="CC486" s="25" t="s">
        <v>13</v>
      </c>
    </row>
    <row r="487" spans="1:81">
      <c r="A487" s="6" t="s">
        <v>494</v>
      </c>
      <c r="B487" s="25" t="s">
        <v>315</v>
      </c>
      <c r="C487" s="76">
        <v>213.17500000000001</v>
      </c>
      <c r="F487" s="25">
        <f t="shared" si="165"/>
        <v>546</v>
      </c>
      <c r="G487" s="23" t="s">
        <v>389</v>
      </c>
      <c r="H487" s="23">
        <f t="shared" si="170"/>
        <v>273</v>
      </c>
      <c r="I487" s="23">
        <f t="shared" si="171"/>
        <v>1092</v>
      </c>
      <c r="J487" s="23" t="s">
        <v>481</v>
      </c>
      <c r="K487" s="23" t="s">
        <v>400</v>
      </c>
      <c r="L487" s="21">
        <v>546</v>
      </c>
      <c r="O487" s="21">
        <v>2800</v>
      </c>
      <c r="P487" s="25">
        <f t="shared" si="167"/>
        <v>2800</v>
      </c>
      <c r="Q487" s="25" t="s">
        <v>492</v>
      </c>
      <c r="R487" s="26" t="s">
        <v>13</v>
      </c>
      <c r="S487" s="6" t="s">
        <v>1131</v>
      </c>
      <c r="T487" s="44" t="s">
        <v>1161</v>
      </c>
      <c r="U487" s="62">
        <v>148</v>
      </c>
      <c r="V487" s="62">
        <v>152.1</v>
      </c>
      <c r="W487" s="62">
        <v>145</v>
      </c>
      <c r="X487" s="26">
        <v>785.08378660285246</v>
      </c>
      <c r="Y487" s="26" t="s">
        <v>389</v>
      </c>
      <c r="Z487" s="26">
        <f t="shared" si="168"/>
        <v>549.55865062199666</v>
      </c>
      <c r="AA487" s="26">
        <f t="shared" si="169"/>
        <v>1177.6256799042787</v>
      </c>
      <c r="AB487" s="25" t="s">
        <v>1191</v>
      </c>
      <c r="AC487" s="77" t="s">
        <v>400</v>
      </c>
      <c r="AF487" s="26" t="s">
        <v>1342</v>
      </c>
      <c r="AG487" s="25" t="s">
        <v>13</v>
      </c>
      <c r="AM487" s="26"/>
      <c r="AN487" s="26"/>
      <c r="AO487" s="26"/>
      <c r="AP487" s="26"/>
      <c r="AQ487" s="29"/>
      <c r="AR487" s="26"/>
      <c r="AS487" s="26"/>
      <c r="AT487" s="26"/>
      <c r="AU487" s="26"/>
      <c r="AV487" s="26"/>
      <c r="AX487" s="26" t="s">
        <v>13</v>
      </c>
      <c r="AY487" s="6" t="s">
        <v>896</v>
      </c>
      <c r="AZ487" s="97" t="s">
        <v>13</v>
      </c>
      <c r="BA487" s="62">
        <v>55.808016517639153</v>
      </c>
      <c r="BD487" s="26">
        <v>1191.6124549486699</v>
      </c>
      <c r="BE487" s="25" t="s">
        <v>239</v>
      </c>
      <c r="BF487" s="26">
        <f t="shared" si="161"/>
        <v>1047.9246153422744</v>
      </c>
      <c r="BG487" s="26">
        <f t="shared" si="162"/>
        <v>1364.44534618036</v>
      </c>
      <c r="BH487" s="83" t="s">
        <v>738</v>
      </c>
      <c r="BI487" s="25" t="s">
        <v>430</v>
      </c>
      <c r="BJ487" s="26">
        <v>904.23677573587895</v>
      </c>
      <c r="BK487" s="26">
        <v>1537.27823741205</v>
      </c>
      <c r="BL487" s="26" t="s">
        <v>13</v>
      </c>
      <c r="BM487" s="25" t="s">
        <v>13</v>
      </c>
      <c r="CA487" s="25" t="s">
        <v>13</v>
      </c>
      <c r="CC487" s="25" t="s">
        <v>13</v>
      </c>
    </row>
    <row r="488" spans="1:81">
      <c r="A488" s="6" t="s">
        <v>494</v>
      </c>
      <c r="B488" s="25" t="s">
        <v>315</v>
      </c>
      <c r="C488" s="76">
        <v>213.124</v>
      </c>
      <c r="F488" s="25">
        <f t="shared" si="165"/>
        <v>501</v>
      </c>
      <c r="G488" s="23" t="s">
        <v>389</v>
      </c>
      <c r="H488" s="23">
        <f t="shared" si="170"/>
        <v>250.5</v>
      </c>
      <c r="I488" s="23">
        <f t="shared" si="171"/>
        <v>1002</v>
      </c>
      <c r="J488" s="23" t="s">
        <v>481</v>
      </c>
      <c r="K488" s="23" t="s">
        <v>400</v>
      </c>
      <c r="L488" s="21">
        <v>501</v>
      </c>
      <c r="O488" s="21">
        <v>2800</v>
      </c>
      <c r="P488" s="25">
        <f t="shared" si="167"/>
        <v>2800</v>
      </c>
      <c r="Q488" s="25" t="s">
        <v>492</v>
      </c>
      <c r="R488" s="26" t="s">
        <v>13</v>
      </c>
      <c r="S488" s="6" t="s">
        <v>1131</v>
      </c>
      <c r="T488" s="44" t="s">
        <v>1161</v>
      </c>
      <c r="U488" s="62">
        <v>148</v>
      </c>
      <c r="V488" s="62">
        <v>152.1</v>
      </c>
      <c r="W488" s="62">
        <v>145</v>
      </c>
      <c r="X488" s="26">
        <v>588.58223777969738</v>
      </c>
      <c r="Y488" s="26" t="s">
        <v>389</v>
      </c>
      <c r="Z488" s="26">
        <f t="shared" si="168"/>
        <v>412.00756644578814</v>
      </c>
      <c r="AA488" s="26">
        <f t="shared" si="169"/>
        <v>882.87335666954607</v>
      </c>
      <c r="AB488" s="25" t="s">
        <v>1191</v>
      </c>
      <c r="AC488" s="77" t="s">
        <v>400</v>
      </c>
      <c r="AF488" s="26" t="s">
        <v>1343</v>
      </c>
      <c r="AG488" s="25" t="s">
        <v>13</v>
      </c>
      <c r="AM488" s="26"/>
      <c r="AN488" s="26"/>
      <c r="AO488" s="26"/>
      <c r="AP488" s="26"/>
      <c r="AQ488" s="29"/>
      <c r="AR488" s="26"/>
      <c r="AS488" s="26"/>
      <c r="AT488" s="26"/>
      <c r="AU488" s="26"/>
      <c r="AV488" s="26"/>
      <c r="AX488" s="26" t="s">
        <v>13</v>
      </c>
      <c r="AY488" s="6" t="s">
        <v>896</v>
      </c>
      <c r="AZ488" s="97" t="s">
        <v>13</v>
      </c>
      <c r="BA488" s="62">
        <v>55.82225262832641</v>
      </c>
      <c r="BD488" s="26">
        <v>1201.46513175623</v>
      </c>
      <c r="BE488" s="25" t="s">
        <v>239</v>
      </c>
      <c r="BF488" s="26">
        <f t="shared" si="161"/>
        <v>1068.7076759557885</v>
      </c>
      <c r="BG488" s="26">
        <f t="shared" si="162"/>
        <v>1374.1926224502699</v>
      </c>
      <c r="BH488" s="83" t="s">
        <v>887</v>
      </c>
      <c r="BI488" s="25" t="s">
        <v>430</v>
      </c>
      <c r="BJ488" s="26">
        <v>935.95022015534698</v>
      </c>
      <c r="BK488" s="26">
        <v>1546.9201131443099</v>
      </c>
      <c r="BL488" s="26" t="s">
        <v>13</v>
      </c>
      <c r="BM488" s="25" t="s">
        <v>13</v>
      </c>
      <c r="CA488" s="25" t="s">
        <v>13</v>
      </c>
      <c r="CC488" s="25" t="s">
        <v>13</v>
      </c>
    </row>
    <row r="489" spans="1:81">
      <c r="A489" s="6" t="s">
        <v>494</v>
      </c>
      <c r="B489" s="25" t="s">
        <v>315</v>
      </c>
      <c r="C489" s="76">
        <v>212.96899999999999</v>
      </c>
      <c r="F489" s="25">
        <f t="shared" si="165"/>
        <v>523</v>
      </c>
      <c r="G489" s="23" t="s">
        <v>389</v>
      </c>
      <c r="H489" s="23">
        <f t="shared" si="170"/>
        <v>261.5</v>
      </c>
      <c r="I489" s="23">
        <f t="shared" si="171"/>
        <v>1046</v>
      </c>
      <c r="J489" s="23" t="s">
        <v>481</v>
      </c>
      <c r="K489" s="23" t="s">
        <v>400</v>
      </c>
      <c r="L489" s="21">
        <v>523</v>
      </c>
      <c r="O489" s="21">
        <v>2800</v>
      </c>
      <c r="P489" s="25">
        <f t="shared" si="167"/>
        <v>2800</v>
      </c>
      <c r="Q489" s="25" t="s">
        <v>492</v>
      </c>
      <c r="R489" s="26" t="s">
        <v>13</v>
      </c>
      <c r="S489" s="6" t="s">
        <v>1131</v>
      </c>
      <c r="T489" s="44" t="s">
        <v>1158</v>
      </c>
      <c r="U489" s="62">
        <v>148</v>
      </c>
      <c r="V489" s="62">
        <v>150</v>
      </c>
      <c r="W489" s="62">
        <v>138</v>
      </c>
      <c r="X489" s="26">
        <v>617.90447352556419</v>
      </c>
      <c r="Y489" s="26" t="s">
        <v>389</v>
      </c>
      <c r="Z489" s="26">
        <f t="shared" si="168"/>
        <v>432.53313146789492</v>
      </c>
      <c r="AA489" s="26">
        <f t="shared" si="169"/>
        <v>926.85671028834622</v>
      </c>
      <c r="AB489" s="25" t="s">
        <v>1191</v>
      </c>
      <c r="AC489" s="77" t="s">
        <v>400</v>
      </c>
      <c r="AF489" s="26" t="s">
        <v>1344</v>
      </c>
      <c r="AG489" s="25" t="s">
        <v>13</v>
      </c>
      <c r="AM489" s="26"/>
      <c r="AN489" s="26"/>
      <c r="AO489" s="26"/>
      <c r="AP489" s="26"/>
      <c r="AQ489" s="29"/>
      <c r="AR489" s="26"/>
      <c r="AS489" s="26"/>
      <c r="AT489" s="26"/>
      <c r="AU489" s="26"/>
      <c r="AV489" s="26"/>
      <c r="AX489" s="26" t="s">
        <v>13</v>
      </c>
      <c r="AY489" s="6" t="s">
        <v>896</v>
      </c>
      <c r="AZ489" s="97" t="s">
        <v>13</v>
      </c>
      <c r="BA489" s="62">
        <v>55.830169338226312</v>
      </c>
      <c r="BD489" s="26">
        <v>1140.31723423169</v>
      </c>
      <c r="BE489" s="25" t="s">
        <v>239</v>
      </c>
      <c r="BF489" s="26">
        <f t="shared" si="161"/>
        <v>1036.682331320462</v>
      </c>
      <c r="BG489" s="26">
        <f t="shared" si="162"/>
        <v>1264.4194472547201</v>
      </c>
      <c r="BH489" s="83" t="s">
        <v>738</v>
      </c>
      <c r="BI489" s="25" t="s">
        <v>430</v>
      </c>
      <c r="BJ489" s="26">
        <v>933.04742840923393</v>
      </c>
      <c r="BK489" s="26">
        <v>1388.52166027775</v>
      </c>
      <c r="BL489" s="26" t="s">
        <v>13</v>
      </c>
      <c r="BM489" s="25" t="s">
        <v>13</v>
      </c>
      <c r="CA489" s="25" t="s">
        <v>13</v>
      </c>
      <c r="CC489" s="25" t="s">
        <v>13</v>
      </c>
    </row>
    <row r="490" spans="1:81">
      <c r="A490" s="6" t="s">
        <v>494</v>
      </c>
      <c r="B490" s="25" t="s">
        <v>315</v>
      </c>
      <c r="C490" s="76">
        <v>212.71100000000001</v>
      </c>
      <c r="F490" s="25">
        <f t="shared" si="165"/>
        <v>170</v>
      </c>
      <c r="G490" s="23" t="s">
        <v>389</v>
      </c>
      <c r="H490" s="23">
        <f t="shared" si="170"/>
        <v>85</v>
      </c>
      <c r="I490" s="23">
        <f t="shared" si="171"/>
        <v>340</v>
      </c>
      <c r="J490" s="23" t="s">
        <v>481</v>
      </c>
      <c r="K490" s="23" t="s">
        <v>400</v>
      </c>
      <c r="L490" s="21">
        <v>170</v>
      </c>
      <c r="O490" s="21">
        <v>2800</v>
      </c>
      <c r="P490" s="25">
        <f t="shared" si="167"/>
        <v>2800</v>
      </c>
      <c r="Q490" s="25" t="s">
        <v>492</v>
      </c>
      <c r="R490" s="26" t="s">
        <v>13</v>
      </c>
      <c r="S490" s="6" t="s">
        <v>1131</v>
      </c>
      <c r="T490" s="44" t="s">
        <v>1161</v>
      </c>
      <c r="U490" s="62">
        <v>149</v>
      </c>
      <c r="V490" s="62">
        <v>152.1</v>
      </c>
      <c r="W490" s="62">
        <v>145</v>
      </c>
      <c r="X490" s="26">
        <v>747.11656607557074</v>
      </c>
      <c r="Y490" s="26" t="s">
        <v>389</v>
      </c>
      <c r="Z490" s="26">
        <f t="shared" si="168"/>
        <v>522.98159625289952</v>
      </c>
      <c r="AA490" s="26">
        <f t="shared" si="169"/>
        <v>1120.6748491133562</v>
      </c>
      <c r="AB490" s="25" t="s">
        <v>1191</v>
      </c>
      <c r="AC490" s="77" t="s">
        <v>400</v>
      </c>
      <c r="AF490" s="26" t="s">
        <v>1345</v>
      </c>
      <c r="AG490" s="25" t="s">
        <v>13</v>
      </c>
      <c r="AM490" s="26"/>
      <c r="AN490" s="26"/>
      <c r="AO490" s="26"/>
      <c r="AP490" s="26"/>
      <c r="AQ490" s="29"/>
      <c r="AR490" s="26"/>
      <c r="AS490" s="26"/>
      <c r="AT490" s="26"/>
      <c r="AU490" s="26"/>
      <c r="AV490" s="26"/>
      <c r="AX490" s="26" t="s">
        <v>13</v>
      </c>
      <c r="AY490" s="6" t="s">
        <v>896</v>
      </c>
      <c r="AZ490" s="97" t="s">
        <v>13</v>
      </c>
      <c r="BA490" s="62">
        <v>55.836766263961785</v>
      </c>
      <c r="BD490" s="26">
        <v>1874.5663396500602</v>
      </c>
      <c r="BE490" s="25" t="s">
        <v>239</v>
      </c>
      <c r="BF490" s="26">
        <f t="shared" si="161"/>
        <v>1596.7694837242402</v>
      </c>
      <c r="BG490" s="26">
        <f t="shared" si="162"/>
        <v>2288.4938888469951</v>
      </c>
      <c r="BH490" s="83" t="s">
        <v>887</v>
      </c>
      <c r="BI490" s="25" t="s">
        <v>430</v>
      </c>
      <c r="BJ490" s="26">
        <v>1318.97262779842</v>
      </c>
      <c r="BK490" s="26">
        <v>2702.4214380439303</v>
      </c>
      <c r="BL490" s="26" t="s">
        <v>13</v>
      </c>
      <c r="BM490" s="25" t="s">
        <v>13</v>
      </c>
      <c r="CA490" s="25" t="s">
        <v>13</v>
      </c>
      <c r="CC490" s="25" t="s">
        <v>13</v>
      </c>
    </row>
    <row r="491" spans="1:81">
      <c r="A491" s="6" t="s">
        <v>494</v>
      </c>
      <c r="B491" s="25" t="s">
        <v>315</v>
      </c>
      <c r="C491" s="76">
        <v>212.55699999999999</v>
      </c>
      <c r="F491" s="25">
        <f t="shared" si="165"/>
        <v>738</v>
      </c>
      <c r="G491" s="23" t="s">
        <v>389</v>
      </c>
      <c r="H491" s="23">
        <f t="shared" si="170"/>
        <v>369</v>
      </c>
      <c r="I491" s="23">
        <f t="shared" si="171"/>
        <v>1476</v>
      </c>
      <c r="J491" s="23" t="s">
        <v>481</v>
      </c>
      <c r="K491" s="23" t="s">
        <v>400</v>
      </c>
      <c r="L491" s="21">
        <v>738</v>
      </c>
      <c r="O491" s="21">
        <v>2800</v>
      </c>
      <c r="P491" s="25">
        <f t="shared" si="167"/>
        <v>2800</v>
      </c>
      <c r="Q491" s="25" t="s">
        <v>492</v>
      </c>
      <c r="R491" s="26" t="s">
        <v>13</v>
      </c>
      <c r="S491" s="6" t="s">
        <v>1131</v>
      </c>
      <c r="T491" s="44" t="s">
        <v>1161</v>
      </c>
      <c r="U491" s="62">
        <v>149</v>
      </c>
      <c r="V491" s="62">
        <v>152.1</v>
      </c>
      <c r="W491" s="62">
        <v>145</v>
      </c>
      <c r="X491" s="26">
        <v>662.84521590517556</v>
      </c>
      <c r="Y491" s="26" t="s">
        <v>389</v>
      </c>
      <c r="Z491" s="26">
        <f t="shared" si="168"/>
        <v>463.99165113362284</v>
      </c>
      <c r="AA491" s="26">
        <f t="shared" si="169"/>
        <v>994.26782385776335</v>
      </c>
      <c r="AB491" s="25" t="s">
        <v>1191</v>
      </c>
      <c r="AC491" s="77" t="s">
        <v>400</v>
      </c>
      <c r="AF491" s="26" t="s">
        <v>1346</v>
      </c>
      <c r="AG491" s="25" t="s">
        <v>13</v>
      </c>
      <c r="AM491" s="26"/>
      <c r="AN491" s="26"/>
      <c r="AO491" s="26"/>
      <c r="AP491" s="26"/>
      <c r="AQ491" s="29"/>
      <c r="AR491" s="26"/>
      <c r="AS491" s="26"/>
      <c r="AT491" s="26"/>
      <c r="AU491" s="26"/>
      <c r="AV491" s="26"/>
      <c r="AX491" s="26" t="s">
        <v>13</v>
      </c>
      <c r="AY491" s="6" t="s">
        <v>896</v>
      </c>
      <c r="AZ491" s="97" t="s">
        <v>13</v>
      </c>
      <c r="BA491" s="62">
        <v>55.843364194869991</v>
      </c>
      <c r="BD491" s="26">
        <v>989.75892661846194</v>
      </c>
      <c r="BE491" s="25" t="s">
        <v>239</v>
      </c>
      <c r="BF491" s="26">
        <f t="shared" si="161"/>
        <v>891.38593120360088</v>
      </c>
      <c r="BG491" s="26">
        <f t="shared" si="162"/>
        <v>1099.7250655025559</v>
      </c>
      <c r="BH491" s="83" t="s">
        <v>738</v>
      </c>
      <c r="BI491" s="25" t="s">
        <v>430</v>
      </c>
      <c r="BJ491" s="26">
        <v>793.01293578873992</v>
      </c>
      <c r="BK491" s="26">
        <v>1209.6912043866498</v>
      </c>
      <c r="BL491" s="26" t="s">
        <v>13</v>
      </c>
      <c r="BM491" s="25" t="s">
        <v>13</v>
      </c>
      <c r="CA491" s="25" t="s">
        <v>13</v>
      </c>
      <c r="CC491" s="25" t="s">
        <v>13</v>
      </c>
    </row>
    <row r="492" spans="1:81">
      <c r="A492" s="6" t="s">
        <v>494</v>
      </c>
      <c r="B492" s="25" t="s">
        <v>315</v>
      </c>
      <c r="C492" s="76">
        <v>212.505</v>
      </c>
      <c r="F492" s="25">
        <f t="shared" si="165"/>
        <v>1463</v>
      </c>
      <c r="G492" s="23" t="s">
        <v>389</v>
      </c>
      <c r="H492" s="23">
        <f t="shared" si="170"/>
        <v>731.5</v>
      </c>
      <c r="I492" s="23">
        <f t="shared" si="171"/>
        <v>2926</v>
      </c>
      <c r="J492" s="23" t="s">
        <v>481</v>
      </c>
      <c r="K492" s="23" t="s">
        <v>400</v>
      </c>
      <c r="L492" s="21">
        <v>1463</v>
      </c>
      <c r="O492" s="21">
        <v>2800</v>
      </c>
      <c r="P492" s="25">
        <f t="shared" si="167"/>
        <v>2800</v>
      </c>
      <c r="Q492" s="25" t="s">
        <v>492</v>
      </c>
      <c r="R492" s="26" t="s">
        <v>13</v>
      </c>
      <c r="S492" s="6" t="s">
        <v>1131</v>
      </c>
      <c r="T492" s="44" t="s">
        <v>1161</v>
      </c>
      <c r="U492" s="62">
        <v>150</v>
      </c>
      <c r="V492" s="62">
        <v>152.1</v>
      </c>
      <c r="W492" s="62">
        <v>145</v>
      </c>
      <c r="X492" s="26">
        <v>727.16776846874313</v>
      </c>
      <c r="Y492" s="26" t="s">
        <v>389</v>
      </c>
      <c r="Z492" s="26">
        <f t="shared" si="168"/>
        <v>509.01743792812016</v>
      </c>
      <c r="AA492" s="26">
        <f t="shared" si="169"/>
        <v>1090.7516527031148</v>
      </c>
      <c r="AB492" s="25" t="s">
        <v>1191</v>
      </c>
      <c r="AC492" s="77" t="s">
        <v>400</v>
      </c>
      <c r="AF492" s="26" t="s">
        <v>1347</v>
      </c>
      <c r="AG492" s="25" t="s">
        <v>13</v>
      </c>
      <c r="AM492" s="26"/>
      <c r="AN492" s="26"/>
      <c r="AO492" s="26"/>
      <c r="AP492" s="26"/>
      <c r="AQ492" s="29"/>
      <c r="AR492" s="26"/>
      <c r="AS492" s="26"/>
      <c r="AT492" s="26"/>
      <c r="AU492" s="26"/>
      <c r="AV492" s="26"/>
      <c r="AX492" s="26" t="s">
        <v>13</v>
      </c>
      <c r="AY492" s="6" t="s">
        <v>896</v>
      </c>
      <c r="AZ492" s="97" t="s">
        <v>13</v>
      </c>
      <c r="BA492" s="62">
        <v>55.851280906677239</v>
      </c>
      <c r="BD492" s="26">
        <v>1964.0208343398199</v>
      </c>
      <c r="BE492" s="25" t="s">
        <v>239</v>
      </c>
      <c r="BF492" s="26">
        <f t="shared" si="161"/>
        <v>1602.0421501005999</v>
      </c>
      <c r="BG492" s="26">
        <f t="shared" si="162"/>
        <v>2626.65637555289</v>
      </c>
      <c r="BH492" s="83" t="s">
        <v>887</v>
      </c>
      <c r="BI492" s="25" t="s">
        <v>430</v>
      </c>
      <c r="BJ492" s="26">
        <v>1240.0634658613801</v>
      </c>
      <c r="BK492" s="26">
        <v>3289.2919167659602</v>
      </c>
      <c r="BL492" s="26" t="s">
        <v>13</v>
      </c>
      <c r="BM492" s="25" t="s">
        <v>13</v>
      </c>
      <c r="CA492" s="25" t="s">
        <v>13</v>
      </c>
      <c r="CC492" s="25" t="s">
        <v>13</v>
      </c>
    </row>
    <row r="493" spans="1:81">
      <c r="A493" s="6" t="s">
        <v>494</v>
      </c>
      <c r="B493" s="25" t="s">
        <v>315</v>
      </c>
      <c r="C493" s="76">
        <v>212.35</v>
      </c>
      <c r="F493" s="25">
        <f t="shared" si="165"/>
        <v>522</v>
      </c>
      <c r="G493" s="23" t="s">
        <v>389</v>
      </c>
      <c r="H493" s="23">
        <f t="shared" si="170"/>
        <v>261</v>
      </c>
      <c r="I493" s="23">
        <f t="shared" si="171"/>
        <v>1044</v>
      </c>
      <c r="J493" s="23" t="s">
        <v>481</v>
      </c>
      <c r="K493" s="23" t="s">
        <v>400</v>
      </c>
      <c r="L493" s="21">
        <v>522</v>
      </c>
      <c r="O493" s="21">
        <v>2800</v>
      </c>
      <c r="P493" s="25">
        <f t="shared" si="167"/>
        <v>2800</v>
      </c>
      <c r="Q493" s="25" t="s">
        <v>492</v>
      </c>
      <c r="R493" s="26" t="s">
        <v>13</v>
      </c>
      <c r="S493" s="6" t="s">
        <v>1131</v>
      </c>
      <c r="T493" s="44" t="s">
        <v>1161</v>
      </c>
      <c r="U493" s="62">
        <v>150</v>
      </c>
      <c r="V493" s="62">
        <v>152.1</v>
      </c>
      <c r="W493" s="62">
        <v>145</v>
      </c>
      <c r="X493" s="26">
        <v>788.17579478058587</v>
      </c>
      <c r="Y493" s="26" t="s">
        <v>389</v>
      </c>
      <c r="Z493" s="26">
        <f t="shared" si="168"/>
        <v>551.72305634641009</v>
      </c>
      <c r="AA493" s="26">
        <f t="shared" si="169"/>
        <v>1182.2636921708788</v>
      </c>
      <c r="AB493" s="25" t="s">
        <v>1191</v>
      </c>
      <c r="AC493" s="77" t="s">
        <v>400</v>
      </c>
      <c r="AF493" s="26" t="s">
        <v>1348</v>
      </c>
      <c r="AG493" s="25" t="s">
        <v>13</v>
      </c>
      <c r="AM493" s="26"/>
      <c r="AN493" s="26"/>
      <c r="AO493" s="26"/>
      <c r="AP493" s="26"/>
      <c r="AQ493" s="29"/>
      <c r="AR493" s="26"/>
      <c r="AS493" s="26"/>
      <c r="AT493" s="26"/>
      <c r="AU493" s="26"/>
      <c r="AV493" s="26"/>
      <c r="AX493" s="26" t="s">
        <v>13</v>
      </c>
      <c r="AY493" s="6" t="s">
        <v>896</v>
      </c>
      <c r="AZ493" s="97" t="s">
        <v>13</v>
      </c>
      <c r="BA493" s="62">
        <v>55.881160749435423</v>
      </c>
      <c r="BD493" s="26">
        <v>2901.35781300697</v>
      </c>
      <c r="BE493" s="25" t="s">
        <v>239</v>
      </c>
      <c r="BF493" s="26">
        <f t="shared" si="161"/>
        <v>2427.246621724275</v>
      </c>
      <c r="BG493" s="26">
        <f t="shared" si="162"/>
        <v>3707.5169089783449</v>
      </c>
      <c r="BH493" s="83" t="s">
        <v>738</v>
      </c>
      <c r="BI493" s="25" t="s">
        <v>430</v>
      </c>
      <c r="BJ493" s="26">
        <v>1953.13543044158</v>
      </c>
      <c r="BK493" s="26">
        <v>4513.6760049497198</v>
      </c>
      <c r="BL493" s="26" t="s">
        <v>13</v>
      </c>
      <c r="BM493" s="25" t="s">
        <v>13</v>
      </c>
      <c r="CA493" s="25" t="s">
        <v>13</v>
      </c>
      <c r="CC493" s="25" t="s">
        <v>13</v>
      </c>
    </row>
    <row r="494" spans="1:81">
      <c r="A494" s="6" t="s">
        <v>494</v>
      </c>
      <c r="B494" s="25" t="s">
        <v>315</v>
      </c>
      <c r="C494" s="76">
        <v>212.24700000000001</v>
      </c>
      <c r="F494" s="25">
        <f t="shared" si="165"/>
        <v>713</v>
      </c>
      <c r="G494" s="23" t="s">
        <v>389</v>
      </c>
      <c r="H494" s="23">
        <f t="shared" si="170"/>
        <v>356.5</v>
      </c>
      <c r="I494" s="23">
        <f t="shared" si="171"/>
        <v>1426</v>
      </c>
      <c r="J494" s="23" t="s">
        <v>481</v>
      </c>
      <c r="K494" s="23" t="s">
        <v>400</v>
      </c>
      <c r="L494" s="21">
        <v>713</v>
      </c>
      <c r="O494" s="21">
        <v>2800</v>
      </c>
      <c r="P494" s="25">
        <f t="shared" si="167"/>
        <v>2800</v>
      </c>
      <c r="Q494" s="25" t="s">
        <v>492</v>
      </c>
      <c r="R494" s="26" t="s">
        <v>13</v>
      </c>
      <c r="S494" s="6" t="s">
        <v>1131</v>
      </c>
      <c r="T494" s="44" t="s">
        <v>1158</v>
      </c>
      <c r="U494" s="62">
        <v>150</v>
      </c>
      <c r="V494" s="62">
        <v>150</v>
      </c>
      <c r="W494" s="62">
        <v>138</v>
      </c>
      <c r="X494" s="26">
        <v>601.2635654658925</v>
      </c>
      <c r="Y494" s="26" t="s">
        <v>389</v>
      </c>
      <c r="Z494" s="26">
        <f t="shared" si="168"/>
        <v>420.88449582612475</v>
      </c>
      <c r="AA494" s="26">
        <f t="shared" si="169"/>
        <v>901.89534819883875</v>
      </c>
      <c r="AB494" s="25" t="s">
        <v>1191</v>
      </c>
      <c r="AC494" s="77" t="s">
        <v>400</v>
      </c>
      <c r="AF494" s="26" t="s">
        <v>1349</v>
      </c>
      <c r="AG494" s="25" t="s">
        <v>13</v>
      </c>
      <c r="AM494" s="26"/>
      <c r="AN494" s="26"/>
      <c r="AO494" s="26"/>
      <c r="AP494" s="26"/>
      <c r="AQ494" s="29"/>
      <c r="AR494" s="26"/>
      <c r="AS494" s="26"/>
      <c r="AT494" s="26"/>
      <c r="AU494" s="26"/>
      <c r="AV494" s="26"/>
      <c r="AX494" s="26" t="s">
        <v>13</v>
      </c>
      <c r="AY494" s="6" t="s">
        <v>896</v>
      </c>
      <c r="AZ494" s="97" t="s">
        <v>13</v>
      </c>
      <c r="BA494" s="62">
        <v>55.891575670003888</v>
      </c>
      <c r="BD494" s="26">
        <v>1531.93368425827</v>
      </c>
      <c r="BE494" s="25" t="s">
        <v>239</v>
      </c>
      <c r="BF494" s="26">
        <f t="shared" ref="BF494:BF506" si="172">BD494-0.5*(BD494-BJ494)</f>
        <v>1359.499619571475</v>
      </c>
      <c r="BG494" s="26">
        <f t="shared" ref="BG494:BG506" si="173">BD494+0.5*(BK494-BD494)</f>
        <v>1778.5615610724349</v>
      </c>
      <c r="BH494" s="83" t="s">
        <v>887</v>
      </c>
      <c r="BI494" s="25" t="s">
        <v>430</v>
      </c>
      <c r="BJ494" s="26">
        <v>1187.0655548846801</v>
      </c>
      <c r="BK494" s="26">
        <v>2025.1894378866</v>
      </c>
      <c r="BL494" s="26" t="s">
        <v>13</v>
      </c>
      <c r="BM494" s="25" t="s">
        <v>13</v>
      </c>
      <c r="CA494" s="25" t="s">
        <v>13</v>
      </c>
      <c r="CC494" s="25" t="s">
        <v>13</v>
      </c>
    </row>
    <row r="495" spans="1:81">
      <c r="A495" s="6" t="s">
        <v>494</v>
      </c>
      <c r="B495" s="25" t="s">
        <v>315</v>
      </c>
      <c r="C495" s="76">
        <v>212.14400000000001</v>
      </c>
      <c r="F495" s="25">
        <f t="shared" si="165"/>
        <v>708</v>
      </c>
      <c r="G495" s="23" t="s">
        <v>389</v>
      </c>
      <c r="H495" s="23">
        <f t="shared" si="170"/>
        <v>354</v>
      </c>
      <c r="I495" s="23">
        <f t="shared" si="171"/>
        <v>1416</v>
      </c>
      <c r="J495" s="23" t="s">
        <v>481</v>
      </c>
      <c r="K495" s="23" t="s">
        <v>400</v>
      </c>
      <c r="L495" s="21">
        <v>708</v>
      </c>
      <c r="O495" s="21">
        <v>2800</v>
      </c>
      <c r="P495" s="25">
        <f t="shared" si="167"/>
        <v>2800</v>
      </c>
      <c r="Q495" s="25" t="s">
        <v>492</v>
      </c>
      <c r="R495" s="26" t="s">
        <v>13</v>
      </c>
      <c r="S495" s="6" t="s">
        <v>1131</v>
      </c>
      <c r="T495" s="44" t="s">
        <v>1162</v>
      </c>
      <c r="U495" s="62">
        <v>154.69999999999999</v>
      </c>
      <c r="V495" s="62">
        <v>157.30000000000001</v>
      </c>
      <c r="W495" s="62">
        <v>152.1</v>
      </c>
      <c r="X495" s="26">
        <v>675.48852297752535</v>
      </c>
      <c r="Y495" s="26" t="s">
        <v>389</v>
      </c>
      <c r="Z495" s="26">
        <f t="shared" si="168"/>
        <v>472.84196608426771</v>
      </c>
      <c r="AA495" s="26">
        <f t="shared" si="169"/>
        <v>1013.232784466288</v>
      </c>
      <c r="AB495" s="25" t="s">
        <v>1191</v>
      </c>
      <c r="AC495" s="77" t="s">
        <v>400</v>
      </c>
      <c r="AF495" s="26">
        <v>62311</v>
      </c>
      <c r="AG495" s="25" t="s">
        <v>13</v>
      </c>
      <c r="AM495" s="26"/>
      <c r="AN495" s="26"/>
      <c r="AO495" s="26"/>
      <c r="AP495" s="26"/>
      <c r="AQ495" s="29"/>
      <c r="AR495" s="26"/>
      <c r="AS495" s="26"/>
      <c r="AT495" s="26"/>
      <c r="AU495" s="26"/>
      <c r="AV495" s="26"/>
      <c r="AX495" s="26" t="s">
        <v>13</v>
      </c>
      <c r="AY495" s="6" t="s">
        <v>896</v>
      </c>
      <c r="AZ495" s="97" t="s">
        <v>13</v>
      </c>
      <c r="BA495" s="62">
        <v>55.901636981248849</v>
      </c>
      <c r="BD495" s="26">
        <v>1968.01449647965</v>
      </c>
      <c r="BE495" s="25" t="s">
        <v>239</v>
      </c>
      <c r="BF495" s="26">
        <f t="shared" si="172"/>
        <v>1708.1135426198598</v>
      </c>
      <c r="BG495" s="26">
        <f t="shared" si="173"/>
        <v>2290.02223396415</v>
      </c>
      <c r="BH495" s="83" t="s">
        <v>887</v>
      </c>
      <c r="BI495" s="25" t="s">
        <v>430</v>
      </c>
      <c r="BJ495" s="26">
        <v>1448.2125887600698</v>
      </c>
      <c r="BK495" s="26">
        <v>2612.02997144865</v>
      </c>
      <c r="BL495" s="26" t="s">
        <v>13</v>
      </c>
      <c r="BM495" s="25" t="s">
        <v>13</v>
      </c>
      <c r="CA495" s="25" t="s">
        <v>13</v>
      </c>
      <c r="CC495" s="25" t="s">
        <v>13</v>
      </c>
    </row>
    <row r="496" spans="1:81">
      <c r="A496" s="6" t="s">
        <v>494</v>
      </c>
      <c r="B496" s="25" t="s">
        <v>315</v>
      </c>
      <c r="C496" s="76">
        <v>211.989</v>
      </c>
      <c r="F496" s="25">
        <f t="shared" si="165"/>
        <v>10</v>
      </c>
      <c r="G496" s="23" t="s">
        <v>389</v>
      </c>
      <c r="H496" s="23">
        <f t="shared" si="170"/>
        <v>5</v>
      </c>
      <c r="I496" s="23">
        <f t="shared" si="171"/>
        <v>20</v>
      </c>
      <c r="J496" s="23" t="s">
        <v>481</v>
      </c>
      <c r="K496" s="23" t="s">
        <v>400</v>
      </c>
      <c r="L496" s="21">
        <v>10</v>
      </c>
      <c r="O496" s="21">
        <v>2800</v>
      </c>
      <c r="P496" s="25">
        <f t="shared" si="167"/>
        <v>2800</v>
      </c>
      <c r="Q496" s="25" t="s">
        <v>492</v>
      </c>
      <c r="R496" s="26" t="s">
        <v>13</v>
      </c>
      <c r="S496" s="6" t="s">
        <v>1131</v>
      </c>
      <c r="T496" s="44" t="s">
        <v>1162</v>
      </c>
      <c r="U496" s="62">
        <v>154.69999999999999</v>
      </c>
      <c r="V496" s="62">
        <v>157.30000000000001</v>
      </c>
      <c r="W496" s="62">
        <v>152.1</v>
      </c>
      <c r="X496" s="26">
        <v>707.29211537932463</v>
      </c>
      <c r="Y496" s="26" t="s">
        <v>389</v>
      </c>
      <c r="Z496" s="26">
        <f t="shared" si="168"/>
        <v>495.10448076552723</v>
      </c>
      <c r="AA496" s="26">
        <f t="shared" si="169"/>
        <v>1060.938173068987</v>
      </c>
      <c r="AB496" s="25" t="s">
        <v>1191</v>
      </c>
      <c r="AC496" s="77" t="s">
        <v>400</v>
      </c>
      <c r="AF496" s="26">
        <v>320005</v>
      </c>
      <c r="AG496" s="25" t="s">
        <v>13</v>
      </c>
      <c r="AM496" s="26"/>
      <c r="AN496" s="26"/>
      <c r="AO496" s="26"/>
      <c r="AP496" s="26"/>
      <c r="AQ496" s="29"/>
      <c r="AR496" s="26"/>
      <c r="AS496" s="26"/>
      <c r="AT496" s="26"/>
      <c r="AU496" s="26"/>
      <c r="AV496" s="26"/>
      <c r="AX496" s="26" t="s">
        <v>13</v>
      </c>
      <c r="AY496" s="6" t="s">
        <v>896</v>
      </c>
      <c r="AZ496" s="97" t="s">
        <v>13</v>
      </c>
      <c r="BA496" s="62">
        <v>55.906725334167476</v>
      </c>
      <c r="BD496" s="26">
        <v>817.94312061251003</v>
      </c>
      <c r="BE496" s="25" t="s">
        <v>239</v>
      </c>
      <c r="BF496" s="26">
        <f t="shared" si="172"/>
        <v>726.7855856050785</v>
      </c>
      <c r="BG496" s="26">
        <f t="shared" si="173"/>
        <v>938.43354943218503</v>
      </c>
      <c r="BH496" s="83" t="s">
        <v>738</v>
      </c>
      <c r="BI496" s="25" t="s">
        <v>430</v>
      </c>
      <c r="BJ496" s="26">
        <v>635.62805059764696</v>
      </c>
      <c r="BK496" s="26">
        <v>1058.92397825186</v>
      </c>
      <c r="BL496" s="26" t="s">
        <v>13</v>
      </c>
      <c r="BM496" s="25" t="s">
        <v>13</v>
      </c>
      <c r="CA496" s="25" t="s">
        <v>13</v>
      </c>
      <c r="CC496" s="25" t="s">
        <v>13</v>
      </c>
    </row>
    <row r="497" spans="1:81">
      <c r="A497" s="6" t="s">
        <v>494</v>
      </c>
      <c r="B497" s="25" t="s">
        <v>315</v>
      </c>
      <c r="C497" s="76">
        <v>211.68</v>
      </c>
      <c r="F497" s="25">
        <f t="shared" si="165"/>
        <v>683</v>
      </c>
      <c r="G497" s="23" t="s">
        <v>389</v>
      </c>
      <c r="H497" s="23">
        <f t="shared" si="170"/>
        <v>341.5</v>
      </c>
      <c r="I497" s="23">
        <f t="shared" si="171"/>
        <v>1366</v>
      </c>
      <c r="J497" s="23" t="s">
        <v>481</v>
      </c>
      <c r="K497" s="23" t="s">
        <v>400</v>
      </c>
      <c r="L497" s="21">
        <v>683</v>
      </c>
      <c r="O497" s="21">
        <v>2800</v>
      </c>
      <c r="P497" s="25">
        <f t="shared" si="167"/>
        <v>2800</v>
      </c>
      <c r="Q497" s="25" t="s">
        <v>492</v>
      </c>
      <c r="R497" s="26" t="s">
        <v>13</v>
      </c>
      <c r="S497" s="6" t="s">
        <v>1131</v>
      </c>
      <c r="T497" s="44" t="s">
        <v>1162</v>
      </c>
      <c r="U497" s="62">
        <v>154.69999999999999</v>
      </c>
      <c r="V497" s="62">
        <v>157.30000000000001</v>
      </c>
      <c r="W497" s="62">
        <v>152.1</v>
      </c>
      <c r="X497" s="26">
        <v>746.74138377351994</v>
      </c>
      <c r="Y497" s="26" t="s">
        <v>389</v>
      </c>
      <c r="Z497" s="26">
        <f t="shared" si="168"/>
        <v>522.7189686414639</v>
      </c>
      <c r="AA497" s="26">
        <f t="shared" si="169"/>
        <v>1120.11207566028</v>
      </c>
      <c r="AB497" s="25" t="s">
        <v>1191</v>
      </c>
      <c r="AC497" s="77" t="s">
        <v>400</v>
      </c>
      <c r="AF497" s="26">
        <v>320036</v>
      </c>
      <c r="AG497" s="25" t="s">
        <v>13</v>
      </c>
      <c r="AM497" s="26"/>
      <c r="AN497" s="26"/>
      <c r="AO497" s="26"/>
      <c r="AP497" s="26"/>
      <c r="AQ497" s="29"/>
      <c r="AR497" s="26"/>
      <c r="AS497" s="26"/>
      <c r="AT497" s="26"/>
      <c r="AU497" s="26"/>
      <c r="AV497" s="26"/>
      <c r="AX497" s="26" t="s">
        <v>13</v>
      </c>
      <c r="AY497" s="6" t="s">
        <v>896</v>
      </c>
      <c r="AZ497" s="97" t="s">
        <v>13</v>
      </c>
      <c r="BA497" s="62">
        <v>55.919779434204095</v>
      </c>
      <c r="BD497" s="26">
        <v>797.70314856717391</v>
      </c>
      <c r="BE497" s="25" t="s">
        <v>239</v>
      </c>
      <c r="BF497" s="26">
        <f t="shared" si="172"/>
        <v>674.25876279122099</v>
      </c>
      <c r="BG497" s="26">
        <f t="shared" si="173"/>
        <v>1023.432753503272</v>
      </c>
      <c r="BH497" s="83" t="s">
        <v>887</v>
      </c>
      <c r="BI497" s="25" t="s">
        <v>430</v>
      </c>
      <c r="BJ497" s="26">
        <v>550.81437701526806</v>
      </c>
      <c r="BK497" s="26">
        <v>1249.1623584393701</v>
      </c>
      <c r="BL497" s="26" t="s">
        <v>13</v>
      </c>
      <c r="BM497" s="25" t="s">
        <v>13</v>
      </c>
      <c r="CA497" s="25" t="s">
        <v>13</v>
      </c>
      <c r="CC497" s="25" t="s">
        <v>13</v>
      </c>
    </row>
    <row r="498" spans="1:81">
      <c r="A498" s="6" t="s">
        <v>494</v>
      </c>
      <c r="B498" s="25" t="s">
        <v>315</v>
      </c>
      <c r="C498" s="76">
        <v>211.52500000000001</v>
      </c>
      <c r="F498" s="25">
        <f t="shared" si="165"/>
        <v>643</v>
      </c>
      <c r="G498" s="23" t="s">
        <v>389</v>
      </c>
      <c r="H498" s="23">
        <f t="shared" si="170"/>
        <v>321.5</v>
      </c>
      <c r="I498" s="23">
        <f t="shared" si="171"/>
        <v>1286</v>
      </c>
      <c r="J498" s="23" t="s">
        <v>481</v>
      </c>
      <c r="K498" s="23" t="s">
        <v>400</v>
      </c>
      <c r="L498" s="21">
        <v>643</v>
      </c>
      <c r="O498" s="21">
        <v>2800</v>
      </c>
      <c r="P498" s="25">
        <f t="shared" si="167"/>
        <v>2800</v>
      </c>
      <c r="Q498" s="25" t="s">
        <v>492</v>
      </c>
      <c r="R498" s="26" t="s">
        <v>13</v>
      </c>
      <c r="S498" s="6" t="s">
        <v>1131</v>
      </c>
      <c r="T498" s="44" t="s">
        <v>1162</v>
      </c>
      <c r="U498" s="62">
        <v>154.69999999999999</v>
      </c>
      <c r="V498" s="62">
        <v>157.30000000000001</v>
      </c>
      <c r="W498" s="62">
        <v>152.1</v>
      </c>
      <c r="X498" s="26">
        <v>661.77336952723044</v>
      </c>
      <c r="Y498" s="26" t="s">
        <v>389</v>
      </c>
      <c r="Z498" s="26">
        <f t="shared" si="168"/>
        <v>463.2413586690613</v>
      </c>
      <c r="AA498" s="26">
        <f t="shared" si="169"/>
        <v>992.66005429084566</v>
      </c>
      <c r="AB498" s="25" t="s">
        <v>1191</v>
      </c>
      <c r="AC498" s="77" t="s">
        <v>400</v>
      </c>
      <c r="AF498" s="26">
        <v>320102</v>
      </c>
      <c r="AG498" s="25" t="s">
        <v>13</v>
      </c>
      <c r="AM498" s="26"/>
      <c r="AN498" s="26"/>
      <c r="AO498" s="26"/>
      <c r="AP498" s="26"/>
      <c r="AQ498" s="29"/>
      <c r="AR498" s="26"/>
      <c r="AS498" s="26"/>
      <c r="AT498" s="26"/>
      <c r="AU498" s="26"/>
      <c r="AV498" s="26"/>
      <c r="AX498" s="26" t="s">
        <v>13</v>
      </c>
      <c r="AY498" s="6" t="s">
        <v>896</v>
      </c>
      <c r="AZ498" s="97" t="s">
        <v>13</v>
      </c>
      <c r="BA498" s="62">
        <v>55.939039447784417</v>
      </c>
      <c r="BD498" s="26">
        <v>1171.59346030447</v>
      </c>
      <c r="BE498" s="25" t="s">
        <v>239</v>
      </c>
      <c r="BF498" s="26">
        <f t="shared" si="172"/>
        <v>1035.4394842624561</v>
      </c>
      <c r="BG498" s="26">
        <f t="shared" si="173"/>
        <v>1354.623364762135</v>
      </c>
      <c r="BH498" s="83" t="s">
        <v>887</v>
      </c>
      <c r="BI498" s="25" t="s">
        <v>430</v>
      </c>
      <c r="BJ498" s="26">
        <v>899.28550822044201</v>
      </c>
      <c r="BK498" s="26">
        <v>1537.6532692198</v>
      </c>
      <c r="BL498" s="26" t="s">
        <v>13</v>
      </c>
      <c r="BM498" s="25" t="s">
        <v>13</v>
      </c>
      <c r="CA498" s="25" t="s">
        <v>13</v>
      </c>
      <c r="CC498" s="25" t="s">
        <v>13</v>
      </c>
    </row>
    <row r="499" spans="1:81">
      <c r="A499" s="6" t="s">
        <v>494</v>
      </c>
      <c r="B499" s="25" t="s">
        <v>315</v>
      </c>
      <c r="C499" s="76">
        <v>211.422</v>
      </c>
      <c r="F499" s="25">
        <f t="shared" si="165"/>
        <v>749</v>
      </c>
      <c r="G499" s="23" t="s">
        <v>389</v>
      </c>
      <c r="H499" s="23">
        <f t="shared" si="170"/>
        <v>374.5</v>
      </c>
      <c r="I499" s="23">
        <f t="shared" si="171"/>
        <v>1498</v>
      </c>
      <c r="J499" s="23" t="s">
        <v>481</v>
      </c>
      <c r="K499" s="23" t="s">
        <v>400</v>
      </c>
      <c r="L499" s="21">
        <v>749</v>
      </c>
      <c r="O499" s="21">
        <v>2800</v>
      </c>
      <c r="P499" s="25">
        <f t="shared" si="167"/>
        <v>2800</v>
      </c>
      <c r="Q499" s="25" t="s">
        <v>492</v>
      </c>
      <c r="R499" s="26" t="s">
        <v>13</v>
      </c>
      <c r="S499" s="6" t="s">
        <v>1131</v>
      </c>
      <c r="T499" s="44" t="s">
        <v>1162</v>
      </c>
      <c r="U499" s="62">
        <v>154.69999999999999</v>
      </c>
      <c r="V499" s="62">
        <v>157.30000000000001</v>
      </c>
      <c r="W499" s="62">
        <v>152.1</v>
      </c>
      <c r="X499" s="26">
        <v>785.03903674590867</v>
      </c>
      <c r="Y499" s="26" t="s">
        <v>389</v>
      </c>
      <c r="Z499" s="26">
        <f t="shared" si="168"/>
        <v>549.52732572213608</v>
      </c>
      <c r="AA499" s="26">
        <f t="shared" si="169"/>
        <v>1177.5585551188631</v>
      </c>
      <c r="AB499" s="25" t="s">
        <v>1191</v>
      </c>
      <c r="AC499" s="77" t="s">
        <v>400</v>
      </c>
      <c r="AF499" s="26">
        <v>912255</v>
      </c>
      <c r="AG499" s="25" t="s">
        <v>13</v>
      </c>
      <c r="AM499" s="26"/>
      <c r="AN499" s="26"/>
      <c r="AO499" s="26"/>
      <c r="AP499" s="26"/>
      <c r="AQ499" s="29"/>
      <c r="AR499" s="26"/>
      <c r="AS499" s="26"/>
      <c r="AT499" s="26"/>
      <c r="AU499" s="26"/>
      <c r="AV499" s="26"/>
      <c r="AX499" s="26" t="s">
        <v>13</v>
      </c>
      <c r="AY499" s="6" t="s">
        <v>896</v>
      </c>
      <c r="AZ499" s="97" t="s">
        <v>13</v>
      </c>
      <c r="BA499" s="62">
        <v>55.960837490081786</v>
      </c>
      <c r="BD499" s="26">
        <v>897.57090481956402</v>
      </c>
      <c r="BE499" s="25" t="s">
        <v>239</v>
      </c>
      <c r="BF499" s="26">
        <f t="shared" si="172"/>
        <v>799.74794226300048</v>
      </c>
      <c r="BG499" s="26">
        <f t="shared" si="173"/>
        <v>1023.353207254097</v>
      </c>
      <c r="BH499" s="83" t="s">
        <v>887</v>
      </c>
      <c r="BI499" s="25" t="s">
        <v>430</v>
      </c>
      <c r="BJ499" s="26">
        <v>701.92497970643694</v>
      </c>
      <c r="BK499" s="26">
        <v>1149.13550968863</v>
      </c>
      <c r="BL499" s="26" t="s">
        <v>13</v>
      </c>
      <c r="BM499" s="25" t="s">
        <v>13</v>
      </c>
      <c r="CA499" s="25" t="s">
        <v>13</v>
      </c>
      <c r="CC499" s="25" t="s">
        <v>13</v>
      </c>
    </row>
    <row r="500" spans="1:81">
      <c r="A500" s="6" t="s">
        <v>494</v>
      </c>
      <c r="B500" s="25" t="s">
        <v>315</v>
      </c>
      <c r="C500" s="76">
        <v>211.31899999999999</v>
      </c>
      <c r="F500" s="25">
        <f t="shared" si="165"/>
        <v>128</v>
      </c>
      <c r="G500" s="23" t="s">
        <v>389</v>
      </c>
      <c r="H500" s="23">
        <f t="shared" si="170"/>
        <v>64</v>
      </c>
      <c r="I500" s="23">
        <f t="shared" si="171"/>
        <v>256</v>
      </c>
      <c r="J500" s="23" t="s">
        <v>481</v>
      </c>
      <c r="K500" s="23" t="s">
        <v>400</v>
      </c>
      <c r="L500" s="21">
        <v>128</v>
      </c>
      <c r="O500" s="21">
        <v>2800</v>
      </c>
      <c r="P500" s="25">
        <f t="shared" si="167"/>
        <v>2800</v>
      </c>
      <c r="Q500" s="25" t="s">
        <v>492</v>
      </c>
      <c r="R500" s="26" t="s">
        <v>13</v>
      </c>
      <c r="S500" s="6" t="s">
        <v>1131</v>
      </c>
      <c r="T500" s="44" t="s">
        <v>1162</v>
      </c>
      <c r="U500" s="62">
        <v>154.69999999999999</v>
      </c>
      <c r="V500" s="62">
        <v>157.30000000000001</v>
      </c>
      <c r="W500" s="62">
        <v>152.1</v>
      </c>
      <c r="X500" s="26">
        <v>654.11071336569023</v>
      </c>
      <c r="Y500" s="26" t="s">
        <v>389</v>
      </c>
      <c r="Z500" s="26">
        <f t="shared" si="168"/>
        <v>457.8774993559831</v>
      </c>
      <c r="AA500" s="26">
        <f t="shared" si="169"/>
        <v>981.1660700485354</v>
      </c>
      <c r="AB500" s="25" t="s">
        <v>1191</v>
      </c>
      <c r="AC500" s="77" t="s">
        <v>400</v>
      </c>
      <c r="AF500" s="26">
        <v>912256</v>
      </c>
      <c r="AG500" s="25" t="s">
        <v>13</v>
      </c>
      <c r="AM500" s="26"/>
      <c r="AN500" s="26"/>
      <c r="AO500" s="26"/>
      <c r="AP500" s="26"/>
      <c r="AQ500" s="29"/>
      <c r="AR500" s="26"/>
      <c r="AS500" s="26"/>
      <c r="AT500" s="26"/>
      <c r="AU500" s="26"/>
      <c r="AV500" s="26"/>
      <c r="AX500" s="26" t="s">
        <v>13</v>
      </c>
      <c r="AY500" s="6" t="s">
        <v>896</v>
      </c>
      <c r="AZ500" s="97" t="s">
        <v>13</v>
      </c>
      <c r="BA500" s="62">
        <v>55.977876934051508</v>
      </c>
      <c r="BD500" s="26">
        <v>818.15034506868005</v>
      </c>
      <c r="BE500" s="25" t="s">
        <v>239</v>
      </c>
      <c r="BF500" s="26">
        <f t="shared" si="172"/>
        <v>731.85319987816456</v>
      </c>
      <c r="BG500" s="26">
        <f t="shared" si="173"/>
        <v>938.24720177556503</v>
      </c>
      <c r="BH500" s="83" t="s">
        <v>738</v>
      </c>
      <c r="BI500" s="25" t="s">
        <v>430</v>
      </c>
      <c r="BJ500" s="26">
        <v>645.55605468764895</v>
      </c>
      <c r="BK500" s="26">
        <v>1058.34405848245</v>
      </c>
      <c r="BL500" s="26" t="s">
        <v>13</v>
      </c>
      <c r="BM500" s="25" t="s">
        <v>13</v>
      </c>
      <c r="CA500" s="25" t="s">
        <v>13</v>
      </c>
      <c r="CC500" s="25" t="s">
        <v>13</v>
      </c>
    </row>
    <row r="501" spans="1:81">
      <c r="A501" s="6" t="s">
        <v>494</v>
      </c>
      <c r="B501" s="25" t="s">
        <v>315</v>
      </c>
      <c r="C501" s="76">
        <v>211.21600000000001</v>
      </c>
      <c r="F501" s="25">
        <f t="shared" si="165"/>
        <v>182</v>
      </c>
      <c r="G501" s="23" t="s">
        <v>389</v>
      </c>
      <c r="H501" s="23">
        <f t="shared" si="170"/>
        <v>91</v>
      </c>
      <c r="I501" s="23">
        <f t="shared" si="171"/>
        <v>364</v>
      </c>
      <c r="J501" s="23" t="s">
        <v>481</v>
      </c>
      <c r="K501" s="23" t="s">
        <v>400</v>
      </c>
      <c r="L501" s="21">
        <v>182</v>
      </c>
      <c r="O501" s="21">
        <v>2800</v>
      </c>
      <c r="P501" s="25">
        <f t="shared" si="167"/>
        <v>2800</v>
      </c>
      <c r="Q501" s="25" t="s">
        <v>492</v>
      </c>
      <c r="R501" s="26" t="s">
        <v>13</v>
      </c>
      <c r="S501" s="6" t="s">
        <v>1131</v>
      </c>
      <c r="T501" s="44" t="s">
        <v>1162</v>
      </c>
      <c r="U501" s="62">
        <v>154.69999999999999</v>
      </c>
      <c r="V501" s="62">
        <v>157.30000000000001</v>
      </c>
      <c r="W501" s="62">
        <v>152.1</v>
      </c>
      <c r="X501" s="26">
        <v>689.48718323950425</v>
      </c>
      <c r="Y501" s="26" t="s">
        <v>389</v>
      </c>
      <c r="Z501" s="26">
        <f t="shared" si="168"/>
        <v>482.64102826765293</v>
      </c>
      <c r="AA501" s="26">
        <f t="shared" si="169"/>
        <v>1034.2307748592564</v>
      </c>
      <c r="AB501" s="25" t="s">
        <v>1191</v>
      </c>
      <c r="AC501" s="77" t="s">
        <v>400</v>
      </c>
      <c r="AF501" s="26">
        <v>912263</v>
      </c>
      <c r="AG501" s="25" t="s">
        <v>13</v>
      </c>
      <c r="AM501" s="26"/>
      <c r="AN501" s="26"/>
      <c r="AO501" s="26"/>
      <c r="AP501" s="26"/>
      <c r="AQ501" s="29"/>
      <c r="AR501" s="26"/>
      <c r="AS501" s="26"/>
      <c r="AT501" s="26"/>
      <c r="AU501" s="26"/>
      <c r="AV501" s="26"/>
      <c r="AX501" s="26" t="s">
        <v>13</v>
      </c>
      <c r="AY501" s="6" t="s">
        <v>896</v>
      </c>
      <c r="AZ501" s="97" t="s">
        <v>13</v>
      </c>
      <c r="BA501" s="62">
        <v>56.024173995971715</v>
      </c>
      <c r="BD501" s="26">
        <v>961.12576414364401</v>
      </c>
      <c r="BE501" s="25" t="s">
        <v>239</v>
      </c>
      <c r="BF501" s="26">
        <f t="shared" si="172"/>
        <v>842.28845855176405</v>
      </c>
      <c r="BG501" s="26">
        <f t="shared" si="173"/>
        <v>1108.1909601780071</v>
      </c>
      <c r="BH501" s="83" t="s">
        <v>887</v>
      </c>
      <c r="BI501" s="25" t="s">
        <v>430</v>
      </c>
      <c r="BJ501" s="26">
        <v>723.45115295988398</v>
      </c>
      <c r="BK501" s="26">
        <v>1255.2561562123701</v>
      </c>
      <c r="BL501" s="26" t="s">
        <v>13</v>
      </c>
      <c r="BM501" s="25" t="s">
        <v>13</v>
      </c>
      <c r="CA501" s="25" t="s">
        <v>13</v>
      </c>
      <c r="CC501" s="25" t="s">
        <v>13</v>
      </c>
    </row>
    <row r="502" spans="1:81">
      <c r="A502" s="6" t="s">
        <v>494</v>
      </c>
      <c r="B502" s="25" t="s">
        <v>315</v>
      </c>
      <c r="C502" s="76">
        <v>211.16399999999999</v>
      </c>
      <c r="F502" s="25">
        <f t="shared" si="165"/>
        <v>616</v>
      </c>
      <c r="G502" s="23" t="s">
        <v>389</v>
      </c>
      <c r="H502" s="23">
        <f t="shared" si="170"/>
        <v>308</v>
      </c>
      <c r="I502" s="23">
        <f t="shared" si="171"/>
        <v>1232</v>
      </c>
      <c r="J502" s="23" t="s">
        <v>481</v>
      </c>
      <c r="K502" s="23" t="s">
        <v>400</v>
      </c>
      <c r="L502" s="21">
        <v>616</v>
      </c>
      <c r="O502" s="21">
        <v>2800</v>
      </c>
      <c r="P502" s="25">
        <f t="shared" si="167"/>
        <v>2800</v>
      </c>
      <c r="Q502" s="25" t="s">
        <v>492</v>
      </c>
      <c r="R502" s="26" t="s">
        <v>13</v>
      </c>
      <c r="S502" s="6" t="s">
        <v>1131</v>
      </c>
      <c r="T502" s="44" t="s">
        <v>1162</v>
      </c>
      <c r="U502" s="62">
        <v>154.69999999999999</v>
      </c>
      <c r="V502" s="62">
        <v>157.30000000000001</v>
      </c>
      <c r="W502" s="62">
        <v>152.1</v>
      </c>
      <c r="X502" s="26">
        <v>786.07995751533099</v>
      </c>
      <c r="Y502" s="26" t="s">
        <v>389</v>
      </c>
      <c r="Z502" s="26">
        <f t="shared" si="168"/>
        <v>550.2559702607316</v>
      </c>
      <c r="AA502" s="26">
        <f t="shared" si="169"/>
        <v>1179.1199362729965</v>
      </c>
      <c r="AB502" s="25" t="s">
        <v>1191</v>
      </c>
      <c r="AC502" s="77" t="s">
        <v>400</v>
      </c>
      <c r="AF502" s="26">
        <v>60050</v>
      </c>
      <c r="AG502" s="25" t="s">
        <v>13</v>
      </c>
      <c r="AM502" s="26"/>
      <c r="AN502" s="26"/>
      <c r="AO502" s="26"/>
      <c r="AP502" s="26"/>
      <c r="AQ502" s="29"/>
      <c r="AR502" s="26"/>
      <c r="AS502" s="26"/>
      <c r="AT502" s="26"/>
      <c r="AU502" s="26"/>
      <c r="AV502" s="26"/>
      <c r="AX502" s="26" t="s">
        <v>13</v>
      </c>
      <c r="AY502" s="6" t="s">
        <v>896</v>
      </c>
      <c r="AZ502" s="97" t="s">
        <v>13</v>
      </c>
      <c r="BA502" s="62">
        <v>56.040418579101612</v>
      </c>
      <c r="BD502" s="26">
        <v>1287.6272945262101</v>
      </c>
      <c r="BE502" s="25" t="s">
        <v>239</v>
      </c>
      <c r="BF502" s="26">
        <f t="shared" si="172"/>
        <v>1138.2759716600372</v>
      </c>
      <c r="BG502" s="26">
        <f t="shared" si="173"/>
        <v>1468.0992449262751</v>
      </c>
      <c r="BH502" s="83" t="s">
        <v>738</v>
      </c>
      <c r="BI502" s="25" t="s">
        <v>430</v>
      </c>
      <c r="BJ502" s="26">
        <v>988.92464879386409</v>
      </c>
      <c r="BK502" s="26">
        <v>1648.5711953263401</v>
      </c>
      <c r="BL502" s="26" t="s">
        <v>13</v>
      </c>
      <c r="BM502" s="25" t="s">
        <v>13</v>
      </c>
      <c r="CA502" s="25" t="s">
        <v>13</v>
      </c>
      <c r="CC502" s="25" t="s">
        <v>13</v>
      </c>
    </row>
    <row r="503" spans="1:81">
      <c r="A503" s="6" t="s">
        <v>494</v>
      </c>
      <c r="B503" s="25" t="s">
        <v>315</v>
      </c>
      <c r="C503" s="76">
        <v>211.06100000000001</v>
      </c>
      <c r="F503" s="25">
        <f t="shared" si="165"/>
        <v>726</v>
      </c>
      <c r="G503" s="23" t="s">
        <v>389</v>
      </c>
      <c r="H503" s="23">
        <f t="shared" si="170"/>
        <v>363</v>
      </c>
      <c r="I503" s="23">
        <f t="shared" si="171"/>
        <v>1452</v>
      </c>
      <c r="J503" s="23" t="s">
        <v>481</v>
      </c>
      <c r="K503" s="23" t="s">
        <v>400</v>
      </c>
      <c r="L503" s="21">
        <v>726</v>
      </c>
      <c r="O503" s="21">
        <v>2800</v>
      </c>
      <c r="P503" s="25">
        <f t="shared" si="167"/>
        <v>2800</v>
      </c>
      <c r="Q503" s="25" t="s">
        <v>492</v>
      </c>
      <c r="R503" s="26" t="s">
        <v>13</v>
      </c>
      <c r="S503" s="6" t="s">
        <v>1131</v>
      </c>
      <c r="T503" s="44" t="s">
        <v>1162</v>
      </c>
      <c r="U503" s="62">
        <v>154.69999999999999</v>
      </c>
      <c r="V503" s="62">
        <v>157.30000000000001</v>
      </c>
      <c r="W503" s="62">
        <v>152.1</v>
      </c>
      <c r="X503" s="26">
        <v>536.93475631277329</v>
      </c>
      <c r="Y503" s="26" t="s">
        <v>389</v>
      </c>
      <c r="Z503" s="26">
        <f t="shared" si="168"/>
        <v>375.85432941894129</v>
      </c>
      <c r="AA503" s="26">
        <f t="shared" si="169"/>
        <v>805.40213446915993</v>
      </c>
      <c r="AB503" s="25" t="s">
        <v>1191</v>
      </c>
      <c r="AC503" s="77" t="s">
        <v>400</v>
      </c>
      <c r="AF503" s="26">
        <v>32588</v>
      </c>
      <c r="AG503" s="25" t="s">
        <v>13</v>
      </c>
      <c r="AM503" s="26"/>
      <c r="AN503" s="26"/>
      <c r="AO503" s="26"/>
      <c r="AP503" s="26"/>
      <c r="AQ503" s="29"/>
      <c r="AR503" s="26"/>
      <c r="AS503" s="26"/>
      <c r="AT503" s="26"/>
      <c r="AU503" s="26"/>
      <c r="AV503" s="26"/>
      <c r="AX503" s="26" t="s">
        <v>13</v>
      </c>
      <c r="AY503" s="6" t="s">
        <v>896</v>
      </c>
      <c r="AZ503" s="97" t="s">
        <v>13</v>
      </c>
      <c r="BA503" s="62">
        <v>56.051789787292542</v>
      </c>
      <c r="BD503" s="26">
        <v>804.64648319408502</v>
      </c>
      <c r="BE503" s="25" t="s">
        <v>239</v>
      </c>
      <c r="BF503" s="26">
        <f t="shared" si="172"/>
        <v>719.17707472398649</v>
      </c>
      <c r="BG503" s="26">
        <f t="shared" si="173"/>
        <v>909.88455094426763</v>
      </c>
      <c r="BH503" s="83" t="s">
        <v>887</v>
      </c>
      <c r="BI503" s="25" t="s">
        <v>430</v>
      </c>
      <c r="BJ503" s="26">
        <v>633.70766625388796</v>
      </c>
      <c r="BK503" s="26">
        <v>1015.1226186944501</v>
      </c>
      <c r="BL503" s="26" t="s">
        <v>13</v>
      </c>
      <c r="BM503" s="25" t="s">
        <v>13</v>
      </c>
      <c r="CA503" s="25" t="s">
        <v>13</v>
      </c>
      <c r="CC503" s="25" t="s">
        <v>13</v>
      </c>
    </row>
    <row r="504" spans="1:81">
      <c r="A504" s="6" t="s">
        <v>494</v>
      </c>
      <c r="B504" s="25" t="s">
        <v>315</v>
      </c>
      <c r="C504" s="76">
        <v>210.85400000000001</v>
      </c>
      <c r="F504" s="25">
        <f t="shared" si="165"/>
        <v>-127</v>
      </c>
      <c r="G504" s="23" t="s">
        <v>389</v>
      </c>
      <c r="H504" s="23">
        <f>F504*2</f>
        <v>-254</v>
      </c>
      <c r="I504" s="23">
        <f>F504*0.5</f>
        <v>-63.5</v>
      </c>
      <c r="J504" s="23" t="s">
        <v>481</v>
      </c>
      <c r="K504" s="23" t="s">
        <v>400</v>
      </c>
      <c r="L504" s="21">
        <v>-127</v>
      </c>
      <c r="O504" s="21">
        <v>2800</v>
      </c>
      <c r="P504" s="25">
        <f t="shared" si="167"/>
        <v>2800</v>
      </c>
      <c r="Q504" s="25" t="s">
        <v>492</v>
      </c>
      <c r="R504" s="26" t="s">
        <v>13</v>
      </c>
      <c r="S504" s="6" t="s">
        <v>1131</v>
      </c>
      <c r="T504" s="44" t="s">
        <v>1163</v>
      </c>
      <c r="U504" s="62">
        <v>155</v>
      </c>
      <c r="V504" s="62">
        <v>164</v>
      </c>
      <c r="W504" s="62">
        <v>145</v>
      </c>
      <c r="X504" s="26">
        <v>1019.3403371093767</v>
      </c>
      <c r="Y504" s="26" t="s">
        <v>389</v>
      </c>
      <c r="Z504" s="26">
        <f t="shared" si="168"/>
        <v>713.53823597656367</v>
      </c>
      <c r="AA504" s="26">
        <f t="shared" si="169"/>
        <v>1529.010505664065</v>
      </c>
      <c r="AB504" s="25" t="s">
        <v>1191</v>
      </c>
      <c r="AC504" s="77" t="s">
        <v>400</v>
      </c>
      <c r="AF504" s="26" t="s">
        <v>1350</v>
      </c>
      <c r="AG504" s="25" t="s">
        <v>13</v>
      </c>
      <c r="AM504" s="26"/>
      <c r="AN504" s="26"/>
      <c r="AO504" s="26"/>
      <c r="AP504" s="26"/>
      <c r="AQ504" s="29"/>
      <c r="AR504" s="26"/>
      <c r="AS504" s="26"/>
      <c r="AT504" s="26"/>
      <c r="AU504" s="26"/>
      <c r="AV504" s="26"/>
      <c r="AX504" s="26" t="s">
        <v>13</v>
      </c>
      <c r="AY504" s="6" t="s">
        <v>896</v>
      </c>
      <c r="AZ504" s="97" t="s">
        <v>13</v>
      </c>
      <c r="BA504" s="62">
        <v>56.102147994995228</v>
      </c>
      <c r="BD504" s="26">
        <v>1089.65393969558</v>
      </c>
      <c r="BE504" s="25" t="s">
        <v>239</v>
      </c>
      <c r="BF504" s="26">
        <f t="shared" si="172"/>
        <v>958.36035203463393</v>
      </c>
      <c r="BG504" s="26">
        <f t="shared" si="173"/>
        <v>1254.2450898765051</v>
      </c>
      <c r="BH504" s="83" t="s">
        <v>738</v>
      </c>
      <c r="BI504" s="25" t="s">
        <v>430</v>
      </c>
      <c r="BJ504" s="26">
        <v>827.06676437368799</v>
      </c>
      <c r="BK504" s="26">
        <v>1418.8362400574301</v>
      </c>
      <c r="BL504" s="26" t="s">
        <v>13</v>
      </c>
      <c r="BM504" s="25" t="s">
        <v>13</v>
      </c>
      <c r="CA504" s="25" t="s">
        <v>13</v>
      </c>
      <c r="CC504" s="25" t="s">
        <v>13</v>
      </c>
    </row>
    <row r="505" spans="1:81">
      <c r="A505" s="6" t="s">
        <v>494</v>
      </c>
      <c r="B505" s="25" t="s">
        <v>315</v>
      </c>
      <c r="C505" s="76">
        <v>210.7</v>
      </c>
      <c r="F505" s="25">
        <f t="shared" si="165"/>
        <v>-194</v>
      </c>
      <c r="G505" s="23" t="s">
        <v>389</v>
      </c>
      <c r="H505" s="23">
        <f>F505*2</f>
        <v>-388</v>
      </c>
      <c r="I505" s="23">
        <f>F505*0.5</f>
        <v>-97</v>
      </c>
      <c r="J505" s="23" t="s">
        <v>481</v>
      </c>
      <c r="K505" s="23" t="s">
        <v>400</v>
      </c>
      <c r="L505" s="21">
        <v>-194</v>
      </c>
      <c r="O505" s="21">
        <v>2800</v>
      </c>
      <c r="P505" s="25">
        <f t="shared" si="167"/>
        <v>2800</v>
      </c>
      <c r="Q505" s="25" t="s">
        <v>492</v>
      </c>
      <c r="R505" s="26" t="s">
        <v>13</v>
      </c>
      <c r="S505" s="6" t="s">
        <v>1131</v>
      </c>
      <c r="T505" s="44" t="s">
        <v>1162</v>
      </c>
      <c r="U505" s="62">
        <v>155</v>
      </c>
      <c r="V505" s="62">
        <v>157.30000000000001</v>
      </c>
      <c r="W505" s="62">
        <v>152.1</v>
      </c>
      <c r="X505" s="26">
        <v>936.28182814585455</v>
      </c>
      <c r="Y505" s="26" t="s">
        <v>389</v>
      </c>
      <c r="Z505" s="26">
        <f t="shared" si="168"/>
        <v>655.3972797020981</v>
      </c>
      <c r="AA505" s="26">
        <f t="shared" si="169"/>
        <v>1404.4227422187819</v>
      </c>
      <c r="AB505" s="25" t="s">
        <v>1191</v>
      </c>
      <c r="AC505" s="77" t="s">
        <v>400</v>
      </c>
      <c r="AF505" s="26">
        <v>327712</v>
      </c>
      <c r="AG505" s="25" t="s">
        <v>13</v>
      </c>
      <c r="AM505" s="26"/>
      <c r="AN505" s="26"/>
      <c r="AO505" s="26"/>
      <c r="AP505" s="26"/>
      <c r="AQ505" s="29"/>
      <c r="AR505" s="26"/>
      <c r="AS505" s="26"/>
      <c r="AT505" s="26"/>
      <c r="AU505" s="26"/>
      <c r="AV505" s="26"/>
      <c r="AX505" s="26" t="s">
        <v>13</v>
      </c>
      <c r="AY505" s="6" t="s">
        <v>896</v>
      </c>
      <c r="AZ505" s="97" t="s">
        <v>13</v>
      </c>
      <c r="BA505" s="62">
        <v>56.134637161255021</v>
      </c>
      <c r="BD505" s="26">
        <v>817.21711593021803</v>
      </c>
      <c r="BE505" s="25" t="s">
        <v>239</v>
      </c>
      <c r="BF505" s="26">
        <f t="shared" si="172"/>
        <v>731.74713983587594</v>
      </c>
      <c r="BG505" s="26">
        <f t="shared" si="173"/>
        <v>952.40013108411404</v>
      </c>
      <c r="BH505" s="83" t="s">
        <v>887</v>
      </c>
      <c r="BI505" s="25" t="s">
        <v>430</v>
      </c>
      <c r="BJ505" s="26">
        <v>646.27716374153397</v>
      </c>
      <c r="BK505" s="26">
        <v>1087.5831462380099</v>
      </c>
      <c r="BL505" s="26" t="s">
        <v>13</v>
      </c>
      <c r="BM505" s="25" t="s">
        <v>13</v>
      </c>
      <c r="CA505" s="25" t="s">
        <v>13</v>
      </c>
      <c r="CC505" s="25" t="s">
        <v>13</v>
      </c>
    </row>
    <row r="506" spans="1:81">
      <c r="A506" s="6" t="s">
        <v>494</v>
      </c>
      <c r="B506" s="25" t="s">
        <v>315</v>
      </c>
      <c r="C506" s="76">
        <v>210.39</v>
      </c>
      <c r="F506" s="25">
        <f t="shared" si="165"/>
        <v>219</v>
      </c>
      <c r="G506" s="23" t="s">
        <v>389</v>
      </c>
      <c r="H506" s="23">
        <f t="shared" si="170"/>
        <v>109.5</v>
      </c>
      <c r="I506" s="23">
        <f t="shared" si="171"/>
        <v>438</v>
      </c>
      <c r="J506" s="23" t="s">
        <v>481</v>
      </c>
      <c r="K506" s="23" t="s">
        <v>400</v>
      </c>
      <c r="L506" s="21">
        <v>219</v>
      </c>
      <c r="O506" s="21">
        <v>2800</v>
      </c>
      <c r="P506" s="25">
        <f t="shared" si="167"/>
        <v>2800</v>
      </c>
      <c r="Q506" s="25" t="s">
        <v>492</v>
      </c>
      <c r="R506" s="26" t="s">
        <v>13</v>
      </c>
      <c r="S506" s="6" t="s">
        <v>1131</v>
      </c>
      <c r="T506" s="44" t="s">
        <v>1164</v>
      </c>
      <c r="U506" s="62">
        <v>159</v>
      </c>
      <c r="V506" s="62">
        <v>166</v>
      </c>
      <c r="W506" s="62">
        <v>152</v>
      </c>
      <c r="X506" s="26">
        <v>815.08697759855579</v>
      </c>
      <c r="Y506" s="26" t="s">
        <v>389</v>
      </c>
      <c r="Z506" s="26">
        <f t="shared" si="168"/>
        <v>570.560884318989</v>
      </c>
      <c r="AA506" s="26">
        <f t="shared" si="169"/>
        <v>1222.6304663978337</v>
      </c>
      <c r="AB506" s="25" t="s">
        <v>1191</v>
      </c>
      <c r="AC506" s="77" t="s">
        <v>400</v>
      </c>
      <c r="AF506" s="26">
        <v>51676</v>
      </c>
      <c r="AG506" s="25" t="s">
        <v>13</v>
      </c>
      <c r="AM506" s="26"/>
      <c r="AN506" s="26"/>
      <c r="AO506" s="26"/>
      <c r="AP506" s="26"/>
      <c r="AQ506" s="29"/>
      <c r="AR506" s="26"/>
      <c r="AS506" s="26"/>
      <c r="AT506" s="26"/>
      <c r="AU506" s="26"/>
      <c r="AV506" s="26"/>
      <c r="AX506" s="26" t="s">
        <v>13</v>
      </c>
      <c r="AY506" s="6" t="s">
        <v>896</v>
      </c>
      <c r="AZ506" s="97" t="s">
        <v>13</v>
      </c>
      <c r="BA506" s="62">
        <v>56.336882221222247</v>
      </c>
      <c r="BD506" s="26">
        <v>545.94606891905903</v>
      </c>
      <c r="BE506" s="25" t="s">
        <v>239</v>
      </c>
      <c r="BF506" s="26">
        <f t="shared" si="172"/>
        <v>476.59134372521351</v>
      </c>
      <c r="BG506" s="26">
        <f t="shared" si="173"/>
        <v>661.94192181562505</v>
      </c>
      <c r="BH506" s="83" t="s">
        <v>738</v>
      </c>
      <c r="BI506" s="25" t="s">
        <v>430</v>
      </c>
      <c r="BJ506" s="26">
        <v>407.23661853136798</v>
      </c>
      <c r="BK506" s="26">
        <v>777.93777471219107</v>
      </c>
      <c r="BL506" s="26" t="s">
        <v>13</v>
      </c>
      <c r="BM506" s="25" t="s">
        <v>13</v>
      </c>
      <c r="CA506" s="25" t="s">
        <v>13</v>
      </c>
      <c r="CC506" s="25" t="s">
        <v>13</v>
      </c>
    </row>
    <row r="507" spans="1:81">
      <c r="A507" s="6" t="s">
        <v>494</v>
      </c>
      <c r="B507" s="25" t="s">
        <v>315</v>
      </c>
      <c r="C507" s="76">
        <v>210.08099999999999</v>
      </c>
      <c r="F507" s="25">
        <f t="shared" si="165"/>
        <v>420</v>
      </c>
      <c r="G507" s="23" t="s">
        <v>389</v>
      </c>
      <c r="H507" s="23">
        <f t="shared" si="170"/>
        <v>210</v>
      </c>
      <c r="I507" s="23">
        <f t="shared" si="171"/>
        <v>840</v>
      </c>
      <c r="J507" s="23" t="s">
        <v>481</v>
      </c>
      <c r="K507" s="23" t="s">
        <v>400</v>
      </c>
      <c r="L507" s="21">
        <v>420</v>
      </c>
      <c r="O507" s="21">
        <v>2800</v>
      </c>
      <c r="P507" s="25">
        <f t="shared" si="167"/>
        <v>2800</v>
      </c>
      <c r="Q507" s="25" t="s">
        <v>492</v>
      </c>
      <c r="R507" s="26" t="s">
        <v>13</v>
      </c>
      <c r="S507" s="6" t="s">
        <v>1131</v>
      </c>
      <c r="T507" s="44" t="s">
        <v>1164</v>
      </c>
      <c r="U507" s="62">
        <v>159</v>
      </c>
      <c r="V507" s="62">
        <v>166</v>
      </c>
      <c r="W507" s="62">
        <v>152</v>
      </c>
      <c r="X507" s="26">
        <v>759.26610745344749</v>
      </c>
      <c r="Y507" s="26" t="s">
        <v>389</v>
      </c>
      <c r="Z507" s="26">
        <f t="shared" si="168"/>
        <v>531.48627521741321</v>
      </c>
      <c r="AA507" s="26">
        <f t="shared" si="169"/>
        <v>1138.8991611801712</v>
      </c>
      <c r="AB507" s="25" t="s">
        <v>1191</v>
      </c>
      <c r="AC507" s="77" t="s">
        <v>400</v>
      </c>
      <c r="AF507" s="26">
        <v>2787</v>
      </c>
      <c r="AG507" s="25" t="s">
        <v>13</v>
      </c>
      <c r="AM507" s="26"/>
      <c r="AN507" s="26"/>
      <c r="AO507" s="26"/>
      <c r="AP507" s="26"/>
      <c r="AQ507" s="29"/>
      <c r="AR507" s="26"/>
      <c r="AS507" s="26"/>
      <c r="AT507" s="26"/>
      <c r="AU507" s="26"/>
      <c r="AV507" s="26"/>
      <c r="AX507" s="26" t="s">
        <v>13</v>
      </c>
      <c r="AZ507" s="97" t="s">
        <v>13</v>
      </c>
      <c r="BF507" s="26"/>
      <c r="BG507" s="26"/>
      <c r="BH507" s="83"/>
      <c r="BL507" s="26" t="s">
        <v>13</v>
      </c>
      <c r="BM507" s="25" t="s">
        <v>13</v>
      </c>
      <c r="CA507" s="25" t="s">
        <v>13</v>
      </c>
      <c r="CC507" s="25" t="s">
        <v>13</v>
      </c>
    </row>
    <row r="508" spans="1:81">
      <c r="A508" s="6" t="s">
        <v>494</v>
      </c>
      <c r="B508" s="25" t="s">
        <v>315</v>
      </c>
      <c r="C508" s="76">
        <v>209.92599999999999</v>
      </c>
      <c r="F508" s="25">
        <f t="shared" si="165"/>
        <v>1080</v>
      </c>
      <c r="G508" s="23" t="s">
        <v>389</v>
      </c>
      <c r="H508" s="23">
        <f t="shared" si="170"/>
        <v>540</v>
      </c>
      <c r="I508" s="23">
        <f t="shared" si="171"/>
        <v>2160</v>
      </c>
      <c r="J508" s="23" t="s">
        <v>481</v>
      </c>
      <c r="K508" s="23" t="s">
        <v>400</v>
      </c>
      <c r="L508" s="21">
        <v>1080</v>
      </c>
      <c r="O508" s="21">
        <v>2000</v>
      </c>
      <c r="P508" s="25">
        <f t="shared" si="167"/>
        <v>2000</v>
      </c>
      <c r="Q508" s="25" t="s">
        <v>491</v>
      </c>
      <c r="R508" s="26" t="s">
        <v>13</v>
      </c>
      <c r="S508" s="6" t="s">
        <v>1131</v>
      </c>
      <c r="T508" s="44" t="s">
        <v>1165</v>
      </c>
      <c r="U508" s="62">
        <v>177</v>
      </c>
      <c r="V508" s="62">
        <v>182.7</v>
      </c>
      <c r="W508" s="62">
        <v>174.1</v>
      </c>
      <c r="X508" s="26">
        <v>938.98001536387846</v>
      </c>
      <c r="Y508" s="26" t="s">
        <v>389</v>
      </c>
      <c r="Z508" s="26">
        <f t="shared" si="168"/>
        <v>657.28601075471488</v>
      </c>
      <c r="AA508" s="26">
        <f t="shared" si="169"/>
        <v>1408.4700230458177</v>
      </c>
      <c r="AB508" s="25" t="s">
        <v>1191</v>
      </c>
      <c r="AC508" s="77" t="s">
        <v>400</v>
      </c>
      <c r="AF508" s="26" t="s">
        <v>1351</v>
      </c>
      <c r="AG508" s="25" t="s">
        <v>13</v>
      </c>
      <c r="AM508" s="26"/>
      <c r="AN508" s="26"/>
      <c r="AO508" s="26"/>
      <c r="AP508" s="26"/>
      <c r="AQ508" s="29"/>
      <c r="AR508" s="26"/>
      <c r="AS508" s="26"/>
      <c r="AT508" s="26"/>
      <c r="AU508" s="26"/>
      <c r="AV508" s="26"/>
      <c r="AX508" s="26" t="s">
        <v>13</v>
      </c>
      <c r="AZ508" s="97" t="s">
        <v>13</v>
      </c>
      <c r="BF508" s="26"/>
      <c r="BG508" s="26"/>
      <c r="BH508" s="83"/>
      <c r="BL508" s="26" t="s">
        <v>13</v>
      </c>
      <c r="BM508" s="25" t="s">
        <v>13</v>
      </c>
      <c r="CA508" s="25" t="s">
        <v>13</v>
      </c>
      <c r="CC508" s="25" t="s">
        <v>13</v>
      </c>
    </row>
    <row r="509" spans="1:81">
      <c r="A509" s="6" t="s">
        <v>494</v>
      </c>
      <c r="B509" s="25" t="s">
        <v>315</v>
      </c>
      <c r="C509" s="76">
        <v>209.857</v>
      </c>
      <c r="F509" s="25">
        <f t="shared" si="165"/>
        <v>777</v>
      </c>
      <c r="G509" s="23" t="s">
        <v>389</v>
      </c>
      <c r="H509" s="23">
        <f t="shared" si="170"/>
        <v>388.5</v>
      </c>
      <c r="I509" s="23">
        <f t="shared" si="171"/>
        <v>1554</v>
      </c>
      <c r="J509" s="23" t="s">
        <v>481</v>
      </c>
      <c r="K509" s="23" t="s">
        <v>400</v>
      </c>
      <c r="L509" s="21">
        <v>777</v>
      </c>
      <c r="O509" s="21">
        <v>2000</v>
      </c>
      <c r="P509" s="25">
        <f t="shared" si="167"/>
        <v>2000</v>
      </c>
      <c r="Q509" s="25" t="s">
        <v>491</v>
      </c>
      <c r="R509" s="26" t="s">
        <v>13</v>
      </c>
      <c r="S509" s="6" t="s">
        <v>1131</v>
      </c>
      <c r="T509" s="44" t="s">
        <v>1165</v>
      </c>
      <c r="U509" s="62">
        <v>177</v>
      </c>
      <c r="V509" s="62">
        <v>182.7</v>
      </c>
      <c r="W509" s="62">
        <v>174.1</v>
      </c>
      <c r="X509" s="26">
        <v>987.58286483540917</v>
      </c>
      <c r="Y509" s="26" t="s">
        <v>389</v>
      </c>
      <c r="Z509" s="26">
        <f t="shared" si="168"/>
        <v>691.30800538478638</v>
      </c>
      <c r="AA509" s="26">
        <f t="shared" si="169"/>
        <v>1481.3742972531138</v>
      </c>
      <c r="AB509" s="25" t="s">
        <v>1191</v>
      </c>
      <c r="AC509" s="77" t="s">
        <v>400</v>
      </c>
      <c r="AF509" s="26" t="s">
        <v>1352</v>
      </c>
      <c r="AG509" s="25" t="s">
        <v>13</v>
      </c>
      <c r="AM509" s="26"/>
      <c r="AN509" s="26"/>
      <c r="AO509" s="26"/>
      <c r="AP509" s="26"/>
      <c r="AQ509" s="29"/>
      <c r="AR509" s="26"/>
      <c r="AS509" s="26"/>
      <c r="AT509" s="26"/>
      <c r="AU509" s="26"/>
      <c r="AV509" s="26"/>
      <c r="AX509" s="26" t="s">
        <v>13</v>
      </c>
      <c r="AZ509" s="97" t="s">
        <v>13</v>
      </c>
      <c r="BF509" s="26"/>
      <c r="BG509" s="26"/>
      <c r="BH509" s="83"/>
      <c r="BL509" s="26" t="s">
        <v>13</v>
      </c>
      <c r="BM509" s="25" t="s">
        <v>13</v>
      </c>
      <c r="CA509" s="25" t="s">
        <v>13</v>
      </c>
      <c r="CC509" s="25" t="s">
        <v>13</v>
      </c>
    </row>
    <row r="510" spans="1:81">
      <c r="A510" s="6" t="s">
        <v>494</v>
      </c>
      <c r="B510" s="25" t="s">
        <v>315</v>
      </c>
      <c r="C510" s="76">
        <v>209.65199999999999</v>
      </c>
      <c r="F510" s="25">
        <f t="shared" si="165"/>
        <v>665</v>
      </c>
      <c r="G510" s="23" t="s">
        <v>389</v>
      </c>
      <c r="H510" s="23">
        <f t="shared" si="170"/>
        <v>332.5</v>
      </c>
      <c r="I510" s="23">
        <f t="shared" si="171"/>
        <v>1330</v>
      </c>
      <c r="J510" s="23" t="s">
        <v>481</v>
      </c>
      <c r="K510" s="23" t="s">
        <v>400</v>
      </c>
      <c r="L510" s="21">
        <v>665</v>
      </c>
      <c r="O510" s="21">
        <v>2000</v>
      </c>
      <c r="P510" s="25">
        <f t="shared" si="167"/>
        <v>2000</v>
      </c>
      <c r="Q510" s="25" t="s">
        <v>491</v>
      </c>
      <c r="R510" s="26" t="s">
        <v>13</v>
      </c>
      <c r="S510" s="6" t="s">
        <v>1131</v>
      </c>
      <c r="T510" s="44" t="s">
        <v>1165</v>
      </c>
      <c r="U510" s="62">
        <v>178</v>
      </c>
      <c r="V510" s="62">
        <v>182.7</v>
      </c>
      <c r="W510" s="62">
        <v>174.1</v>
      </c>
      <c r="X510" s="26">
        <v>680.48958317044355</v>
      </c>
      <c r="Y510" s="26" t="s">
        <v>389</v>
      </c>
      <c r="Z510" s="26">
        <f t="shared" si="168"/>
        <v>476.34270821931045</v>
      </c>
      <c r="AA510" s="26">
        <f t="shared" si="169"/>
        <v>1020.7343747556654</v>
      </c>
      <c r="AB510" s="25" t="s">
        <v>1191</v>
      </c>
      <c r="AC510" s="77" t="s">
        <v>400</v>
      </c>
      <c r="AF510" s="26">
        <v>283124</v>
      </c>
      <c r="AG510" s="25" t="s">
        <v>13</v>
      </c>
      <c r="AM510" s="26"/>
      <c r="AN510" s="26"/>
      <c r="AO510" s="26"/>
      <c r="AP510" s="26"/>
      <c r="AQ510" s="29"/>
      <c r="AR510" s="26"/>
      <c r="AS510" s="26"/>
      <c r="AT510" s="26"/>
      <c r="AU510" s="26"/>
      <c r="AV510" s="26"/>
      <c r="AX510" s="26" t="s">
        <v>13</v>
      </c>
      <c r="AZ510" s="97" t="s">
        <v>13</v>
      </c>
      <c r="BF510" s="26"/>
      <c r="BG510" s="26"/>
      <c r="BH510" s="83"/>
      <c r="BL510" s="26" t="s">
        <v>13</v>
      </c>
      <c r="BM510" s="25" t="s">
        <v>13</v>
      </c>
      <c r="CA510" s="25" t="s">
        <v>13</v>
      </c>
      <c r="CC510" s="25" t="s">
        <v>13</v>
      </c>
    </row>
    <row r="511" spans="1:81">
      <c r="A511" s="6" t="s">
        <v>494</v>
      </c>
      <c r="B511" s="25" t="s">
        <v>315</v>
      </c>
      <c r="C511" s="76">
        <v>209.583</v>
      </c>
      <c r="F511" s="25">
        <f t="shared" si="165"/>
        <v>529</v>
      </c>
      <c r="G511" s="23" t="s">
        <v>389</v>
      </c>
      <c r="H511" s="23">
        <f t="shared" si="170"/>
        <v>264.5</v>
      </c>
      <c r="I511" s="23">
        <f t="shared" si="171"/>
        <v>1058</v>
      </c>
      <c r="J511" s="23" t="s">
        <v>481</v>
      </c>
      <c r="K511" s="23" t="s">
        <v>400</v>
      </c>
      <c r="L511" s="21">
        <v>529</v>
      </c>
      <c r="O511" s="21">
        <v>2000</v>
      </c>
      <c r="P511" s="25">
        <f t="shared" si="167"/>
        <v>2000</v>
      </c>
      <c r="Q511" s="25" t="s">
        <v>491</v>
      </c>
      <c r="R511" s="26" t="s">
        <v>13</v>
      </c>
      <c r="S511" s="6" t="s">
        <v>1131</v>
      </c>
      <c r="T511" s="44" t="s">
        <v>1165</v>
      </c>
      <c r="U511" s="62">
        <v>178</v>
      </c>
      <c r="V511" s="62">
        <v>182.7</v>
      </c>
      <c r="W511" s="62">
        <v>174.1</v>
      </c>
      <c r="X511" s="26">
        <v>1031.3443742917273</v>
      </c>
      <c r="Y511" s="26" t="s">
        <v>389</v>
      </c>
      <c r="Z511" s="26">
        <f t="shared" si="168"/>
        <v>721.94106200420902</v>
      </c>
      <c r="AA511" s="26">
        <f t="shared" si="169"/>
        <v>1547.016561437591</v>
      </c>
      <c r="AB511" s="25" t="s">
        <v>1191</v>
      </c>
      <c r="AC511" s="77" t="s">
        <v>400</v>
      </c>
      <c r="AF511" s="26">
        <v>23339</v>
      </c>
      <c r="AG511" s="25" t="s">
        <v>13</v>
      </c>
      <c r="AM511" s="26"/>
      <c r="AN511" s="26"/>
      <c r="AO511" s="26"/>
      <c r="AP511" s="26"/>
      <c r="AQ511" s="29"/>
      <c r="AR511" s="26"/>
      <c r="AS511" s="26"/>
      <c r="AT511" s="26"/>
      <c r="AU511" s="26"/>
      <c r="AV511" s="26"/>
      <c r="AX511" s="26" t="s">
        <v>13</v>
      </c>
      <c r="AZ511" s="97" t="s">
        <v>13</v>
      </c>
      <c r="BF511" s="26"/>
      <c r="BG511" s="26"/>
      <c r="BH511" s="83"/>
      <c r="BL511" s="26" t="s">
        <v>13</v>
      </c>
      <c r="BM511" s="25" t="s">
        <v>13</v>
      </c>
      <c r="CA511" s="25" t="s">
        <v>13</v>
      </c>
      <c r="CC511" s="25" t="s">
        <v>13</v>
      </c>
    </row>
    <row r="512" spans="1:81">
      <c r="A512" s="6" t="s">
        <v>494</v>
      </c>
      <c r="B512" s="25" t="s">
        <v>315</v>
      </c>
      <c r="C512" s="76">
        <v>209.51499999999999</v>
      </c>
      <c r="F512" s="25">
        <f t="shared" si="165"/>
        <v>1220</v>
      </c>
      <c r="G512" s="23" t="s">
        <v>389</v>
      </c>
      <c r="H512" s="23">
        <f t="shared" si="170"/>
        <v>610</v>
      </c>
      <c r="I512" s="23">
        <f t="shared" si="171"/>
        <v>2440</v>
      </c>
      <c r="J512" s="23" t="s">
        <v>481</v>
      </c>
      <c r="K512" s="23" t="s">
        <v>400</v>
      </c>
      <c r="L512" s="21">
        <v>1220</v>
      </c>
      <c r="O512" s="21">
        <v>2000</v>
      </c>
      <c r="P512" s="25">
        <f t="shared" si="167"/>
        <v>2000</v>
      </c>
      <c r="Q512" s="25" t="s">
        <v>491</v>
      </c>
      <c r="R512" s="26" t="s">
        <v>13</v>
      </c>
      <c r="S512" s="6" t="s">
        <v>1131</v>
      </c>
      <c r="T512" s="44" t="s">
        <v>1165</v>
      </c>
      <c r="U512" s="62">
        <v>178</v>
      </c>
      <c r="V512" s="62">
        <v>182.7</v>
      </c>
      <c r="W512" s="62">
        <v>174.1</v>
      </c>
      <c r="X512" s="26">
        <v>975.9231389069007</v>
      </c>
      <c r="Y512" s="26" t="s">
        <v>389</v>
      </c>
      <c r="Z512" s="26">
        <f t="shared" si="168"/>
        <v>683.14619723483042</v>
      </c>
      <c r="AA512" s="26">
        <f t="shared" si="169"/>
        <v>1463.8847083603509</v>
      </c>
      <c r="AB512" s="25" t="s">
        <v>1191</v>
      </c>
      <c r="AC512" s="77" t="s">
        <v>400</v>
      </c>
      <c r="AF512" s="26" t="s">
        <v>1353</v>
      </c>
      <c r="AG512" s="25" t="s">
        <v>13</v>
      </c>
      <c r="AM512" s="26"/>
      <c r="AN512" s="26"/>
      <c r="AO512" s="26"/>
      <c r="AP512" s="26"/>
      <c r="AQ512" s="29"/>
      <c r="AR512" s="26"/>
      <c r="AS512" s="26"/>
      <c r="AT512" s="26"/>
      <c r="AU512" s="26"/>
      <c r="AV512" s="26"/>
      <c r="AX512" s="26" t="s">
        <v>13</v>
      </c>
      <c r="AZ512" s="97" t="s">
        <v>13</v>
      </c>
      <c r="BF512" s="26"/>
      <c r="BG512" s="26"/>
      <c r="BH512" s="83"/>
      <c r="BL512" s="26" t="s">
        <v>13</v>
      </c>
      <c r="BM512" s="25" t="s">
        <v>13</v>
      </c>
      <c r="CA512" s="25" t="s">
        <v>13</v>
      </c>
      <c r="CC512" s="25" t="s">
        <v>13</v>
      </c>
    </row>
    <row r="513" spans="1:81">
      <c r="A513" s="6" t="s">
        <v>494</v>
      </c>
      <c r="B513" s="25" t="s">
        <v>315</v>
      </c>
      <c r="C513" s="76">
        <v>209.309</v>
      </c>
      <c r="F513" s="25">
        <f t="shared" si="165"/>
        <v>1025</v>
      </c>
      <c r="G513" s="23" t="s">
        <v>389</v>
      </c>
      <c r="H513" s="23">
        <f t="shared" si="170"/>
        <v>512.5</v>
      </c>
      <c r="I513" s="23">
        <f t="shared" si="171"/>
        <v>2050</v>
      </c>
      <c r="J513" s="23" t="s">
        <v>481</v>
      </c>
      <c r="K513" s="23" t="s">
        <v>400</v>
      </c>
      <c r="L513" s="21">
        <v>1025</v>
      </c>
      <c r="O513" s="21">
        <v>2800</v>
      </c>
      <c r="P513" s="25">
        <f t="shared" si="167"/>
        <v>2800</v>
      </c>
      <c r="Q513" s="25" t="s">
        <v>492</v>
      </c>
      <c r="R513" s="26" t="s">
        <v>13</v>
      </c>
      <c r="S513" s="6" t="s">
        <v>1131</v>
      </c>
      <c r="T513" s="44" t="s">
        <v>1165</v>
      </c>
      <c r="U513" s="62">
        <v>178</v>
      </c>
      <c r="V513" s="62">
        <v>182.7</v>
      </c>
      <c r="W513" s="62">
        <v>174.1</v>
      </c>
      <c r="X513" s="26">
        <v>1022.1932380710612</v>
      </c>
      <c r="Y513" s="26" t="s">
        <v>389</v>
      </c>
      <c r="Z513" s="26">
        <f t="shared" si="168"/>
        <v>715.53526664974277</v>
      </c>
      <c r="AA513" s="26">
        <f t="shared" si="169"/>
        <v>1533.2898571065916</v>
      </c>
      <c r="AB513" s="25" t="s">
        <v>1191</v>
      </c>
      <c r="AC513" s="77" t="s">
        <v>400</v>
      </c>
      <c r="AF513" s="26" t="s">
        <v>1354</v>
      </c>
      <c r="AG513" s="25" t="s">
        <v>13</v>
      </c>
      <c r="AM513" s="26"/>
      <c r="AN513" s="26"/>
      <c r="AO513" s="26"/>
      <c r="AP513" s="26"/>
      <c r="AQ513" s="29"/>
      <c r="AR513" s="26"/>
      <c r="AS513" s="26"/>
      <c r="AT513" s="26"/>
      <c r="AU513" s="26"/>
      <c r="AV513" s="26"/>
      <c r="AX513" s="26" t="s">
        <v>13</v>
      </c>
      <c r="AZ513" s="97" t="s">
        <v>13</v>
      </c>
      <c r="BF513" s="26"/>
      <c r="BG513" s="26"/>
      <c r="BH513" s="83"/>
      <c r="BL513" s="26" t="s">
        <v>13</v>
      </c>
      <c r="BM513" s="25" t="s">
        <v>13</v>
      </c>
      <c r="CA513" s="25" t="s">
        <v>13</v>
      </c>
      <c r="CC513" s="25" t="s">
        <v>13</v>
      </c>
    </row>
    <row r="514" spans="1:81">
      <c r="A514" s="6" t="s">
        <v>494</v>
      </c>
      <c r="B514" s="25" t="s">
        <v>315</v>
      </c>
      <c r="C514" s="76">
        <v>209.172</v>
      </c>
      <c r="F514" s="25">
        <f t="shared" si="165"/>
        <v>1406</v>
      </c>
      <c r="G514" s="23" t="s">
        <v>389</v>
      </c>
      <c r="H514" s="23">
        <f t="shared" si="170"/>
        <v>703</v>
      </c>
      <c r="I514" s="23">
        <f t="shared" si="171"/>
        <v>2812</v>
      </c>
      <c r="J514" s="23" t="s">
        <v>481</v>
      </c>
      <c r="K514" s="23" t="s">
        <v>400</v>
      </c>
      <c r="L514" s="21">
        <v>1406</v>
      </c>
      <c r="O514" s="21">
        <v>2800</v>
      </c>
      <c r="P514" s="25">
        <f t="shared" si="167"/>
        <v>2800</v>
      </c>
      <c r="Q514" s="25" t="s">
        <v>492</v>
      </c>
      <c r="R514" s="26" t="s">
        <v>13</v>
      </c>
      <c r="S514" s="6" t="s">
        <v>1131</v>
      </c>
      <c r="T514" s="44" t="s">
        <v>1165</v>
      </c>
      <c r="U514" s="62">
        <v>178</v>
      </c>
      <c r="V514" s="62">
        <v>182.7</v>
      </c>
      <c r="W514" s="62">
        <v>174.1</v>
      </c>
      <c r="X514" s="26">
        <v>807.61108772504451</v>
      </c>
      <c r="Y514" s="26" t="s">
        <v>389</v>
      </c>
      <c r="Z514" s="26">
        <f t="shared" si="168"/>
        <v>565.32776140753117</v>
      </c>
      <c r="AA514" s="26">
        <f t="shared" si="169"/>
        <v>1211.4166315875668</v>
      </c>
      <c r="AB514" s="25" t="s">
        <v>1191</v>
      </c>
      <c r="AC514" s="77" t="s">
        <v>400</v>
      </c>
      <c r="AF514" s="26" t="s">
        <v>1355</v>
      </c>
      <c r="AG514" s="25" t="s">
        <v>13</v>
      </c>
      <c r="AQ514" s="29"/>
      <c r="AX514" s="26" t="s">
        <v>13</v>
      </c>
      <c r="AZ514" s="97" t="s">
        <v>13</v>
      </c>
      <c r="BF514" s="26"/>
      <c r="BG514" s="26"/>
      <c r="BH514" s="83"/>
      <c r="BL514" s="26" t="s">
        <v>13</v>
      </c>
      <c r="BM514" s="25" t="s">
        <v>13</v>
      </c>
      <c r="CA514" s="25" t="s">
        <v>13</v>
      </c>
      <c r="CC514" s="25" t="s">
        <v>13</v>
      </c>
    </row>
    <row r="515" spans="1:81">
      <c r="A515" s="6" t="s">
        <v>494</v>
      </c>
      <c r="B515" s="25" t="s">
        <v>315</v>
      </c>
      <c r="C515" s="76">
        <v>208.96600000000001</v>
      </c>
      <c r="F515" s="25">
        <f t="shared" ref="F515:F520" si="174">L515</f>
        <v>1063</v>
      </c>
      <c r="G515" s="23" t="s">
        <v>389</v>
      </c>
      <c r="H515" s="23">
        <f t="shared" si="170"/>
        <v>531.5</v>
      </c>
      <c r="I515" s="23">
        <f t="shared" si="171"/>
        <v>2126</v>
      </c>
      <c r="J515" s="23" t="s">
        <v>481</v>
      </c>
      <c r="K515" s="23" t="s">
        <v>400</v>
      </c>
      <c r="L515" s="21">
        <v>1063</v>
      </c>
      <c r="O515" s="21">
        <v>2800</v>
      </c>
      <c r="P515" s="25">
        <f t="shared" si="167"/>
        <v>2800</v>
      </c>
      <c r="Q515" s="25" t="s">
        <v>492</v>
      </c>
      <c r="R515" s="26" t="s">
        <v>13</v>
      </c>
      <c r="S515" s="6" t="s">
        <v>1131</v>
      </c>
      <c r="T515" s="44" t="s">
        <v>1165</v>
      </c>
      <c r="U515" s="62">
        <v>178</v>
      </c>
      <c r="V515" s="62">
        <v>182.7</v>
      </c>
      <c r="W515" s="62">
        <v>174.1</v>
      </c>
      <c r="X515" s="26">
        <v>666.81748198932019</v>
      </c>
      <c r="Y515" s="26" t="s">
        <v>389</v>
      </c>
      <c r="Z515" s="26">
        <f t="shared" si="168"/>
        <v>466.77223739252412</v>
      </c>
      <c r="AA515" s="26">
        <f t="shared" si="169"/>
        <v>1000.2262229839803</v>
      </c>
      <c r="AB515" s="25" t="s">
        <v>1191</v>
      </c>
      <c r="AC515" s="77" t="s">
        <v>400</v>
      </c>
      <c r="AF515" s="26" t="s">
        <v>1356</v>
      </c>
      <c r="AG515" s="25" t="s">
        <v>13</v>
      </c>
      <c r="AQ515" s="29"/>
      <c r="AX515" s="26" t="s">
        <v>13</v>
      </c>
      <c r="AZ515" s="97" t="s">
        <v>13</v>
      </c>
      <c r="BF515" s="26"/>
      <c r="BG515" s="26"/>
      <c r="BH515" s="83"/>
      <c r="BL515" s="26" t="s">
        <v>13</v>
      </c>
      <c r="BM515" s="25" t="s">
        <v>13</v>
      </c>
      <c r="CA515" s="25" t="s">
        <v>13</v>
      </c>
      <c r="CC515" s="25" t="s">
        <v>13</v>
      </c>
    </row>
    <row r="516" spans="1:81">
      <c r="A516" s="6" t="s">
        <v>494</v>
      </c>
      <c r="B516" s="25" t="s">
        <v>315</v>
      </c>
      <c r="C516" s="76">
        <v>208.62299999999999</v>
      </c>
      <c r="F516" s="25">
        <f t="shared" si="174"/>
        <v>1869</v>
      </c>
      <c r="G516" s="23" t="s">
        <v>389</v>
      </c>
      <c r="H516" s="23">
        <f t="shared" si="170"/>
        <v>934.5</v>
      </c>
      <c r="I516" s="23">
        <f t="shared" si="171"/>
        <v>3738</v>
      </c>
      <c r="J516" s="23" t="s">
        <v>481</v>
      </c>
      <c r="K516" s="23" t="s">
        <v>400</v>
      </c>
      <c r="L516" s="21">
        <v>1869</v>
      </c>
      <c r="O516" s="21">
        <v>2800</v>
      </c>
      <c r="P516" s="25">
        <f>O516</f>
        <v>2800</v>
      </c>
      <c r="Q516" s="25" t="s">
        <v>492</v>
      </c>
      <c r="R516" s="26" t="s">
        <v>13</v>
      </c>
      <c r="S516" s="6" t="s">
        <v>1131</v>
      </c>
      <c r="T516" s="44" t="s">
        <v>1165</v>
      </c>
      <c r="U516" s="62">
        <v>178</v>
      </c>
      <c r="V516" s="62">
        <v>182.7</v>
      </c>
      <c r="W516" s="62">
        <v>174.1</v>
      </c>
      <c r="X516" s="26">
        <v>694.73861319369678</v>
      </c>
      <c r="Y516" s="26" t="s">
        <v>389</v>
      </c>
      <c r="Z516" s="26">
        <f t="shared" si="168"/>
        <v>486.31702923558771</v>
      </c>
      <c r="AA516" s="26">
        <f t="shared" si="169"/>
        <v>1042.1079197905451</v>
      </c>
      <c r="AB516" s="25" t="s">
        <v>1191</v>
      </c>
      <c r="AC516" s="77" t="s">
        <v>400</v>
      </c>
      <c r="AF516" s="26" t="s">
        <v>1357</v>
      </c>
      <c r="AG516" s="25" t="s">
        <v>13</v>
      </c>
      <c r="AQ516" s="29"/>
      <c r="AX516" s="26" t="s">
        <v>13</v>
      </c>
      <c r="AZ516" s="97" t="s">
        <v>13</v>
      </c>
      <c r="BF516" s="26"/>
      <c r="BG516" s="26"/>
      <c r="BH516" s="83"/>
      <c r="BL516" s="26" t="s">
        <v>13</v>
      </c>
      <c r="BM516" s="25" t="s">
        <v>13</v>
      </c>
      <c r="CA516" s="25" t="s">
        <v>13</v>
      </c>
      <c r="CC516" s="25" t="s">
        <v>13</v>
      </c>
    </row>
    <row r="517" spans="1:81">
      <c r="A517" s="6" t="s">
        <v>494</v>
      </c>
      <c r="B517" s="25" t="s">
        <v>315</v>
      </c>
      <c r="C517" s="76">
        <v>208.417</v>
      </c>
      <c r="F517" s="25">
        <f t="shared" si="174"/>
        <v>904</v>
      </c>
      <c r="G517" s="23" t="s">
        <v>389</v>
      </c>
      <c r="H517" s="23">
        <f t="shared" si="170"/>
        <v>452</v>
      </c>
      <c r="I517" s="23">
        <f t="shared" si="171"/>
        <v>1808</v>
      </c>
      <c r="J517" s="23" t="s">
        <v>481</v>
      </c>
      <c r="K517" s="23" t="s">
        <v>400</v>
      </c>
      <c r="L517" s="21">
        <v>904</v>
      </c>
      <c r="O517" s="21">
        <v>2000</v>
      </c>
      <c r="P517" s="25">
        <f>O517</f>
        <v>2000</v>
      </c>
      <c r="Q517" s="25" t="s">
        <v>491</v>
      </c>
      <c r="R517" s="26" t="s">
        <v>13</v>
      </c>
      <c r="S517" s="6" t="s">
        <v>1131</v>
      </c>
      <c r="T517" s="44" t="s">
        <v>1165</v>
      </c>
      <c r="U517" s="62">
        <v>179</v>
      </c>
      <c r="V517" s="62">
        <v>182.7</v>
      </c>
      <c r="W517" s="62">
        <v>174.1</v>
      </c>
      <c r="X517" s="26">
        <v>966.41602983370694</v>
      </c>
      <c r="Y517" s="26" t="s">
        <v>389</v>
      </c>
      <c r="Z517" s="26">
        <f t="shared" si="168"/>
        <v>676.49122088359479</v>
      </c>
      <c r="AA517" s="26">
        <f t="shared" si="169"/>
        <v>1449.6240447505604</v>
      </c>
      <c r="AB517" s="25" t="s">
        <v>1191</v>
      </c>
      <c r="AC517" s="77" t="s">
        <v>400</v>
      </c>
      <c r="AF517" s="26" t="s">
        <v>1358</v>
      </c>
      <c r="AG517" s="25" t="s">
        <v>13</v>
      </c>
      <c r="AQ517" s="29"/>
      <c r="AX517" s="26" t="s">
        <v>13</v>
      </c>
      <c r="AZ517" s="97" t="s">
        <v>13</v>
      </c>
      <c r="BF517" s="26"/>
      <c r="BG517" s="26"/>
      <c r="BH517" s="83"/>
      <c r="BL517" s="26" t="s">
        <v>13</v>
      </c>
      <c r="BM517" s="25" t="s">
        <v>13</v>
      </c>
      <c r="CA517" s="25" t="s">
        <v>13</v>
      </c>
      <c r="CC517" s="25" t="s">
        <v>13</v>
      </c>
    </row>
    <row r="518" spans="1:81">
      <c r="A518" s="6" t="s">
        <v>494</v>
      </c>
      <c r="B518" s="25" t="s">
        <v>315</v>
      </c>
      <c r="C518" s="76">
        <v>208.21100000000001</v>
      </c>
      <c r="F518" s="25">
        <f t="shared" si="174"/>
        <v>1179</v>
      </c>
      <c r="G518" s="23" t="s">
        <v>389</v>
      </c>
      <c r="H518" s="23">
        <f t="shared" si="170"/>
        <v>589.5</v>
      </c>
      <c r="I518" s="23">
        <f t="shared" si="171"/>
        <v>2358</v>
      </c>
      <c r="J518" s="23" t="s">
        <v>481</v>
      </c>
      <c r="K518" s="23" t="s">
        <v>400</v>
      </c>
      <c r="L518" s="21">
        <v>1179</v>
      </c>
      <c r="O518" s="21">
        <v>2000</v>
      </c>
      <c r="P518" s="25">
        <f>O518</f>
        <v>2000</v>
      </c>
      <c r="Q518" s="25" t="s">
        <v>491</v>
      </c>
      <c r="R518" s="26" t="s">
        <v>13</v>
      </c>
      <c r="S518" s="6" t="s">
        <v>1131</v>
      </c>
      <c r="T518" s="44" t="s">
        <v>1165</v>
      </c>
      <c r="U518" s="62">
        <v>179</v>
      </c>
      <c r="V518" s="62">
        <v>182.7</v>
      </c>
      <c r="W518" s="62">
        <v>174.1</v>
      </c>
      <c r="X518" s="26">
        <v>1037.1637463023621</v>
      </c>
      <c r="Y518" s="26" t="s">
        <v>389</v>
      </c>
      <c r="Z518" s="26">
        <f t="shared" si="168"/>
        <v>726.01462241165348</v>
      </c>
      <c r="AA518" s="26">
        <f t="shared" si="169"/>
        <v>1555.7456194535432</v>
      </c>
      <c r="AB518" s="25" t="s">
        <v>1191</v>
      </c>
      <c r="AC518" s="77" t="s">
        <v>400</v>
      </c>
      <c r="AF518" s="26" t="s">
        <v>1359</v>
      </c>
      <c r="AG518" s="25" t="s">
        <v>13</v>
      </c>
      <c r="AQ518" s="29"/>
      <c r="AX518" s="26" t="s">
        <v>13</v>
      </c>
      <c r="AZ518" s="97" t="s">
        <v>13</v>
      </c>
      <c r="BF518" s="26"/>
      <c r="BG518" s="26"/>
      <c r="BH518" s="83"/>
      <c r="BL518" s="26" t="s">
        <v>13</v>
      </c>
      <c r="BM518" s="25" t="s">
        <v>13</v>
      </c>
      <c r="CA518" s="25" t="s">
        <v>13</v>
      </c>
      <c r="CC518" s="25" t="s">
        <v>13</v>
      </c>
    </row>
    <row r="519" spans="1:81">
      <c r="A519" s="6" t="s">
        <v>494</v>
      </c>
      <c r="B519" s="25" t="s">
        <v>315</v>
      </c>
      <c r="C519" s="76">
        <v>208.006</v>
      </c>
      <c r="F519" s="25">
        <f t="shared" si="174"/>
        <v>964</v>
      </c>
      <c r="G519" s="23" t="s">
        <v>389</v>
      </c>
      <c r="H519" s="23">
        <f t="shared" si="170"/>
        <v>482</v>
      </c>
      <c r="I519" s="23">
        <f t="shared" si="171"/>
        <v>1928</v>
      </c>
      <c r="J519" s="23" t="s">
        <v>481</v>
      </c>
      <c r="K519" s="23" t="s">
        <v>400</v>
      </c>
      <c r="L519" s="21">
        <v>964</v>
      </c>
      <c r="O519" s="21">
        <v>2000</v>
      </c>
      <c r="P519" s="25">
        <f>O519</f>
        <v>2000</v>
      </c>
      <c r="Q519" s="25" t="s">
        <v>491</v>
      </c>
      <c r="R519" s="26" t="s">
        <v>13</v>
      </c>
      <c r="S519" s="6" t="s">
        <v>1131</v>
      </c>
      <c r="T519" s="44" t="s">
        <v>1165</v>
      </c>
      <c r="U519" s="62">
        <v>180</v>
      </c>
      <c r="V519" s="62">
        <v>182.7</v>
      </c>
      <c r="W519" s="62">
        <v>174.1</v>
      </c>
      <c r="X519" s="26">
        <v>1013.8320503544093</v>
      </c>
      <c r="Y519" s="26" t="s">
        <v>389</v>
      </c>
      <c r="Z519" s="26">
        <f t="shared" si="168"/>
        <v>709.68243524808645</v>
      </c>
      <c r="AA519" s="26">
        <f t="shared" si="169"/>
        <v>1520.7480755316139</v>
      </c>
      <c r="AB519" s="25" t="s">
        <v>1191</v>
      </c>
      <c r="AC519" s="77" t="s">
        <v>400</v>
      </c>
      <c r="AF519" s="26" t="s">
        <v>1360</v>
      </c>
      <c r="AG519" s="25" t="s">
        <v>13</v>
      </c>
      <c r="AQ519" s="29"/>
      <c r="AX519" s="26" t="s">
        <v>13</v>
      </c>
      <c r="AZ519" s="97" t="s">
        <v>13</v>
      </c>
      <c r="BF519" s="26"/>
      <c r="BG519" s="26"/>
      <c r="BH519" s="83"/>
      <c r="BL519" s="26" t="s">
        <v>13</v>
      </c>
      <c r="BM519" s="25" t="s">
        <v>13</v>
      </c>
      <c r="CA519" s="25" t="s">
        <v>13</v>
      </c>
      <c r="CC519" s="25" t="s">
        <v>13</v>
      </c>
    </row>
    <row r="520" spans="1:81">
      <c r="A520" s="6" t="s">
        <v>494</v>
      </c>
      <c r="B520" s="25" t="s">
        <v>315</v>
      </c>
      <c r="C520" s="76">
        <v>207.4</v>
      </c>
      <c r="F520" s="25">
        <f t="shared" si="174"/>
        <v>1978</v>
      </c>
      <c r="G520" s="23" t="s">
        <v>389</v>
      </c>
      <c r="H520" s="23">
        <f t="shared" si="170"/>
        <v>989</v>
      </c>
      <c r="I520" s="23">
        <f t="shared" si="171"/>
        <v>3956</v>
      </c>
      <c r="J520" s="23" t="s">
        <v>481</v>
      </c>
      <c r="K520" s="23" t="s">
        <v>400</v>
      </c>
      <c r="L520" s="21">
        <v>1978</v>
      </c>
      <c r="O520" s="21">
        <v>2000</v>
      </c>
      <c r="P520" s="25">
        <f>O520</f>
        <v>2000</v>
      </c>
      <c r="Q520" s="25" t="s">
        <v>491</v>
      </c>
      <c r="R520" s="26" t="s">
        <v>13</v>
      </c>
      <c r="S520" s="6" t="s">
        <v>1131</v>
      </c>
      <c r="T520" s="44" t="s">
        <v>1165</v>
      </c>
      <c r="U520" s="62">
        <v>180</v>
      </c>
      <c r="V520" s="62">
        <v>182.7</v>
      </c>
      <c r="W520" s="62">
        <v>174.1</v>
      </c>
      <c r="X520" s="26">
        <v>957.09331455728977</v>
      </c>
      <c r="Y520" s="26" t="s">
        <v>389</v>
      </c>
      <c r="Z520" s="26">
        <f t="shared" si="168"/>
        <v>669.96532019010283</v>
      </c>
      <c r="AA520" s="26">
        <f t="shared" si="169"/>
        <v>1435.6399718359346</v>
      </c>
      <c r="AB520" s="25" t="s">
        <v>1191</v>
      </c>
      <c r="AC520" s="77" t="s">
        <v>400</v>
      </c>
      <c r="AF520" s="26" t="s">
        <v>1361</v>
      </c>
      <c r="AG520" s="25" t="s">
        <v>13</v>
      </c>
      <c r="AQ520" s="29"/>
      <c r="AX520" s="26" t="s">
        <v>13</v>
      </c>
      <c r="AZ520" s="97" t="s">
        <v>13</v>
      </c>
      <c r="BF520" s="26"/>
      <c r="BG520" s="26"/>
      <c r="BH520" s="83"/>
      <c r="BL520" s="26" t="s">
        <v>13</v>
      </c>
      <c r="BM520" s="25" t="s">
        <v>13</v>
      </c>
      <c r="CA520" s="25" t="s">
        <v>13</v>
      </c>
      <c r="CC520" s="25" t="s">
        <v>13</v>
      </c>
    </row>
    <row r="521" spans="1:81">
      <c r="A521" s="6" t="s">
        <v>495</v>
      </c>
      <c r="B521" s="25" t="s">
        <v>497</v>
      </c>
      <c r="C521" s="25">
        <f>AVERAGE(D521:E521)</f>
        <v>205.15</v>
      </c>
      <c r="D521" s="62">
        <v>209</v>
      </c>
      <c r="E521" s="25">
        <v>201.3</v>
      </c>
      <c r="F521" s="25">
        <f t="shared" ref="F521:F526" si="175">L521*$P521/$O521</f>
        <v>1626.42</v>
      </c>
      <c r="G521" s="23" t="s">
        <v>389</v>
      </c>
      <c r="H521" s="26">
        <f t="shared" si="170"/>
        <v>813.21</v>
      </c>
      <c r="I521" s="26">
        <f t="shared" si="171"/>
        <v>3252.84</v>
      </c>
      <c r="J521" s="23" t="s">
        <v>496</v>
      </c>
      <c r="K521" s="23" t="s">
        <v>400</v>
      </c>
      <c r="L521" s="22">
        <v>2439.63</v>
      </c>
      <c r="M521" s="26">
        <f>L521-813.21</f>
        <v>1626.42</v>
      </c>
      <c r="N521" s="26">
        <f>L521+813.21</f>
        <v>3252.84</v>
      </c>
      <c r="O521" s="25">
        <v>3000</v>
      </c>
      <c r="P521" s="26">
        <f>35.3*40+588</f>
        <v>2000</v>
      </c>
      <c r="Q521" s="26" t="s">
        <v>498</v>
      </c>
      <c r="R521" s="26" t="s">
        <v>13</v>
      </c>
      <c r="S521" s="6" t="s">
        <v>1131</v>
      </c>
      <c r="T521" s="44" t="s">
        <v>1165</v>
      </c>
      <c r="U521" s="62">
        <v>181</v>
      </c>
      <c r="V521" s="62">
        <v>182.7</v>
      </c>
      <c r="W521" s="62">
        <v>174.1</v>
      </c>
      <c r="X521" s="26">
        <v>983.66529531459821</v>
      </c>
      <c r="Y521" s="26" t="s">
        <v>389</v>
      </c>
      <c r="Z521" s="26">
        <f t="shared" si="168"/>
        <v>688.56570672021871</v>
      </c>
      <c r="AA521" s="26">
        <f t="shared" si="169"/>
        <v>1475.4979429718974</v>
      </c>
      <c r="AB521" s="25" t="s">
        <v>1191</v>
      </c>
      <c r="AC521" s="77" t="s">
        <v>400</v>
      </c>
      <c r="AF521" s="26" t="s">
        <v>1362</v>
      </c>
      <c r="AG521" s="25" t="s">
        <v>13</v>
      </c>
      <c r="AQ521" s="29"/>
      <c r="AX521" s="26" t="s">
        <v>13</v>
      </c>
      <c r="AZ521" s="97" t="s">
        <v>13</v>
      </c>
      <c r="BF521" s="26"/>
      <c r="BG521" s="26"/>
      <c r="BH521" s="83"/>
      <c r="BL521" s="26" t="s">
        <v>13</v>
      </c>
      <c r="BM521" s="25" t="s">
        <v>13</v>
      </c>
      <c r="CA521" s="25" t="s">
        <v>13</v>
      </c>
      <c r="CC521" s="25" t="s">
        <v>13</v>
      </c>
    </row>
    <row r="522" spans="1:81">
      <c r="A522" s="6" t="s">
        <v>495</v>
      </c>
      <c r="B522" s="25" t="s">
        <v>497</v>
      </c>
      <c r="C522" s="25">
        <f>AVERAGE(D522:E522)</f>
        <v>205.15</v>
      </c>
      <c r="D522" s="62">
        <v>209</v>
      </c>
      <c r="E522" s="25">
        <v>201.3</v>
      </c>
      <c r="F522" s="25">
        <f t="shared" si="175"/>
        <v>1233.5466666666666</v>
      </c>
      <c r="G522" s="23" t="s">
        <v>389</v>
      </c>
      <c r="H522" s="26">
        <f t="shared" si="170"/>
        <v>616.77333333333331</v>
      </c>
      <c r="I522" s="26">
        <f t="shared" si="171"/>
        <v>2467.0933333333332</v>
      </c>
      <c r="J522" s="23" t="s">
        <v>496</v>
      </c>
      <c r="K522" s="23" t="s">
        <v>400</v>
      </c>
      <c r="L522" s="26">
        <v>1850.32</v>
      </c>
      <c r="M522" s="26">
        <f>L522-616.77</f>
        <v>1233.55</v>
      </c>
      <c r="N522" s="26">
        <f>L522+616.77</f>
        <v>2467.09</v>
      </c>
      <c r="O522" s="25">
        <v>3000</v>
      </c>
      <c r="P522" s="26">
        <f>35.3*40+588</f>
        <v>2000</v>
      </c>
      <c r="Q522" s="25" t="s">
        <v>498</v>
      </c>
      <c r="R522" s="26" t="s">
        <v>13</v>
      </c>
      <c r="S522" s="6" t="s">
        <v>1131</v>
      </c>
      <c r="T522" s="44" t="s">
        <v>1165</v>
      </c>
      <c r="U522" s="62">
        <v>181</v>
      </c>
      <c r="V522" s="62">
        <v>182.7</v>
      </c>
      <c r="W522" s="62">
        <v>174.1</v>
      </c>
      <c r="X522" s="26">
        <v>995.51286272210359</v>
      </c>
      <c r="Y522" s="26" t="s">
        <v>389</v>
      </c>
      <c r="Z522" s="26">
        <f t="shared" si="168"/>
        <v>696.85900390547249</v>
      </c>
      <c r="AA522" s="26">
        <f t="shared" si="169"/>
        <v>1493.2692940831553</v>
      </c>
      <c r="AB522" s="25" t="s">
        <v>1191</v>
      </c>
      <c r="AC522" s="77" t="s">
        <v>400</v>
      </c>
      <c r="AF522" s="26" t="s">
        <v>1363</v>
      </c>
      <c r="AG522" s="25" t="s">
        <v>13</v>
      </c>
      <c r="AQ522" s="29"/>
      <c r="AX522" s="26" t="s">
        <v>13</v>
      </c>
      <c r="AZ522" s="97" t="s">
        <v>13</v>
      </c>
      <c r="BF522" s="26"/>
      <c r="BG522" s="26"/>
      <c r="BH522" s="83"/>
      <c r="BL522" s="26" t="s">
        <v>13</v>
      </c>
      <c r="BM522" s="25" t="s">
        <v>13</v>
      </c>
      <c r="CA522" s="25" t="s">
        <v>13</v>
      </c>
      <c r="CC522" s="25" t="s">
        <v>13</v>
      </c>
    </row>
    <row r="523" spans="1:81">
      <c r="A523" s="6" t="s">
        <v>495</v>
      </c>
      <c r="B523" s="25" t="s">
        <v>497</v>
      </c>
      <c r="C523" s="25">
        <f>AVERAGE(D523:E523)</f>
        <v>205.15</v>
      </c>
      <c r="D523" s="62">
        <v>209</v>
      </c>
      <c r="E523" s="25">
        <v>201.3</v>
      </c>
      <c r="F523" s="25">
        <f t="shared" si="175"/>
        <v>1293.6933333333334</v>
      </c>
      <c r="G523" s="23" t="s">
        <v>389</v>
      </c>
      <c r="H523" s="26">
        <f t="shared" si="170"/>
        <v>646.84666666666669</v>
      </c>
      <c r="I523" s="26">
        <f t="shared" si="171"/>
        <v>2587.3866666666668</v>
      </c>
      <c r="J523" s="23" t="s">
        <v>496</v>
      </c>
      <c r="K523" s="23" t="s">
        <v>400</v>
      </c>
      <c r="L523" s="26">
        <v>1940.54</v>
      </c>
      <c r="M523" s="26">
        <f>L523-646.85</f>
        <v>1293.69</v>
      </c>
      <c r="N523" s="26">
        <f>L523+646.85</f>
        <v>2587.39</v>
      </c>
      <c r="O523" s="25">
        <v>3000</v>
      </c>
      <c r="P523" s="26">
        <f>35.3*40+588</f>
        <v>2000</v>
      </c>
      <c r="Q523" s="25" t="s">
        <v>498</v>
      </c>
      <c r="R523" s="26" t="s">
        <v>13</v>
      </c>
      <c r="S523" s="6" t="s">
        <v>1131</v>
      </c>
      <c r="T523" s="44" t="s">
        <v>1166</v>
      </c>
      <c r="U523" s="62">
        <v>182</v>
      </c>
      <c r="V523" s="62">
        <v>191</v>
      </c>
      <c r="W523" s="62">
        <v>174</v>
      </c>
      <c r="X523" s="26">
        <v>795.85347338517408</v>
      </c>
      <c r="Y523" s="26" t="s">
        <v>389</v>
      </c>
      <c r="Z523" s="26">
        <f t="shared" si="168"/>
        <v>557.09743136962186</v>
      </c>
      <c r="AA523" s="26">
        <f t="shared" si="169"/>
        <v>1193.7802100777612</v>
      </c>
      <c r="AB523" s="25" t="s">
        <v>1191</v>
      </c>
      <c r="AC523" s="77" t="s">
        <v>400</v>
      </c>
      <c r="AF523" s="26">
        <v>309018</v>
      </c>
      <c r="AG523" s="25" t="s">
        <v>13</v>
      </c>
      <c r="AQ523" s="29"/>
      <c r="AZ523" s="97" t="s">
        <v>13</v>
      </c>
      <c r="BF523" s="26"/>
      <c r="BG523" s="26"/>
      <c r="BH523" s="83"/>
      <c r="BL523" s="26" t="s">
        <v>13</v>
      </c>
      <c r="BM523" s="25" t="s">
        <v>13</v>
      </c>
      <c r="CA523" s="25" t="s">
        <v>13</v>
      </c>
      <c r="CC523" s="25" t="s">
        <v>13</v>
      </c>
    </row>
    <row r="524" spans="1:81">
      <c r="A524" s="6" t="s">
        <v>495</v>
      </c>
      <c r="B524" s="25" t="s">
        <v>294</v>
      </c>
      <c r="C524" s="25">
        <v>211.9</v>
      </c>
      <c r="D524" s="62">
        <f>C524+0.7</f>
        <v>212.6</v>
      </c>
      <c r="E524" s="25">
        <f>C524-0.7</f>
        <v>211.20000000000002</v>
      </c>
      <c r="F524" s="26">
        <f t="shared" si="175"/>
        <v>748.82</v>
      </c>
      <c r="G524" s="23" t="s">
        <v>389</v>
      </c>
      <c r="H524" s="26">
        <f t="shared" si="170"/>
        <v>374.41</v>
      </c>
      <c r="I524" s="26">
        <f t="shared" si="171"/>
        <v>1497.64</v>
      </c>
      <c r="J524" s="23" t="s">
        <v>496</v>
      </c>
      <c r="K524" s="23" t="s">
        <v>400</v>
      </c>
      <c r="L524" s="26">
        <v>1123.23</v>
      </c>
      <c r="M524" s="26">
        <f>L524-374.41</f>
        <v>748.81999999999994</v>
      </c>
      <c r="N524" s="26">
        <f>L524+374.41</f>
        <v>1497.64</v>
      </c>
      <c r="O524" s="25">
        <v>3000</v>
      </c>
      <c r="P524" s="26">
        <f>35.3*40+588</f>
        <v>2000</v>
      </c>
      <c r="Q524" s="25" t="s">
        <v>498</v>
      </c>
      <c r="R524" s="26" t="s">
        <v>13</v>
      </c>
      <c r="S524" s="6" t="s">
        <v>1131</v>
      </c>
      <c r="T524" s="44" t="s">
        <v>1165</v>
      </c>
      <c r="U524" s="62">
        <v>182</v>
      </c>
      <c r="V524" s="62">
        <v>182.7</v>
      </c>
      <c r="W524" s="62">
        <v>174.1</v>
      </c>
      <c r="X524" s="26">
        <v>979.77884309881586</v>
      </c>
      <c r="Y524" s="26" t="s">
        <v>389</v>
      </c>
      <c r="Z524" s="26">
        <f t="shared" si="168"/>
        <v>685.84519016917102</v>
      </c>
      <c r="AA524" s="26">
        <f t="shared" si="169"/>
        <v>1469.6682646482238</v>
      </c>
      <c r="AB524" s="25" t="s">
        <v>1191</v>
      </c>
      <c r="AC524" s="77" t="s">
        <v>400</v>
      </c>
      <c r="AF524" s="26" t="s">
        <v>1364</v>
      </c>
      <c r="AG524" s="25" t="s">
        <v>13</v>
      </c>
      <c r="AQ524" s="29"/>
      <c r="AZ524" s="97" t="s">
        <v>13</v>
      </c>
      <c r="BF524" s="26"/>
      <c r="BG524" s="26"/>
      <c r="BH524" s="83"/>
      <c r="BL524" s="26" t="s">
        <v>13</v>
      </c>
      <c r="BM524" s="25" t="s">
        <v>13</v>
      </c>
      <c r="CA524" s="25" t="s">
        <v>13</v>
      </c>
      <c r="CC524" s="25" t="s">
        <v>13</v>
      </c>
    </row>
    <row r="525" spans="1:81">
      <c r="A525" s="6" t="s">
        <v>495</v>
      </c>
      <c r="B525" s="25" t="s">
        <v>294</v>
      </c>
      <c r="C525" s="25">
        <v>211.9</v>
      </c>
      <c r="D525" s="62">
        <f>C525+0.7</f>
        <v>212.6</v>
      </c>
      <c r="E525" s="25">
        <f>C525-0.7</f>
        <v>211.20000000000002</v>
      </c>
      <c r="F525" s="26">
        <f t="shared" si="175"/>
        <v>786.36</v>
      </c>
      <c r="G525" s="23" t="s">
        <v>389</v>
      </c>
      <c r="H525" s="26">
        <f t="shared" si="170"/>
        <v>393.18</v>
      </c>
      <c r="I525" s="26">
        <f t="shared" si="171"/>
        <v>1572.72</v>
      </c>
      <c r="J525" s="23" t="s">
        <v>496</v>
      </c>
      <c r="K525" s="23" t="s">
        <v>400</v>
      </c>
      <c r="L525" s="26">
        <v>1179.54</v>
      </c>
      <c r="M525" s="26">
        <f>L525-393.18</f>
        <v>786.3599999999999</v>
      </c>
      <c r="N525" s="26">
        <f>L525+393.18</f>
        <v>1572.72</v>
      </c>
      <c r="O525" s="25">
        <v>3000</v>
      </c>
      <c r="P525" s="26">
        <f>35.3*40+588</f>
        <v>2000</v>
      </c>
      <c r="Q525" s="25" t="s">
        <v>498</v>
      </c>
      <c r="R525" s="26" t="s">
        <v>13</v>
      </c>
      <c r="S525" s="6" t="s">
        <v>1131</v>
      </c>
      <c r="T525" s="44" t="s">
        <v>1167</v>
      </c>
      <c r="U525" s="62">
        <v>184</v>
      </c>
      <c r="V525" s="62">
        <v>186</v>
      </c>
      <c r="W525" s="62">
        <v>182</v>
      </c>
      <c r="X525" s="26">
        <v>645.86643475709695</v>
      </c>
      <c r="Y525" s="26" t="s">
        <v>389</v>
      </c>
      <c r="Z525" s="26">
        <f t="shared" si="168"/>
        <v>452.10650432996783</v>
      </c>
      <c r="AA525" s="26">
        <f t="shared" si="169"/>
        <v>968.79965213564537</v>
      </c>
      <c r="AB525" s="25" t="s">
        <v>1191</v>
      </c>
      <c r="AC525" s="77" t="s">
        <v>400</v>
      </c>
      <c r="AF525" s="26" t="s">
        <v>1365</v>
      </c>
      <c r="AG525" s="25" t="s">
        <v>13</v>
      </c>
      <c r="AQ525" s="29"/>
      <c r="AZ525" s="97" t="s">
        <v>13</v>
      </c>
      <c r="BF525" s="26"/>
      <c r="BG525" s="26"/>
      <c r="BH525" s="83"/>
      <c r="BL525" s="26" t="s">
        <v>13</v>
      </c>
      <c r="BM525" s="25" t="s">
        <v>13</v>
      </c>
      <c r="CA525" s="25" t="s">
        <v>13</v>
      </c>
      <c r="CC525" s="25" t="s">
        <v>13</v>
      </c>
    </row>
    <row r="526" spans="1:81">
      <c r="A526" s="6" t="s">
        <v>518</v>
      </c>
      <c r="B526" s="25" t="s">
        <v>519</v>
      </c>
      <c r="C526" s="62">
        <v>34.17</v>
      </c>
      <c r="D526" s="62"/>
      <c r="F526" s="29">
        <f t="shared" si="175"/>
        <v>399.28</v>
      </c>
      <c r="G526" s="23" t="s">
        <v>389</v>
      </c>
      <c r="H526" s="26">
        <f>M526*$P526/$O526</f>
        <v>126.96</v>
      </c>
      <c r="I526" s="26">
        <f>N526*$P526/$O526</f>
        <v>671.6</v>
      </c>
      <c r="J526" s="23" t="s">
        <v>521</v>
      </c>
      <c r="K526" s="23" t="s">
        <v>522</v>
      </c>
      <c r="L526" s="26">
        <v>434</v>
      </c>
      <c r="M526" s="26">
        <f>L526-296</f>
        <v>138</v>
      </c>
      <c r="N526" s="26">
        <f>L526+296</f>
        <v>730</v>
      </c>
      <c r="O526" s="25">
        <v>2500</v>
      </c>
      <c r="P526" s="26">
        <v>2300</v>
      </c>
      <c r="Q526" s="25" t="s">
        <v>520</v>
      </c>
      <c r="R526" s="26" t="s">
        <v>13</v>
      </c>
      <c r="S526" s="6" t="s">
        <v>1131</v>
      </c>
      <c r="T526" s="44" t="s">
        <v>1168</v>
      </c>
      <c r="U526" s="62">
        <v>200</v>
      </c>
      <c r="V526" s="62">
        <v>201</v>
      </c>
      <c r="W526" s="62">
        <v>199</v>
      </c>
      <c r="X526" s="26">
        <v>870.45750623359095</v>
      </c>
      <c r="Y526" s="26" t="s">
        <v>389</v>
      </c>
      <c r="Z526" s="26">
        <f t="shared" si="168"/>
        <v>609.32025436351364</v>
      </c>
      <c r="AA526" s="26">
        <f t="shared" si="169"/>
        <v>1305.6862593503865</v>
      </c>
      <c r="AB526" s="25" t="s">
        <v>1191</v>
      </c>
      <c r="AC526" s="77" t="s">
        <v>400</v>
      </c>
      <c r="AF526" s="26">
        <v>317350</v>
      </c>
      <c r="AG526" s="25" t="s">
        <v>13</v>
      </c>
      <c r="AQ526" s="29"/>
      <c r="AZ526" s="97" t="s">
        <v>13</v>
      </c>
      <c r="BF526" s="26"/>
      <c r="BG526" s="26"/>
      <c r="BH526" s="83"/>
      <c r="BL526" s="26" t="s">
        <v>13</v>
      </c>
      <c r="BM526" s="25" t="s">
        <v>13</v>
      </c>
      <c r="CA526" s="25" t="s">
        <v>13</v>
      </c>
      <c r="CC526" s="25" t="s">
        <v>13</v>
      </c>
    </row>
    <row r="527" spans="1:81">
      <c r="A527" s="103" t="s">
        <v>540</v>
      </c>
      <c r="B527" s="104" t="s">
        <v>566</v>
      </c>
      <c r="C527" s="81">
        <v>296</v>
      </c>
      <c r="D527" s="81">
        <f t="shared" ref="D527:D550" si="176">C527+0.3</f>
        <v>296.3</v>
      </c>
      <c r="E527" s="81">
        <f t="shared" ref="E527:E550" si="177">C527-0.3</f>
        <v>295.7</v>
      </c>
      <c r="F527" s="105">
        <f>L527</f>
        <v>349</v>
      </c>
      <c r="G527" s="77" t="s">
        <v>239</v>
      </c>
      <c r="H527" s="32">
        <f t="shared" ref="H527:I537" si="178">M527</f>
        <v>85</v>
      </c>
      <c r="I527" s="32">
        <f t="shared" si="178"/>
        <v>996</v>
      </c>
      <c r="J527" s="77" t="s">
        <v>402</v>
      </c>
      <c r="K527" s="77" t="s">
        <v>400</v>
      </c>
      <c r="L527" s="32">
        <v>349</v>
      </c>
      <c r="M527" s="32">
        <v>85</v>
      </c>
      <c r="N527" s="32">
        <v>996</v>
      </c>
      <c r="O527" s="104"/>
      <c r="P527" s="32"/>
      <c r="Q527" s="30" t="s">
        <v>548</v>
      </c>
      <c r="R527" s="26" t="s">
        <v>13</v>
      </c>
      <c r="S527" s="6" t="s">
        <v>1131</v>
      </c>
      <c r="T527" s="44" t="s">
        <v>1169</v>
      </c>
      <c r="U527" s="62">
        <v>205</v>
      </c>
      <c r="V527" s="62">
        <v>209</v>
      </c>
      <c r="W527" s="62">
        <v>201.3</v>
      </c>
      <c r="X527" s="26">
        <v>1229.6081631032964</v>
      </c>
      <c r="Y527" s="26" t="s">
        <v>389</v>
      </c>
      <c r="Z527" s="26">
        <f t="shared" si="168"/>
        <v>860.72571417230745</v>
      </c>
      <c r="AA527" s="26">
        <f t="shared" si="169"/>
        <v>1844.4122446549445</v>
      </c>
      <c r="AB527" s="25" t="s">
        <v>1191</v>
      </c>
      <c r="AC527" s="77" t="s">
        <v>400</v>
      </c>
      <c r="AF527" s="26" t="s">
        <v>1366</v>
      </c>
      <c r="AG527" s="25" t="s">
        <v>13</v>
      </c>
      <c r="AQ527" s="29"/>
      <c r="AZ527" s="97" t="s">
        <v>13</v>
      </c>
      <c r="BF527" s="26"/>
      <c r="BG527" s="26"/>
      <c r="BH527" s="83"/>
      <c r="BL527" s="26" t="s">
        <v>13</v>
      </c>
      <c r="BM527" s="25" t="s">
        <v>13</v>
      </c>
      <c r="CA527" s="25" t="s">
        <v>13</v>
      </c>
      <c r="CC527" s="25" t="s">
        <v>13</v>
      </c>
    </row>
    <row r="528" spans="1:81">
      <c r="A528" s="103" t="s">
        <v>540</v>
      </c>
      <c r="B528" s="104" t="s">
        <v>566</v>
      </c>
      <c r="C528" s="81">
        <v>296</v>
      </c>
      <c r="D528" s="81">
        <f t="shared" si="176"/>
        <v>296.3</v>
      </c>
      <c r="E528" s="81">
        <f t="shared" si="177"/>
        <v>295.7</v>
      </c>
      <c r="F528" s="105">
        <f t="shared" ref="F528:F591" si="179">L528</f>
        <v>242</v>
      </c>
      <c r="G528" s="77" t="s">
        <v>239</v>
      </c>
      <c r="H528" s="32">
        <f t="shared" si="178"/>
        <v>46</v>
      </c>
      <c r="I528" s="32">
        <f t="shared" si="178"/>
        <v>734</v>
      </c>
      <c r="J528" s="77" t="s">
        <v>402</v>
      </c>
      <c r="K528" s="77" t="s">
        <v>400</v>
      </c>
      <c r="L528" s="32">
        <v>242</v>
      </c>
      <c r="M528" s="32">
        <v>46</v>
      </c>
      <c r="N528" s="32">
        <v>734</v>
      </c>
      <c r="O528" s="104"/>
      <c r="P528" s="32"/>
      <c r="Q528" s="30" t="s">
        <v>548</v>
      </c>
      <c r="R528" s="26" t="s">
        <v>13</v>
      </c>
      <c r="S528" s="6" t="s">
        <v>1131</v>
      </c>
      <c r="T528" s="44" t="s">
        <v>1170</v>
      </c>
      <c r="U528" s="62">
        <v>226</v>
      </c>
      <c r="V528" s="62">
        <v>232</v>
      </c>
      <c r="W528" s="62">
        <v>220</v>
      </c>
      <c r="X528" s="26">
        <v>1038.7904320747864</v>
      </c>
      <c r="Y528" s="26" t="s">
        <v>389</v>
      </c>
      <c r="Z528" s="26">
        <f t="shared" si="168"/>
        <v>727.15330245235043</v>
      </c>
      <c r="AA528" s="26">
        <f t="shared" si="169"/>
        <v>1558.1856481121795</v>
      </c>
      <c r="AB528" s="25" t="s">
        <v>1191</v>
      </c>
      <c r="AC528" s="77" t="s">
        <v>400</v>
      </c>
      <c r="AF528" s="26" t="s">
        <v>1367</v>
      </c>
      <c r="AG528" s="25" t="s">
        <v>13</v>
      </c>
      <c r="AQ528" s="29"/>
      <c r="AZ528" s="97" t="s">
        <v>13</v>
      </c>
      <c r="BF528" s="26"/>
      <c r="BG528" s="26"/>
      <c r="BH528" s="83"/>
      <c r="BL528" s="26" t="s">
        <v>13</v>
      </c>
      <c r="BM528" s="25" t="s">
        <v>13</v>
      </c>
      <c r="CA528" s="25" t="s">
        <v>13</v>
      </c>
      <c r="CC528" s="25" t="s">
        <v>13</v>
      </c>
    </row>
    <row r="529" spans="1:81">
      <c r="A529" s="103" t="s">
        <v>540</v>
      </c>
      <c r="B529" s="104" t="s">
        <v>566</v>
      </c>
      <c r="C529" s="81">
        <v>298</v>
      </c>
      <c r="D529" s="81">
        <f t="shared" si="176"/>
        <v>298.3</v>
      </c>
      <c r="E529" s="81">
        <f t="shared" si="177"/>
        <v>297.7</v>
      </c>
      <c r="F529" s="105">
        <f t="shared" si="179"/>
        <v>194</v>
      </c>
      <c r="G529" s="77" t="s">
        <v>239</v>
      </c>
      <c r="H529" s="32">
        <f t="shared" si="178"/>
        <v>47</v>
      </c>
      <c r="I529" s="32">
        <f t="shared" si="178"/>
        <v>558</v>
      </c>
      <c r="J529" s="77" t="s">
        <v>402</v>
      </c>
      <c r="K529" s="77" t="s">
        <v>400</v>
      </c>
      <c r="L529" s="104">
        <v>194</v>
      </c>
      <c r="M529" s="104">
        <v>47</v>
      </c>
      <c r="N529" s="104">
        <v>558</v>
      </c>
      <c r="O529" s="104"/>
      <c r="P529" s="104"/>
      <c r="Q529" s="30" t="s">
        <v>548</v>
      </c>
      <c r="R529" s="26" t="s">
        <v>13</v>
      </c>
      <c r="S529" s="6" t="s">
        <v>1131</v>
      </c>
      <c r="T529" s="44" t="s">
        <v>1170</v>
      </c>
      <c r="U529" s="62">
        <v>226</v>
      </c>
      <c r="V529" s="62">
        <v>232</v>
      </c>
      <c r="W529" s="62">
        <v>220</v>
      </c>
      <c r="X529" s="26">
        <v>1020.6061928426553</v>
      </c>
      <c r="Y529" s="26" t="s">
        <v>389</v>
      </c>
      <c r="Z529" s="26">
        <f t="shared" si="168"/>
        <v>714.42433498985872</v>
      </c>
      <c r="AA529" s="26">
        <f t="shared" si="169"/>
        <v>1530.9092892639831</v>
      </c>
      <c r="AB529" s="25" t="s">
        <v>1191</v>
      </c>
      <c r="AC529" s="77" t="s">
        <v>400</v>
      </c>
      <c r="AF529" s="26" t="s">
        <v>1368</v>
      </c>
      <c r="AG529" s="25" t="s">
        <v>13</v>
      </c>
      <c r="AQ529" s="29"/>
      <c r="AZ529" s="97" t="s">
        <v>13</v>
      </c>
      <c r="BF529" s="26"/>
      <c r="BG529" s="26"/>
      <c r="BH529" s="83"/>
      <c r="BL529" s="26" t="s">
        <v>13</v>
      </c>
      <c r="BM529" s="25" t="s">
        <v>13</v>
      </c>
      <c r="CA529" s="25" t="s">
        <v>13</v>
      </c>
      <c r="CC529" s="25" t="s">
        <v>13</v>
      </c>
    </row>
    <row r="530" spans="1:81">
      <c r="A530" s="103" t="s">
        <v>540</v>
      </c>
      <c r="B530" s="104" t="s">
        <v>566</v>
      </c>
      <c r="C530" s="81">
        <v>299</v>
      </c>
      <c r="D530" s="81">
        <f t="shared" si="176"/>
        <v>299.3</v>
      </c>
      <c r="E530" s="81">
        <f t="shared" si="177"/>
        <v>298.7</v>
      </c>
      <c r="F530" s="105">
        <f t="shared" si="179"/>
        <v>4</v>
      </c>
      <c r="G530" s="77" t="s">
        <v>239</v>
      </c>
      <c r="H530" s="32">
        <f t="shared" si="178"/>
        <v>1</v>
      </c>
      <c r="I530" s="32">
        <f t="shared" si="178"/>
        <v>19</v>
      </c>
      <c r="J530" s="77" t="s">
        <v>402</v>
      </c>
      <c r="K530" s="77" t="s">
        <v>400</v>
      </c>
      <c r="L530" s="104">
        <v>4</v>
      </c>
      <c r="M530" s="104">
        <v>1</v>
      </c>
      <c r="N530" s="104">
        <v>19</v>
      </c>
      <c r="O530" s="104"/>
      <c r="P530" s="104"/>
      <c r="Q530" s="30" t="s">
        <v>548</v>
      </c>
      <c r="R530" s="26" t="s">
        <v>13</v>
      </c>
      <c r="S530" s="6" t="s">
        <v>1131</v>
      </c>
      <c r="T530" s="44" t="s">
        <v>1171</v>
      </c>
      <c r="U530" s="62">
        <v>226</v>
      </c>
      <c r="V530" s="62">
        <v>232</v>
      </c>
      <c r="W530" s="62">
        <v>220</v>
      </c>
      <c r="X530" s="26">
        <v>1590.4262596795493</v>
      </c>
      <c r="Y530" s="26" t="s">
        <v>389</v>
      </c>
      <c r="Z530" s="26">
        <f t="shared" si="168"/>
        <v>1113.2983817756844</v>
      </c>
      <c r="AA530" s="26">
        <f t="shared" si="169"/>
        <v>2385.6393895193241</v>
      </c>
      <c r="AB530" s="25" t="s">
        <v>1191</v>
      </c>
      <c r="AC530" s="77" t="s">
        <v>400</v>
      </c>
      <c r="AF530" s="26" t="s">
        <v>1369</v>
      </c>
      <c r="AG530" s="25" t="s">
        <v>13</v>
      </c>
      <c r="AQ530" s="29"/>
      <c r="AZ530" s="97" t="s">
        <v>13</v>
      </c>
      <c r="BF530" s="26"/>
      <c r="BG530" s="26"/>
      <c r="BH530" s="83"/>
      <c r="BL530" s="26" t="s">
        <v>13</v>
      </c>
      <c r="BM530" s="25" t="s">
        <v>13</v>
      </c>
      <c r="CA530" s="25" t="s">
        <v>13</v>
      </c>
      <c r="CC530" s="25" t="s">
        <v>13</v>
      </c>
    </row>
    <row r="531" spans="1:81">
      <c r="A531" s="103" t="s">
        <v>540</v>
      </c>
      <c r="B531" s="104" t="s">
        <v>566</v>
      </c>
      <c r="C531" s="81">
        <v>299.3</v>
      </c>
      <c r="D531" s="81">
        <f t="shared" si="176"/>
        <v>299.60000000000002</v>
      </c>
      <c r="E531" s="81">
        <f t="shared" si="177"/>
        <v>299</v>
      </c>
      <c r="F531" s="105">
        <f t="shared" si="179"/>
        <v>380</v>
      </c>
      <c r="G531" s="77" t="s">
        <v>239</v>
      </c>
      <c r="H531" s="32">
        <f t="shared" si="178"/>
        <v>270</v>
      </c>
      <c r="I531" s="32">
        <f t="shared" si="178"/>
        <v>527</v>
      </c>
      <c r="J531" s="77" t="s">
        <v>402</v>
      </c>
      <c r="K531" s="77" t="s">
        <v>400</v>
      </c>
      <c r="L531" s="104">
        <v>380</v>
      </c>
      <c r="M531" s="104">
        <v>270</v>
      </c>
      <c r="N531" s="104">
        <v>527</v>
      </c>
      <c r="O531" s="104"/>
      <c r="P531" s="104"/>
      <c r="Q531" s="30" t="s">
        <v>557</v>
      </c>
      <c r="R531" s="26" t="s">
        <v>13</v>
      </c>
      <c r="S531" s="6" t="s">
        <v>1131</v>
      </c>
      <c r="T531" s="44" t="s">
        <v>1172</v>
      </c>
      <c r="U531" s="62">
        <v>237</v>
      </c>
      <c r="V531" s="62">
        <v>242</v>
      </c>
      <c r="W531" s="62">
        <v>232</v>
      </c>
      <c r="X531" s="26">
        <v>741.43676597456283</v>
      </c>
      <c r="Y531" s="26" t="s">
        <v>389</v>
      </c>
      <c r="Z531" s="26">
        <f t="shared" si="168"/>
        <v>519.00573618219391</v>
      </c>
      <c r="AA531" s="26">
        <f t="shared" si="169"/>
        <v>1112.1551489618441</v>
      </c>
      <c r="AB531" s="25" t="s">
        <v>1191</v>
      </c>
      <c r="AC531" s="77" t="s">
        <v>400</v>
      </c>
      <c r="AF531" s="26" t="s">
        <v>1370</v>
      </c>
      <c r="AG531" s="25" t="s">
        <v>13</v>
      </c>
      <c r="AQ531" s="29"/>
      <c r="AZ531" s="97" t="s">
        <v>13</v>
      </c>
      <c r="BF531" s="26"/>
      <c r="BG531" s="26"/>
      <c r="BH531" s="83"/>
      <c r="BL531" s="26" t="s">
        <v>13</v>
      </c>
      <c r="BM531" s="25" t="s">
        <v>13</v>
      </c>
      <c r="CA531" s="25" t="s">
        <v>13</v>
      </c>
      <c r="CC531" s="25" t="s">
        <v>13</v>
      </c>
    </row>
    <row r="532" spans="1:81">
      <c r="A532" s="103" t="s">
        <v>540</v>
      </c>
      <c r="B532" s="104" t="s">
        <v>566</v>
      </c>
      <c r="C532" s="81">
        <v>299.5</v>
      </c>
      <c r="D532" s="81">
        <f t="shared" si="176"/>
        <v>299.8</v>
      </c>
      <c r="E532" s="81">
        <f t="shared" si="177"/>
        <v>299.2</v>
      </c>
      <c r="F532" s="105">
        <f t="shared" si="179"/>
        <v>258</v>
      </c>
      <c r="G532" s="77" t="s">
        <v>239</v>
      </c>
      <c r="H532" s="32">
        <f t="shared" si="178"/>
        <v>106</v>
      </c>
      <c r="I532" s="32">
        <f t="shared" si="178"/>
        <v>528</v>
      </c>
      <c r="J532" s="77" t="s">
        <v>402</v>
      </c>
      <c r="K532" s="77" t="s">
        <v>400</v>
      </c>
      <c r="L532" s="104">
        <v>258</v>
      </c>
      <c r="M532" s="104">
        <v>106</v>
      </c>
      <c r="N532" s="104">
        <v>528</v>
      </c>
      <c r="O532" s="104"/>
      <c r="P532" s="104"/>
      <c r="Q532" s="104" t="s">
        <v>558</v>
      </c>
      <c r="R532" s="26" t="s">
        <v>13</v>
      </c>
      <c r="S532" s="6" t="s">
        <v>1131</v>
      </c>
      <c r="T532" s="44" t="s">
        <v>1173</v>
      </c>
      <c r="U532" s="62">
        <v>242</v>
      </c>
      <c r="V532" s="62">
        <v>247.2</v>
      </c>
      <c r="W532" s="62">
        <v>237</v>
      </c>
      <c r="X532" s="26">
        <v>683.29134518975218</v>
      </c>
      <c r="Y532" s="26" t="s">
        <v>389</v>
      </c>
      <c r="Z532" s="26">
        <f t="shared" si="168"/>
        <v>478.30394163282648</v>
      </c>
      <c r="AA532" s="26">
        <f t="shared" si="169"/>
        <v>1024.9370177846283</v>
      </c>
      <c r="AB532" s="25" t="s">
        <v>1191</v>
      </c>
      <c r="AC532" s="77" t="s">
        <v>400</v>
      </c>
      <c r="AF532" s="26">
        <v>272030</v>
      </c>
      <c r="AG532" s="25" t="s">
        <v>13</v>
      </c>
      <c r="AQ532" s="29"/>
      <c r="AZ532" s="97" t="s">
        <v>13</v>
      </c>
      <c r="BF532" s="26"/>
      <c r="BG532" s="26"/>
      <c r="BH532" s="83"/>
      <c r="BL532" s="26" t="s">
        <v>13</v>
      </c>
      <c r="BM532" s="25" t="s">
        <v>13</v>
      </c>
      <c r="CA532" s="25" t="s">
        <v>13</v>
      </c>
      <c r="CC532" s="25" t="s">
        <v>13</v>
      </c>
    </row>
    <row r="533" spans="1:81">
      <c r="A533" s="103" t="s">
        <v>540</v>
      </c>
      <c r="B533" s="104" t="s">
        <v>566</v>
      </c>
      <c r="C533" s="81">
        <v>299.5</v>
      </c>
      <c r="D533" s="81">
        <f t="shared" si="176"/>
        <v>299.8</v>
      </c>
      <c r="E533" s="81">
        <f t="shared" si="177"/>
        <v>299.2</v>
      </c>
      <c r="F533" s="105">
        <f t="shared" si="179"/>
        <v>193</v>
      </c>
      <c r="G533" s="77" t="s">
        <v>239</v>
      </c>
      <c r="H533" s="32">
        <f t="shared" si="178"/>
        <v>42</v>
      </c>
      <c r="I533" s="32">
        <f t="shared" si="178"/>
        <v>569</v>
      </c>
      <c r="J533" s="77" t="s">
        <v>402</v>
      </c>
      <c r="K533" s="77" t="s">
        <v>400</v>
      </c>
      <c r="L533" s="104">
        <v>193</v>
      </c>
      <c r="M533" s="104">
        <v>42</v>
      </c>
      <c r="N533" s="104">
        <v>569</v>
      </c>
      <c r="O533" s="104"/>
      <c r="P533" s="104"/>
      <c r="Q533" s="30" t="s">
        <v>548</v>
      </c>
      <c r="R533" s="26" t="s">
        <v>13</v>
      </c>
      <c r="S533" s="6" t="s">
        <v>1131</v>
      </c>
      <c r="T533" s="44" t="s">
        <v>1174</v>
      </c>
      <c r="U533" s="62">
        <v>246</v>
      </c>
      <c r="V533" s="62">
        <v>252.17</v>
      </c>
      <c r="W533" s="62">
        <v>251.2</v>
      </c>
      <c r="X533" s="26">
        <v>1185.8672327467625</v>
      </c>
      <c r="Y533" s="26" t="s">
        <v>389</v>
      </c>
      <c r="Z533" s="26">
        <f t="shared" si="168"/>
        <v>830.10706292273369</v>
      </c>
      <c r="AA533" s="26">
        <f t="shared" si="169"/>
        <v>1778.8008491201438</v>
      </c>
      <c r="AB533" s="25" t="s">
        <v>1191</v>
      </c>
      <c r="AC533" s="77" t="s">
        <v>400</v>
      </c>
      <c r="AF533" s="26" t="s">
        <v>1371</v>
      </c>
      <c r="AG533" s="25" t="s">
        <v>13</v>
      </c>
      <c r="AQ533" s="29"/>
      <c r="AZ533" s="97" t="s">
        <v>13</v>
      </c>
      <c r="BF533" s="26"/>
      <c r="BG533" s="26"/>
      <c r="BH533" s="83"/>
      <c r="BL533" s="26" t="s">
        <v>13</v>
      </c>
      <c r="BM533" s="25" t="s">
        <v>13</v>
      </c>
      <c r="CA533" s="25" t="s">
        <v>13</v>
      </c>
      <c r="CC533" s="25" t="s">
        <v>13</v>
      </c>
    </row>
    <row r="534" spans="1:81">
      <c r="A534" s="103" t="s">
        <v>540</v>
      </c>
      <c r="B534" s="104" t="s">
        <v>566</v>
      </c>
      <c r="C534" s="81">
        <v>300.39999999999998</v>
      </c>
      <c r="D534" s="81">
        <f t="shared" si="176"/>
        <v>300.7</v>
      </c>
      <c r="E534" s="81">
        <f t="shared" si="177"/>
        <v>300.09999999999997</v>
      </c>
      <c r="F534" s="105">
        <f t="shared" si="179"/>
        <v>675</v>
      </c>
      <c r="G534" s="77" t="s">
        <v>239</v>
      </c>
      <c r="H534" s="32">
        <f t="shared" si="178"/>
        <v>168</v>
      </c>
      <c r="I534" s="32">
        <f t="shared" si="178"/>
        <v>1902</v>
      </c>
      <c r="J534" s="77" t="s">
        <v>402</v>
      </c>
      <c r="K534" s="77" t="s">
        <v>400</v>
      </c>
      <c r="L534" s="104">
        <v>675</v>
      </c>
      <c r="M534" s="104">
        <v>168</v>
      </c>
      <c r="N534" s="104">
        <v>1902</v>
      </c>
      <c r="O534" s="104"/>
      <c r="P534" s="104"/>
      <c r="Q534" s="104" t="s">
        <v>559</v>
      </c>
      <c r="R534" s="26" t="s">
        <v>13</v>
      </c>
      <c r="S534" s="6" t="s">
        <v>1131</v>
      </c>
      <c r="T534" s="44" t="s">
        <v>1174</v>
      </c>
      <c r="U534" s="62">
        <v>247</v>
      </c>
      <c r="V534" s="62">
        <v>252.17</v>
      </c>
      <c r="W534" s="62">
        <v>251.2</v>
      </c>
      <c r="X534" s="26">
        <v>1055.7289771957726</v>
      </c>
      <c r="Y534" s="26" t="s">
        <v>389</v>
      </c>
      <c r="Z534" s="26">
        <f t="shared" si="168"/>
        <v>739.01028403704072</v>
      </c>
      <c r="AA534" s="26">
        <f t="shared" si="169"/>
        <v>1583.5934657936589</v>
      </c>
      <c r="AB534" s="25" t="s">
        <v>1191</v>
      </c>
      <c r="AC534" s="77" t="s">
        <v>400</v>
      </c>
      <c r="AF534" s="26" t="s">
        <v>1372</v>
      </c>
      <c r="AG534" s="25" t="s">
        <v>13</v>
      </c>
      <c r="AQ534" s="29"/>
      <c r="AZ534" s="97" t="s">
        <v>13</v>
      </c>
      <c r="BF534" s="26"/>
      <c r="BG534" s="26"/>
      <c r="BH534" s="83"/>
      <c r="BL534" s="26" t="s">
        <v>13</v>
      </c>
      <c r="BM534" s="25" t="s">
        <v>13</v>
      </c>
      <c r="CA534" s="25" t="s">
        <v>13</v>
      </c>
      <c r="CC534" s="25" t="s">
        <v>13</v>
      </c>
    </row>
    <row r="535" spans="1:81">
      <c r="A535" s="103" t="s">
        <v>540</v>
      </c>
      <c r="B535" s="104" t="s">
        <v>566</v>
      </c>
      <c r="C535" s="81">
        <v>300.39999999999998</v>
      </c>
      <c r="D535" s="81">
        <f t="shared" si="176"/>
        <v>300.7</v>
      </c>
      <c r="E535" s="81">
        <f t="shared" si="177"/>
        <v>300.09999999999997</v>
      </c>
      <c r="F535" s="105">
        <f t="shared" si="179"/>
        <v>550</v>
      </c>
      <c r="G535" s="77" t="s">
        <v>239</v>
      </c>
      <c r="H535" s="32">
        <f t="shared" si="178"/>
        <v>139</v>
      </c>
      <c r="I535" s="32">
        <f t="shared" si="178"/>
        <v>1573</v>
      </c>
      <c r="J535" s="77" t="s">
        <v>402</v>
      </c>
      <c r="K535" s="77" t="s">
        <v>400</v>
      </c>
      <c r="L535" s="104">
        <v>550</v>
      </c>
      <c r="M535" s="104">
        <v>139</v>
      </c>
      <c r="N535" s="104">
        <v>1573</v>
      </c>
      <c r="O535" s="104"/>
      <c r="P535" s="104"/>
      <c r="Q535" s="30" t="s">
        <v>548</v>
      </c>
      <c r="R535" s="26" t="s">
        <v>13</v>
      </c>
      <c r="S535" s="6" t="s">
        <v>1131</v>
      </c>
      <c r="T535" s="44" t="s">
        <v>1174</v>
      </c>
      <c r="U535" s="62">
        <v>247</v>
      </c>
      <c r="V535" s="62">
        <v>252.17</v>
      </c>
      <c r="W535" s="62">
        <v>251.2</v>
      </c>
      <c r="X535" s="26">
        <v>1619.8378972007577</v>
      </c>
      <c r="Y535" s="26" t="s">
        <v>389</v>
      </c>
      <c r="Z535" s="26">
        <f t="shared" si="168"/>
        <v>1133.8865280405303</v>
      </c>
      <c r="AA535" s="26">
        <f t="shared" si="169"/>
        <v>2429.7568458011365</v>
      </c>
      <c r="AB535" s="25" t="s">
        <v>1191</v>
      </c>
      <c r="AC535" s="77" t="s">
        <v>400</v>
      </c>
      <c r="AF535" s="26" t="s">
        <v>1373</v>
      </c>
      <c r="AG535" s="25" t="s">
        <v>13</v>
      </c>
      <c r="AQ535" s="29"/>
      <c r="AZ535" s="97" t="s">
        <v>13</v>
      </c>
      <c r="BF535" s="26"/>
      <c r="BG535" s="26"/>
      <c r="BH535" s="83"/>
      <c r="BL535" s="26" t="s">
        <v>13</v>
      </c>
      <c r="BM535" s="25" t="s">
        <v>13</v>
      </c>
      <c r="CA535" s="25" t="s">
        <v>13</v>
      </c>
      <c r="CC535" s="25" t="s">
        <v>13</v>
      </c>
    </row>
    <row r="536" spans="1:81">
      <c r="A536" s="103" t="s">
        <v>540</v>
      </c>
      <c r="B536" s="104" t="s">
        <v>566</v>
      </c>
      <c r="C536" s="81">
        <v>300.60000000000002</v>
      </c>
      <c r="D536" s="81">
        <f t="shared" si="176"/>
        <v>300.90000000000003</v>
      </c>
      <c r="E536" s="81">
        <f t="shared" si="177"/>
        <v>300.3</v>
      </c>
      <c r="F536" s="105">
        <f t="shared" si="179"/>
        <v>461</v>
      </c>
      <c r="G536" s="77" t="s">
        <v>239</v>
      </c>
      <c r="H536" s="32">
        <f t="shared" si="178"/>
        <v>116</v>
      </c>
      <c r="I536" s="32">
        <f t="shared" si="178"/>
        <v>1318</v>
      </c>
      <c r="J536" s="77" t="s">
        <v>402</v>
      </c>
      <c r="K536" s="77" t="s">
        <v>400</v>
      </c>
      <c r="L536" s="104">
        <v>461</v>
      </c>
      <c r="M536" s="104">
        <v>116</v>
      </c>
      <c r="N536" s="104">
        <v>1318</v>
      </c>
      <c r="O536" s="104"/>
      <c r="P536" s="104"/>
      <c r="Q536" s="30" t="s">
        <v>548</v>
      </c>
      <c r="R536" s="26" t="s">
        <v>13</v>
      </c>
      <c r="S536" s="6" t="s">
        <v>1131</v>
      </c>
      <c r="T536" s="44" t="s">
        <v>1175</v>
      </c>
      <c r="U536" s="62">
        <v>248</v>
      </c>
      <c r="V536" s="62">
        <v>252.17</v>
      </c>
      <c r="W536" s="62">
        <v>251.2</v>
      </c>
      <c r="X536" s="26">
        <v>423.21969216593698</v>
      </c>
      <c r="Y536" s="26" t="s">
        <v>389</v>
      </c>
      <c r="Z536" s="26">
        <f t="shared" si="168"/>
        <v>296.25378451615586</v>
      </c>
      <c r="AA536" s="26">
        <f t="shared" si="169"/>
        <v>634.82953824890546</v>
      </c>
      <c r="AB536" s="25" t="s">
        <v>1191</v>
      </c>
      <c r="AC536" s="77" t="s">
        <v>400</v>
      </c>
      <c r="AF536" s="26" t="s">
        <v>1374</v>
      </c>
      <c r="AG536" s="25" t="s">
        <v>13</v>
      </c>
      <c r="AQ536" s="29"/>
      <c r="AZ536" s="97" t="s">
        <v>13</v>
      </c>
      <c r="BF536" s="26"/>
      <c r="BG536" s="26"/>
      <c r="BH536" s="83"/>
      <c r="BL536" s="26" t="s">
        <v>13</v>
      </c>
      <c r="BM536" s="25" t="s">
        <v>13</v>
      </c>
      <c r="CA536" s="25" t="s">
        <v>13</v>
      </c>
      <c r="CC536" s="25" t="s">
        <v>13</v>
      </c>
    </row>
    <row r="537" spans="1:81">
      <c r="A537" s="103" t="s">
        <v>540</v>
      </c>
      <c r="B537" s="104" t="s">
        <v>566</v>
      </c>
      <c r="C537" s="81">
        <v>301</v>
      </c>
      <c r="D537" s="81">
        <f t="shared" si="176"/>
        <v>301.3</v>
      </c>
      <c r="E537" s="81">
        <f t="shared" si="177"/>
        <v>300.7</v>
      </c>
      <c r="F537" s="105">
        <f t="shared" si="179"/>
        <v>468</v>
      </c>
      <c r="G537" s="77" t="s">
        <v>239</v>
      </c>
      <c r="H537" s="32">
        <f t="shared" si="178"/>
        <v>116</v>
      </c>
      <c r="I537" s="32">
        <f t="shared" si="178"/>
        <v>1339</v>
      </c>
      <c r="J537" s="77" t="s">
        <v>402</v>
      </c>
      <c r="K537" s="77" t="s">
        <v>400</v>
      </c>
      <c r="L537" s="104">
        <v>468</v>
      </c>
      <c r="M537" s="104">
        <v>116</v>
      </c>
      <c r="N537" s="104">
        <v>1339</v>
      </c>
      <c r="O537" s="104"/>
      <c r="P537" s="104"/>
      <c r="Q537" s="30" t="s">
        <v>548</v>
      </c>
      <c r="R537" s="26" t="s">
        <v>13</v>
      </c>
      <c r="S537" s="6" t="s">
        <v>1131</v>
      </c>
      <c r="T537" s="44" t="s">
        <v>1176</v>
      </c>
      <c r="U537" s="62">
        <v>253</v>
      </c>
      <c r="V537" s="62">
        <v>254.14</v>
      </c>
      <c r="W537" s="62">
        <v>252.17</v>
      </c>
      <c r="X537" s="26">
        <v>872.57674779666479</v>
      </c>
      <c r="Y537" s="26" t="s">
        <v>389</v>
      </c>
      <c r="Z537" s="26">
        <f t="shared" si="168"/>
        <v>610.80372345766534</v>
      </c>
      <c r="AA537" s="26">
        <f t="shared" si="169"/>
        <v>1308.8651216949972</v>
      </c>
      <c r="AB537" s="25" t="s">
        <v>1191</v>
      </c>
      <c r="AC537" s="77" t="s">
        <v>400</v>
      </c>
      <c r="AF537" s="26">
        <v>16.39</v>
      </c>
      <c r="AG537" s="25" t="s">
        <v>13</v>
      </c>
      <c r="AQ537" s="29"/>
      <c r="AZ537" s="97" t="s">
        <v>13</v>
      </c>
      <c r="BF537" s="26"/>
      <c r="BG537" s="26"/>
      <c r="BH537" s="83"/>
      <c r="BL537" s="26" t="s">
        <v>13</v>
      </c>
      <c r="BM537" s="25" t="s">
        <v>13</v>
      </c>
      <c r="CA537" s="25" t="s">
        <v>13</v>
      </c>
      <c r="CC537" s="25" t="s">
        <v>13</v>
      </c>
    </row>
    <row r="538" spans="1:81">
      <c r="A538" s="103" t="s">
        <v>868</v>
      </c>
      <c r="B538" s="104" t="s">
        <v>869</v>
      </c>
      <c r="C538" s="106">
        <v>302.49</v>
      </c>
      <c r="D538" s="81">
        <f t="shared" si="176"/>
        <v>302.79000000000002</v>
      </c>
      <c r="E538" s="81">
        <f t="shared" si="177"/>
        <v>302.19</v>
      </c>
      <c r="F538" s="105">
        <f t="shared" si="179"/>
        <v>100</v>
      </c>
      <c r="G538" s="77" t="s">
        <v>239</v>
      </c>
      <c r="H538" s="32"/>
      <c r="I538" s="32"/>
      <c r="J538" s="77"/>
      <c r="K538" s="77"/>
      <c r="L538" s="104">
        <v>100</v>
      </c>
      <c r="M538" s="104"/>
      <c r="N538" s="104"/>
      <c r="O538" s="104"/>
      <c r="P538" s="104"/>
      <c r="Q538" s="104" t="s">
        <v>558</v>
      </c>
      <c r="R538" s="26" t="s">
        <v>13</v>
      </c>
      <c r="S538" s="6" t="s">
        <v>1131</v>
      </c>
      <c r="T538" s="44" t="s">
        <v>1176</v>
      </c>
      <c r="U538" s="62">
        <v>253</v>
      </c>
      <c r="V538" s="62">
        <v>254.14</v>
      </c>
      <c r="W538" s="62">
        <v>252.17</v>
      </c>
      <c r="X538" s="26">
        <v>1085.1792439737783</v>
      </c>
      <c r="Y538" s="26" t="s">
        <v>389</v>
      </c>
      <c r="Z538" s="26">
        <f t="shared" si="168"/>
        <v>759.62547078164471</v>
      </c>
      <c r="AA538" s="26">
        <f t="shared" si="169"/>
        <v>1627.7688659606674</v>
      </c>
      <c r="AB538" s="25" t="s">
        <v>1191</v>
      </c>
      <c r="AC538" s="77" t="s">
        <v>400</v>
      </c>
      <c r="AF538" s="26">
        <v>15.37</v>
      </c>
      <c r="AG538" s="25" t="s">
        <v>13</v>
      </c>
      <c r="AQ538" s="29"/>
      <c r="AZ538" s="97" t="s">
        <v>13</v>
      </c>
      <c r="BF538" s="26"/>
      <c r="BG538" s="26"/>
      <c r="BH538" s="83"/>
      <c r="BL538" s="26" t="s">
        <v>13</v>
      </c>
      <c r="BM538" s="25" t="s">
        <v>13</v>
      </c>
      <c r="CA538" s="25" t="s">
        <v>13</v>
      </c>
      <c r="CC538" s="25" t="s">
        <v>13</v>
      </c>
    </row>
    <row r="539" spans="1:81">
      <c r="A539" s="103" t="s">
        <v>540</v>
      </c>
      <c r="B539" s="104" t="s">
        <v>869</v>
      </c>
      <c r="C539" s="106">
        <v>302.89</v>
      </c>
      <c r="D539" s="81">
        <f t="shared" si="176"/>
        <v>303.19</v>
      </c>
      <c r="E539" s="81">
        <f t="shared" si="177"/>
        <v>302.58999999999997</v>
      </c>
      <c r="F539" s="105">
        <f t="shared" si="179"/>
        <v>284</v>
      </c>
      <c r="G539" s="77" t="s">
        <v>239</v>
      </c>
      <c r="H539" s="32">
        <f t="shared" ref="H539:I545" si="180">M539</f>
        <v>72</v>
      </c>
      <c r="I539" s="32">
        <f t="shared" si="180"/>
        <v>817</v>
      </c>
      <c r="J539" s="77" t="s">
        <v>402</v>
      </c>
      <c r="K539" s="77" t="s">
        <v>400</v>
      </c>
      <c r="L539" s="104">
        <v>284</v>
      </c>
      <c r="M539" s="104">
        <v>72</v>
      </c>
      <c r="N539" s="104">
        <v>817</v>
      </c>
      <c r="O539" s="104"/>
      <c r="P539" s="104"/>
      <c r="Q539" s="104" t="s">
        <v>560</v>
      </c>
      <c r="R539" s="26" t="s">
        <v>13</v>
      </c>
      <c r="S539" s="6" t="s">
        <v>1131</v>
      </c>
      <c r="T539" s="44" t="s">
        <v>1177</v>
      </c>
      <c r="U539" s="62">
        <v>256</v>
      </c>
      <c r="V539" s="62">
        <v>259.8</v>
      </c>
      <c r="W539" s="62">
        <v>252.17</v>
      </c>
      <c r="X539" s="26">
        <v>694.88124404607368</v>
      </c>
      <c r="Y539" s="26" t="s">
        <v>389</v>
      </c>
      <c r="Z539" s="26">
        <f t="shared" ref="Z539:Z602" si="181">X539*0.7</f>
        <v>486.41687083225156</v>
      </c>
      <c r="AA539" s="26">
        <f t="shared" ref="AA539:AA602" si="182">X539*1.5</f>
        <v>1042.3218660691105</v>
      </c>
      <c r="AB539" s="25" t="s">
        <v>1191</v>
      </c>
      <c r="AC539" s="77" t="s">
        <v>400</v>
      </c>
      <c r="AF539" s="26" t="s">
        <v>1375</v>
      </c>
      <c r="AG539" s="25" t="s">
        <v>13</v>
      </c>
      <c r="AQ539" s="29"/>
      <c r="AZ539" s="97" t="s">
        <v>13</v>
      </c>
      <c r="BF539" s="26"/>
      <c r="BG539" s="26"/>
      <c r="BH539" s="83"/>
      <c r="BL539" s="26" t="s">
        <v>13</v>
      </c>
      <c r="BM539" s="25" t="s">
        <v>13</v>
      </c>
      <c r="CA539" s="25" t="s">
        <v>13</v>
      </c>
      <c r="CC539" s="25" t="s">
        <v>13</v>
      </c>
    </row>
    <row r="540" spans="1:81">
      <c r="A540" s="103" t="s">
        <v>540</v>
      </c>
      <c r="B540" s="104" t="s">
        <v>869</v>
      </c>
      <c r="C540" s="106">
        <v>302.95</v>
      </c>
      <c r="D540" s="81">
        <f t="shared" si="176"/>
        <v>303.25</v>
      </c>
      <c r="E540" s="81">
        <f t="shared" si="177"/>
        <v>302.64999999999998</v>
      </c>
      <c r="F540" s="105">
        <f t="shared" si="179"/>
        <v>483</v>
      </c>
      <c r="G540" s="77" t="s">
        <v>239</v>
      </c>
      <c r="H540" s="32">
        <f t="shared" si="180"/>
        <v>117</v>
      </c>
      <c r="I540" s="32">
        <f t="shared" si="180"/>
        <v>1389</v>
      </c>
      <c r="J540" s="77" t="s">
        <v>402</v>
      </c>
      <c r="K540" s="77" t="s">
        <v>400</v>
      </c>
      <c r="L540" s="104">
        <v>483</v>
      </c>
      <c r="M540" s="104">
        <v>117</v>
      </c>
      <c r="N540" s="104">
        <v>1389</v>
      </c>
      <c r="O540" s="104"/>
      <c r="P540" s="104"/>
      <c r="Q540" s="104" t="s">
        <v>560</v>
      </c>
      <c r="R540" s="26" t="s">
        <v>13</v>
      </c>
      <c r="S540" s="6" t="s">
        <v>1131</v>
      </c>
      <c r="T540" s="44" t="s">
        <v>1178</v>
      </c>
      <c r="U540" s="62">
        <v>262</v>
      </c>
      <c r="V540" s="62">
        <v>268.8</v>
      </c>
      <c r="W540" s="62">
        <v>252.17</v>
      </c>
      <c r="X540" s="26">
        <v>573.91760702340366</v>
      </c>
      <c r="Y540" s="26" t="s">
        <v>389</v>
      </c>
      <c r="Z540" s="26">
        <f t="shared" si="181"/>
        <v>401.74232491638253</v>
      </c>
      <c r="AA540" s="26">
        <f t="shared" si="182"/>
        <v>860.87641053510549</v>
      </c>
      <c r="AB540" s="25" t="s">
        <v>1191</v>
      </c>
      <c r="AC540" s="77" t="s">
        <v>400</v>
      </c>
      <c r="AF540" s="26">
        <v>283111</v>
      </c>
      <c r="AG540" s="25" t="s">
        <v>13</v>
      </c>
      <c r="AQ540" s="29"/>
      <c r="AZ540" s="97" t="s">
        <v>13</v>
      </c>
      <c r="BF540" s="26"/>
      <c r="BG540" s="26"/>
      <c r="BH540" s="83"/>
      <c r="BL540" s="26" t="s">
        <v>13</v>
      </c>
      <c r="BM540" s="25" t="s">
        <v>13</v>
      </c>
      <c r="CA540" s="25" t="s">
        <v>13</v>
      </c>
      <c r="CC540" s="25" t="s">
        <v>13</v>
      </c>
    </row>
    <row r="541" spans="1:81">
      <c r="A541" s="103" t="s">
        <v>540</v>
      </c>
      <c r="B541" s="104" t="s">
        <v>869</v>
      </c>
      <c r="C541" s="106">
        <v>303.3</v>
      </c>
      <c r="D541" s="81">
        <f t="shared" si="176"/>
        <v>303.60000000000002</v>
      </c>
      <c r="E541" s="81">
        <f t="shared" si="177"/>
        <v>303</v>
      </c>
      <c r="F541" s="105">
        <f t="shared" si="179"/>
        <v>363</v>
      </c>
      <c r="G541" s="77" t="s">
        <v>239</v>
      </c>
      <c r="H541" s="32">
        <f t="shared" si="180"/>
        <v>92</v>
      </c>
      <c r="I541" s="32">
        <f t="shared" si="180"/>
        <v>1033</v>
      </c>
      <c r="J541" s="77" t="s">
        <v>402</v>
      </c>
      <c r="K541" s="77" t="s">
        <v>400</v>
      </c>
      <c r="L541" s="104">
        <v>363</v>
      </c>
      <c r="M541" s="104">
        <v>92</v>
      </c>
      <c r="N541" s="104">
        <v>1033</v>
      </c>
      <c r="O541" s="104"/>
      <c r="P541" s="104"/>
      <c r="Q541" s="104" t="s">
        <v>560</v>
      </c>
      <c r="R541" s="26" t="s">
        <v>13</v>
      </c>
      <c r="S541" s="6" t="s">
        <v>1131</v>
      </c>
      <c r="T541" s="44" t="s">
        <v>1178</v>
      </c>
      <c r="U541" s="62">
        <v>262</v>
      </c>
      <c r="V541" s="62">
        <v>268.8</v>
      </c>
      <c r="W541" s="62">
        <v>252.17</v>
      </c>
      <c r="X541" s="26">
        <v>462.50777257464046</v>
      </c>
      <c r="Y541" s="26" t="s">
        <v>389</v>
      </c>
      <c r="Z541" s="26">
        <f t="shared" si="181"/>
        <v>323.7554408022483</v>
      </c>
      <c r="AA541" s="26">
        <f t="shared" si="182"/>
        <v>693.76165886196065</v>
      </c>
      <c r="AB541" s="25" t="s">
        <v>1191</v>
      </c>
      <c r="AC541" s="77" t="s">
        <v>400</v>
      </c>
      <c r="AF541" s="26">
        <v>26489</v>
      </c>
      <c r="AG541" s="25" t="s">
        <v>13</v>
      </c>
      <c r="AQ541" s="29"/>
      <c r="AZ541" s="97" t="s">
        <v>13</v>
      </c>
      <c r="BF541" s="26"/>
      <c r="BG541" s="26"/>
      <c r="BH541" s="83"/>
      <c r="BL541" s="26" t="s">
        <v>13</v>
      </c>
      <c r="BM541" s="25" t="s">
        <v>13</v>
      </c>
      <c r="CA541" s="25" t="s">
        <v>13</v>
      </c>
      <c r="CC541" s="25" t="s">
        <v>13</v>
      </c>
    </row>
    <row r="542" spans="1:81">
      <c r="A542" s="103" t="s">
        <v>540</v>
      </c>
      <c r="B542" s="104" t="s">
        <v>869</v>
      </c>
      <c r="C542" s="106">
        <v>303.7</v>
      </c>
      <c r="D542" s="81">
        <f t="shared" si="176"/>
        <v>304</v>
      </c>
      <c r="E542" s="81">
        <f t="shared" si="177"/>
        <v>303.39999999999998</v>
      </c>
      <c r="F542" s="105">
        <f t="shared" si="179"/>
        <v>505</v>
      </c>
      <c r="G542" s="77" t="s">
        <v>239</v>
      </c>
      <c r="H542" s="32">
        <f t="shared" si="180"/>
        <v>122</v>
      </c>
      <c r="I542" s="32">
        <f t="shared" si="180"/>
        <v>1449</v>
      </c>
      <c r="J542" s="77" t="s">
        <v>402</v>
      </c>
      <c r="K542" s="77" t="s">
        <v>400</v>
      </c>
      <c r="L542" s="104">
        <v>505</v>
      </c>
      <c r="M542" s="104">
        <v>122</v>
      </c>
      <c r="N542" s="104">
        <v>1449</v>
      </c>
      <c r="O542" s="104"/>
      <c r="P542" s="104"/>
      <c r="Q542" s="104" t="s">
        <v>560</v>
      </c>
      <c r="R542" s="26" t="s">
        <v>13</v>
      </c>
      <c r="S542" s="6" t="s">
        <v>1131</v>
      </c>
      <c r="T542" s="44" t="s">
        <v>1179</v>
      </c>
      <c r="U542" s="62">
        <v>343</v>
      </c>
      <c r="V542" s="62">
        <v>358.9</v>
      </c>
      <c r="W542" s="62">
        <v>323.2</v>
      </c>
      <c r="X542" s="26">
        <v>498.44790974731796</v>
      </c>
      <c r="Y542" s="26" t="s">
        <v>389</v>
      </c>
      <c r="Z542" s="26">
        <f t="shared" si="181"/>
        <v>348.91353682312257</v>
      </c>
      <c r="AA542" s="26">
        <f t="shared" si="182"/>
        <v>747.67186462097698</v>
      </c>
      <c r="AB542" s="25" t="s">
        <v>1191</v>
      </c>
      <c r="AC542" s="77" t="s">
        <v>400</v>
      </c>
      <c r="AF542" s="26" t="s">
        <v>1376</v>
      </c>
      <c r="AG542" s="25" t="s">
        <v>13</v>
      </c>
      <c r="AQ542" s="29"/>
      <c r="AZ542" s="97" t="s">
        <v>13</v>
      </c>
      <c r="BF542" s="26"/>
      <c r="BG542" s="26"/>
      <c r="BH542" s="83"/>
      <c r="BL542" s="26" t="s">
        <v>13</v>
      </c>
      <c r="BM542" s="25" t="s">
        <v>13</v>
      </c>
      <c r="CA542" s="25" t="s">
        <v>13</v>
      </c>
      <c r="CC542" s="25" t="s">
        <v>13</v>
      </c>
    </row>
    <row r="543" spans="1:81">
      <c r="A543" s="103" t="s">
        <v>540</v>
      </c>
      <c r="B543" s="104" t="s">
        <v>869</v>
      </c>
      <c r="C543" s="106">
        <v>304.10000000000002</v>
      </c>
      <c r="D543" s="81">
        <f t="shared" si="176"/>
        <v>304.40000000000003</v>
      </c>
      <c r="E543" s="81">
        <f t="shared" si="177"/>
        <v>303.8</v>
      </c>
      <c r="F543" s="105">
        <f t="shared" si="179"/>
        <v>769</v>
      </c>
      <c r="G543" s="77" t="s">
        <v>239</v>
      </c>
      <c r="H543" s="32">
        <f t="shared" si="180"/>
        <v>192</v>
      </c>
      <c r="I543" s="32">
        <f t="shared" si="180"/>
        <v>2195</v>
      </c>
      <c r="J543" s="77" t="s">
        <v>402</v>
      </c>
      <c r="K543" s="77" t="s">
        <v>400</v>
      </c>
      <c r="L543" s="104">
        <v>769</v>
      </c>
      <c r="M543" s="104">
        <v>192</v>
      </c>
      <c r="N543" s="104">
        <v>2195</v>
      </c>
      <c r="O543" s="104"/>
      <c r="P543" s="104"/>
      <c r="Q543" s="30" t="s">
        <v>548</v>
      </c>
      <c r="R543" s="26" t="s">
        <v>13</v>
      </c>
      <c r="S543" s="6" t="s">
        <v>1131</v>
      </c>
      <c r="T543" s="44" t="s">
        <v>1180</v>
      </c>
      <c r="U543" s="62">
        <v>355</v>
      </c>
      <c r="V543" s="62">
        <v>363</v>
      </c>
      <c r="W543" s="62">
        <v>347</v>
      </c>
      <c r="X543" s="26">
        <v>271.50115499775211</v>
      </c>
      <c r="Y543" s="26" t="s">
        <v>389</v>
      </c>
      <c r="Z543" s="26">
        <f t="shared" si="181"/>
        <v>190.05080849842648</v>
      </c>
      <c r="AA543" s="26">
        <f t="shared" si="182"/>
        <v>407.25173249662816</v>
      </c>
      <c r="AB543" s="25" t="s">
        <v>1191</v>
      </c>
      <c r="AC543" s="77" t="s">
        <v>400</v>
      </c>
      <c r="AF543" s="26">
        <v>272129</v>
      </c>
      <c r="AG543" s="25" t="s">
        <v>13</v>
      </c>
      <c r="AQ543" s="29"/>
      <c r="AZ543" s="97" t="s">
        <v>13</v>
      </c>
      <c r="BF543" s="26"/>
      <c r="BG543" s="26"/>
      <c r="BH543" s="83"/>
      <c r="BL543" s="26" t="s">
        <v>13</v>
      </c>
      <c r="BM543" s="25" t="s">
        <v>13</v>
      </c>
      <c r="CA543" s="25" t="s">
        <v>13</v>
      </c>
      <c r="CC543" s="25" t="s">
        <v>13</v>
      </c>
    </row>
    <row r="544" spans="1:81">
      <c r="A544" s="103" t="s">
        <v>540</v>
      </c>
      <c r="B544" s="104" t="s">
        <v>869</v>
      </c>
      <c r="C544" s="106">
        <v>304.12</v>
      </c>
      <c r="D544" s="81">
        <f t="shared" si="176"/>
        <v>304.42</v>
      </c>
      <c r="E544" s="81">
        <f t="shared" si="177"/>
        <v>303.82</v>
      </c>
      <c r="F544" s="105">
        <f t="shared" si="179"/>
        <v>684</v>
      </c>
      <c r="G544" s="77" t="s">
        <v>239</v>
      </c>
      <c r="H544" s="32">
        <f t="shared" si="180"/>
        <v>165</v>
      </c>
      <c r="I544" s="32">
        <f t="shared" si="180"/>
        <v>1960</v>
      </c>
      <c r="J544" s="77" t="s">
        <v>402</v>
      </c>
      <c r="K544" s="77" t="s">
        <v>400</v>
      </c>
      <c r="L544" s="104">
        <v>684</v>
      </c>
      <c r="M544" s="104">
        <v>165</v>
      </c>
      <c r="N544" s="104">
        <v>1960</v>
      </c>
      <c r="O544" s="104"/>
      <c r="P544" s="104"/>
      <c r="Q544" s="30" t="s">
        <v>548</v>
      </c>
      <c r="R544" s="26" t="s">
        <v>13</v>
      </c>
      <c r="S544" s="6" t="s">
        <v>1131</v>
      </c>
      <c r="T544" s="44" t="s">
        <v>1180</v>
      </c>
      <c r="U544" s="62">
        <v>355</v>
      </c>
      <c r="V544" s="62">
        <v>363</v>
      </c>
      <c r="W544" s="62">
        <v>347</v>
      </c>
      <c r="X544" s="26">
        <v>501.74067843002359</v>
      </c>
      <c r="Y544" s="26" t="s">
        <v>389</v>
      </c>
      <c r="Z544" s="26">
        <f t="shared" si="181"/>
        <v>351.21847490101652</v>
      </c>
      <c r="AA544" s="26">
        <f t="shared" si="182"/>
        <v>752.61101764503542</v>
      </c>
      <c r="AB544" s="25" t="s">
        <v>1191</v>
      </c>
      <c r="AC544" s="77" t="s">
        <v>400</v>
      </c>
      <c r="AF544" s="26">
        <v>272494</v>
      </c>
      <c r="AG544" s="25" t="s">
        <v>13</v>
      </c>
      <c r="AQ544" s="29"/>
      <c r="AZ544" s="97" t="s">
        <v>13</v>
      </c>
      <c r="BF544" s="26"/>
      <c r="BG544" s="26"/>
      <c r="BH544" s="83"/>
      <c r="BL544" s="26" t="s">
        <v>13</v>
      </c>
      <c r="BM544" s="25" t="s">
        <v>13</v>
      </c>
      <c r="CA544" s="25" t="s">
        <v>13</v>
      </c>
      <c r="CC544" s="25" t="s">
        <v>13</v>
      </c>
    </row>
    <row r="545" spans="1:81">
      <c r="A545" s="103" t="s">
        <v>540</v>
      </c>
      <c r="B545" s="104" t="s">
        <v>869</v>
      </c>
      <c r="C545" s="106">
        <v>304.12</v>
      </c>
      <c r="D545" s="81">
        <f t="shared" si="176"/>
        <v>304.42</v>
      </c>
      <c r="E545" s="81">
        <f t="shared" si="177"/>
        <v>303.82</v>
      </c>
      <c r="F545" s="105">
        <f t="shared" si="179"/>
        <v>905</v>
      </c>
      <c r="G545" s="77" t="s">
        <v>239</v>
      </c>
      <c r="H545" s="32">
        <f t="shared" si="180"/>
        <v>228</v>
      </c>
      <c r="I545" s="32">
        <f t="shared" si="180"/>
        <v>2535</v>
      </c>
      <c r="J545" s="77" t="s">
        <v>402</v>
      </c>
      <c r="K545" s="77" t="s">
        <v>400</v>
      </c>
      <c r="L545" s="104">
        <v>905</v>
      </c>
      <c r="M545" s="104">
        <v>228</v>
      </c>
      <c r="N545" s="104">
        <v>2535</v>
      </c>
      <c r="O545" s="104"/>
      <c r="P545" s="104"/>
      <c r="Q545" s="30" t="s">
        <v>548</v>
      </c>
      <c r="R545" s="26" t="s">
        <v>13</v>
      </c>
      <c r="S545" s="6" t="s">
        <v>1131</v>
      </c>
      <c r="T545" s="44" t="s">
        <v>1181</v>
      </c>
      <c r="U545" s="62">
        <v>372</v>
      </c>
      <c r="V545" s="62">
        <v>382.7</v>
      </c>
      <c r="W545" s="62">
        <v>358.9</v>
      </c>
      <c r="X545" s="26">
        <v>937.31554192044905</v>
      </c>
      <c r="Y545" s="26" t="s">
        <v>389</v>
      </c>
      <c r="Z545" s="26">
        <f t="shared" si="181"/>
        <v>656.12087934431429</v>
      </c>
      <c r="AA545" s="26">
        <f t="shared" si="182"/>
        <v>1405.9733128806736</v>
      </c>
      <c r="AB545" s="25" t="s">
        <v>1191</v>
      </c>
      <c r="AC545" s="77" t="s">
        <v>400</v>
      </c>
      <c r="AF545" s="26">
        <v>271871</v>
      </c>
      <c r="AG545" s="25" t="s">
        <v>13</v>
      </c>
      <c r="AQ545" s="29"/>
      <c r="AZ545" s="97" t="s">
        <v>13</v>
      </c>
      <c r="BF545" s="26"/>
      <c r="BG545" s="26"/>
      <c r="BH545" s="83"/>
      <c r="BL545" s="26" t="s">
        <v>13</v>
      </c>
      <c r="BM545" s="25" t="s">
        <v>13</v>
      </c>
      <c r="CA545" s="25" t="s">
        <v>13</v>
      </c>
      <c r="CC545" s="25" t="s">
        <v>13</v>
      </c>
    </row>
    <row r="546" spans="1:81">
      <c r="A546" s="103" t="s">
        <v>868</v>
      </c>
      <c r="B546" s="104" t="s">
        <v>869</v>
      </c>
      <c r="C546" s="106">
        <v>304.12</v>
      </c>
      <c r="D546" s="81">
        <f t="shared" si="176"/>
        <v>304.42</v>
      </c>
      <c r="E546" s="81">
        <f t="shared" si="177"/>
        <v>303.82</v>
      </c>
      <c r="F546" s="105">
        <f t="shared" si="179"/>
        <v>323</v>
      </c>
      <c r="G546" s="77" t="s">
        <v>239</v>
      </c>
      <c r="H546" s="32"/>
      <c r="I546" s="32"/>
      <c r="J546" s="77"/>
      <c r="K546" s="77"/>
      <c r="L546" s="104">
        <v>323</v>
      </c>
      <c r="M546" s="104"/>
      <c r="N546" s="104"/>
      <c r="O546" s="104"/>
      <c r="P546" s="104"/>
      <c r="Q546" s="30" t="s">
        <v>548</v>
      </c>
      <c r="R546" s="26" t="s">
        <v>13</v>
      </c>
      <c r="S546" s="6" t="s">
        <v>1131</v>
      </c>
      <c r="T546" s="44" t="s">
        <v>1181</v>
      </c>
      <c r="U546" s="62">
        <v>372</v>
      </c>
      <c r="V546" s="62">
        <v>382.7</v>
      </c>
      <c r="W546" s="62">
        <v>358.9</v>
      </c>
      <c r="X546" s="26">
        <v>1116.5220377741139</v>
      </c>
      <c r="Y546" s="26" t="s">
        <v>389</v>
      </c>
      <c r="Z546" s="26">
        <f t="shared" si="181"/>
        <v>781.56542644187971</v>
      </c>
      <c r="AA546" s="26">
        <f t="shared" si="182"/>
        <v>1674.7830566611708</v>
      </c>
      <c r="AB546" s="25" t="s">
        <v>1191</v>
      </c>
      <c r="AC546" s="77" t="s">
        <v>400</v>
      </c>
      <c r="AF546" s="26" t="s">
        <v>1377</v>
      </c>
      <c r="AG546" s="25" t="s">
        <v>13</v>
      </c>
      <c r="AQ546" s="29"/>
      <c r="AZ546" s="97" t="s">
        <v>13</v>
      </c>
      <c r="BF546" s="26"/>
      <c r="BG546" s="26"/>
      <c r="BH546" s="83"/>
      <c r="BL546" s="26" t="s">
        <v>13</v>
      </c>
      <c r="BM546" s="25" t="s">
        <v>13</v>
      </c>
      <c r="CA546" s="25" t="s">
        <v>13</v>
      </c>
      <c r="CC546" s="25" t="s">
        <v>13</v>
      </c>
    </row>
    <row r="547" spans="1:81">
      <c r="A547" s="103" t="s">
        <v>540</v>
      </c>
      <c r="B547" s="104" t="s">
        <v>869</v>
      </c>
      <c r="C547" s="106">
        <v>304.12</v>
      </c>
      <c r="D547" s="81">
        <f t="shared" si="176"/>
        <v>304.42</v>
      </c>
      <c r="E547" s="81">
        <f t="shared" si="177"/>
        <v>303.82</v>
      </c>
      <c r="F547" s="105">
        <f t="shared" si="179"/>
        <v>550</v>
      </c>
      <c r="G547" s="77" t="s">
        <v>239</v>
      </c>
      <c r="H547" s="32">
        <f t="shared" ref="H547:I550" si="183">M547</f>
        <v>139</v>
      </c>
      <c r="I547" s="32">
        <f t="shared" si="183"/>
        <v>1593</v>
      </c>
      <c r="J547" s="77" t="s">
        <v>402</v>
      </c>
      <c r="K547" s="77" t="s">
        <v>400</v>
      </c>
      <c r="L547" s="104">
        <v>550</v>
      </c>
      <c r="M547" s="104">
        <v>139</v>
      </c>
      <c r="N547" s="104">
        <v>1593</v>
      </c>
      <c r="O547" s="104"/>
      <c r="P547" s="104"/>
      <c r="Q547" s="30" t="s">
        <v>548</v>
      </c>
      <c r="R547" s="26" t="s">
        <v>13</v>
      </c>
      <c r="S547" s="6" t="s">
        <v>1131</v>
      </c>
      <c r="T547" s="44" t="s">
        <v>1182</v>
      </c>
      <c r="U547" s="62">
        <v>377</v>
      </c>
      <c r="V547" s="62">
        <v>379</v>
      </c>
      <c r="W547" s="62">
        <v>377</v>
      </c>
      <c r="X547" s="26">
        <v>949.04556518877541</v>
      </c>
      <c r="Y547" s="26" t="s">
        <v>389</v>
      </c>
      <c r="Z547" s="26">
        <f t="shared" si="181"/>
        <v>664.33189563214273</v>
      </c>
      <c r="AA547" s="26">
        <f t="shared" si="182"/>
        <v>1423.5683477831631</v>
      </c>
      <c r="AB547" s="25" t="s">
        <v>1191</v>
      </c>
      <c r="AC547" s="77" t="s">
        <v>400</v>
      </c>
      <c r="AF547" s="26" t="s">
        <v>1378</v>
      </c>
      <c r="AG547" s="25" t="s">
        <v>13</v>
      </c>
      <c r="AQ547" s="29"/>
      <c r="AZ547" s="97" t="s">
        <v>13</v>
      </c>
      <c r="BF547" s="26"/>
      <c r="BG547" s="26"/>
      <c r="BH547" s="83"/>
      <c r="BL547" s="26" t="s">
        <v>13</v>
      </c>
      <c r="BM547" s="25" t="s">
        <v>13</v>
      </c>
      <c r="CA547" s="25" t="s">
        <v>13</v>
      </c>
      <c r="CC547" s="25" t="s">
        <v>13</v>
      </c>
    </row>
    <row r="548" spans="1:81">
      <c r="A548" s="103" t="s">
        <v>540</v>
      </c>
      <c r="B548" s="104" t="s">
        <v>869</v>
      </c>
      <c r="C548" s="106">
        <v>304.12</v>
      </c>
      <c r="D548" s="81">
        <f t="shared" si="176"/>
        <v>304.42</v>
      </c>
      <c r="E548" s="81">
        <f t="shared" si="177"/>
        <v>303.82</v>
      </c>
      <c r="F548" s="105">
        <f t="shared" si="179"/>
        <v>440</v>
      </c>
      <c r="G548" s="77" t="s">
        <v>239</v>
      </c>
      <c r="H548" s="32">
        <f t="shared" si="183"/>
        <v>112</v>
      </c>
      <c r="I548" s="32">
        <f t="shared" si="183"/>
        <v>1260</v>
      </c>
      <c r="J548" s="77" t="s">
        <v>402</v>
      </c>
      <c r="K548" s="77" t="s">
        <v>400</v>
      </c>
      <c r="L548" s="104">
        <v>440</v>
      </c>
      <c r="M548" s="104">
        <v>112</v>
      </c>
      <c r="N548" s="104">
        <v>1260</v>
      </c>
      <c r="O548" s="104"/>
      <c r="P548" s="104"/>
      <c r="Q548" s="30" t="s">
        <v>548</v>
      </c>
      <c r="R548" s="26" t="s">
        <v>13</v>
      </c>
      <c r="S548" s="6" t="s">
        <v>1131</v>
      </c>
      <c r="T548" s="44" t="s">
        <v>1182</v>
      </c>
      <c r="U548" s="62">
        <v>377</v>
      </c>
      <c r="V548" s="62">
        <v>379</v>
      </c>
      <c r="W548" s="62">
        <v>377</v>
      </c>
      <c r="X548" s="26">
        <v>1160.6335484056349</v>
      </c>
      <c r="Y548" s="26" t="s">
        <v>389</v>
      </c>
      <c r="Z548" s="26">
        <f t="shared" si="181"/>
        <v>812.4434838839444</v>
      </c>
      <c r="AA548" s="26">
        <f t="shared" si="182"/>
        <v>1740.9503226084523</v>
      </c>
      <c r="AB548" s="25" t="s">
        <v>1191</v>
      </c>
      <c r="AC548" s="77" t="s">
        <v>400</v>
      </c>
      <c r="AF548" s="26" t="s">
        <v>1378</v>
      </c>
      <c r="AG548" s="25" t="s">
        <v>13</v>
      </c>
      <c r="AQ548" s="29"/>
      <c r="AZ548" s="97" t="s">
        <v>13</v>
      </c>
      <c r="BF548" s="26"/>
      <c r="BG548" s="26"/>
      <c r="BH548" s="83"/>
      <c r="BL548" s="26" t="s">
        <v>13</v>
      </c>
      <c r="BM548" s="25" t="s">
        <v>13</v>
      </c>
      <c r="CA548" s="25" t="s">
        <v>13</v>
      </c>
      <c r="CC548" s="25" t="s">
        <v>13</v>
      </c>
    </row>
    <row r="549" spans="1:81">
      <c r="A549" s="103" t="s">
        <v>540</v>
      </c>
      <c r="B549" s="104" t="s">
        <v>869</v>
      </c>
      <c r="C549" s="106">
        <v>304.12</v>
      </c>
      <c r="D549" s="81">
        <f t="shared" si="176"/>
        <v>304.42</v>
      </c>
      <c r="E549" s="81">
        <f t="shared" si="177"/>
        <v>303.82</v>
      </c>
      <c r="F549" s="105">
        <f t="shared" si="179"/>
        <v>528</v>
      </c>
      <c r="G549" s="77" t="s">
        <v>239</v>
      </c>
      <c r="H549" s="32">
        <f t="shared" si="183"/>
        <v>132</v>
      </c>
      <c r="I549" s="32">
        <f t="shared" si="183"/>
        <v>1508</v>
      </c>
      <c r="J549" s="77" t="s">
        <v>402</v>
      </c>
      <c r="K549" s="77" t="s">
        <v>400</v>
      </c>
      <c r="L549" s="104">
        <v>528</v>
      </c>
      <c r="M549" s="104">
        <v>132</v>
      </c>
      <c r="N549" s="104">
        <v>1508</v>
      </c>
      <c r="O549" s="104"/>
      <c r="P549" s="104"/>
      <c r="Q549" s="30" t="s">
        <v>548</v>
      </c>
      <c r="R549" s="26" t="s">
        <v>13</v>
      </c>
      <c r="S549" s="6" t="s">
        <v>1131</v>
      </c>
      <c r="T549" s="44" t="s">
        <v>1183</v>
      </c>
      <c r="U549" s="62">
        <v>377</v>
      </c>
      <c r="V549" s="62">
        <v>382</v>
      </c>
      <c r="W549" s="62">
        <v>375</v>
      </c>
      <c r="X549" s="26">
        <v>905.60243185997535</v>
      </c>
      <c r="Y549" s="26" t="s">
        <v>389</v>
      </c>
      <c r="Z549" s="26">
        <f t="shared" si="181"/>
        <v>633.92170230198269</v>
      </c>
      <c r="AA549" s="26">
        <f t="shared" si="182"/>
        <v>1358.4036477899631</v>
      </c>
      <c r="AB549" s="25" t="s">
        <v>1191</v>
      </c>
      <c r="AC549" s="77" t="s">
        <v>400</v>
      </c>
      <c r="AF549" s="26">
        <v>29</v>
      </c>
      <c r="AG549" s="25" t="s">
        <v>13</v>
      </c>
      <c r="AQ549" s="29"/>
      <c r="AZ549" s="97" t="s">
        <v>13</v>
      </c>
      <c r="BF549" s="26"/>
      <c r="BG549" s="26"/>
      <c r="BH549" s="83"/>
      <c r="BL549" s="26" t="s">
        <v>13</v>
      </c>
      <c r="BM549" s="25" t="s">
        <v>13</v>
      </c>
      <c r="CA549" s="25" t="s">
        <v>13</v>
      </c>
      <c r="CC549" s="25" t="s">
        <v>13</v>
      </c>
    </row>
    <row r="550" spans="1:81">
      <c r="A550" s="103" t="s">
        <v>868</v>
      </c>
      <c r="B550" s="104" t="s">
        <v>869</v>
      </c>
      <c r="C550" s="106">
        <v>304.12</v>
      </c>
      <c r="D550" s="81">
        <f t="shared" si="176"/>
        <v>304.42</v>
      </c>
      <c r="E550" s="81">
        <f t="shared" si="177"/>
        <v>303.82</v>
      </c>
      <c r="F550" s="105">
        <f t="shared" si="179"/>
        <v>558</v>
      </c>
      <c r="G550" s="77" t="s">
        <v>239</v>
      </c>
      <c r="H550" s="32">
        <f t="shared" si="183"/>
        <v>138</v>
      </c>
      <c r="I550" s="32">
        <f t="shared" si="183"/>
        <v>1607</v>
      </c>
      <c r="J550" s="77" t="s">
        <v>402</v>
      </c>
      <c r="K550" s="77" t="s">
        <v>400</v>
      </c>
      <c r="L550" s="104">
        <v>558</v>
      </c>
      <c r="M550" s="104">
        <v>138</v>
      </c>
      <c r="N550" s="104">
        <v>1607</v>
      </c>
      <c r="O550" s="104"/>
      <c r="P550" s="104"/>
      <c r="Q550" s="30" t="s">
        <v>548</v>
      </c>
      <c r="R550" s="26" t="s">
        <v>13</v>
      </c>
      <c r="S550" s="6" t="s">
        <v>1131</v>
      </c>
      <c r="T550" s="44" t="s">
        <v>1182</v>
      </c>
      <c r="U550" s="62">
        <v>378</v>
      </c>
      <c r="V550" s="62">
        <v>379</v>
      </c>
      <c r="W550" s="62">
        <v>377</v>
      </c>
      <c r="X550" s="26">
        <v>1306.5501425288546</v>
      </c>
      <c r="Y550" s="26" t="s">
        <v>389</v>
      </c>
      <c r="Z550" s="26">
        <f t="shared" si="181"/>
        <v>914.58509977019821</v>
      </c>
      <c r="AA550" s="26">
        <f t="shared" si="182"/>
        <v>1959.8252137932818</v>
      </c>
      <c r="AB550" s="25" t="s">
        <v>1191</v>
      </c>
      <c r="AC550" s="77" t="s">
        <v>400</v>
      </c>
      <c r="AF550" s="26" t="s">
        <v>1378</v>
      </c>
      <c r="AG550" s="25" t="s">
        <v>13</v>
      </c>
      <c r="AQ550" s="29"/>
      <c r="AZ550" s="97" t="s">
        <v>13</v>
      </c>
      <c r="BF550" s="26"/>
      <c r="BG550" s="26"/>
      <c r="BH550" s="83"/>
      <c r="BL550" s="26" t="s">
        <v>13</v>
      </c>
      <c r="BM550" s="25" t="s">
        <v>13</v>
      </c>
      <c r="CA550" s="25" t="s">
        <v>13</v>
      </c>
      <c r="CC550" s="25" t="s">
        <v>13</v>
      </c>
    </row>
    <row r="551" spans="1:81">
      <c r="A551" s="103" t="s">
        <v>868</v>
      </c>
      <c r="B551" s="104" t="s">
        <v>869</v>
      </c>
      <c r="C551" s="106">
        <v>304.13</v>
      </c>
      <c r="D551" s="81"/>
      <c r="E551" s="81"/>
      <c r="F551" s="105">
        <f t="shared" si="179"/>
        <v>495</v>
      </c>
      <c r="G551" s="77"/>
      <c r="H551" s="32"/>
      <c r="I551" s="32"/>
      <c r="J551" s="77"/>
      <c r="K551" s="77"/>
      <c r="L551" s="104">
        <v>495</v>
      </c>
      <c r="M551" s="104"/>
      <c r="N551" s="104"/>
      <c r="O551" s="104"/>
      <c r="P551" s="104"/>
      <c r="Q551" s="30" t="s">
        <v>870</v>
      </c>
      <c r="R551" s="26" t="s">
        <v>13</v>
      </c>
      <c r="S551" s="6" t="s">
        <v>1131</v>
      </c>
      <c r="T551" s="44" t="s">
        <v>1182</v>
      </c>
      <c r="U551" s="62">
        <v>378</v>
      </c>
      <c r="V551" s="62">
        <v>379</v>
      </c>
      <c r="W551" s="62">
        <v>377</v>
      </c>
      <c r="X551" s="26">
        <v>977.58831856386234</v>
      </c>
      <c r="Y551" s="26" t="s">
        <v>389</v>
      </c>
      <c r="Z551" s="26">
        <f t="shared" si="181"/>
        <v>684.31182299470356</v>
      </c>
      <c r="AA551" s="26">
        <f t="shared" si="182"/>
        <v>1466.3824778457936</v>
      </c>
      <c r="AB551" s="25" t="s">
        <v>1191</v>
      </c>
      <c r="AC551" s="77" t="s">
        <v>400</v>
      </c>
      <c r="AF551" s="26" t="s">
        <v>1378</v>
      </c>
      <c r="AG551" s="25" t="s">
        <v>13</v>
      </c>
      <c r="AQ551" s="29"/>
      <c r="AZ551" s="97" t="s">
        <v>13</v>
      </c>
      <c r="BF551" s="26"/>
      <c r="BG551" s="26"/>
      <c r="BH551" s="83"/>
      <c r="BL551" s="26" t="s">
        <v>13</v>
      </c>
      <c r="BM551" s="25" t="s">
        <v>13</v>
      </c>
      <c r="CA551" s="25" t="s">
        <v>13</v>
      </c>
      <c r="CC551" s="25" t="s">
        <v>13</v>
      </c>
    </row>
    <row r="552" spans="1:81">
      <c r="A552" s="103" t="s">
        <v>868</v>
      </c>
      <c r="B552" s="104" t="s">
        <v>869</v>
      </c>
      <c r="C552" s="106">
        <v>304.13</v>
      </c>
      <c r="D552" s="81"/>
      <c r="E552" s="81"/>
      <c r="F552" s="105">
        <f t="shared" si="179"/>
        <v>462</v>
      </c>
      <c r="G552" s="77"/>
      <c r="H552" s="32"/>
      <c r="I552" s="32"/>
      <c r="J552" s="77"/>
      <c r="K552" s="77"/>
      <c r="L552" s="104">
        <v>462</v>
      </c>
      <c r="M552" s="104"/>
      <c r="N552" s="104"/>
      <c r="O552" s="104"/>
      <c r="P552" s="104"/>
      <c r="Q552" s="30" t="s">
        <v>870</v>
      </c>
      <c r="R552" s="26" t="s">
        <v>13</v>
      </c>
      <c r="S552" s="6" t="s">
        <v>1131</v>
      </c>
      <c r="T552" s="44" t="s">
        <v>1183</v>
      </c>
      <c r="U552" s="62">
        <v>378</v>
      </c>
      <c r="V552" s="62">
        <v>382</v>
      </c>
      <c r="W552" s="62">
        <v>375</v>
      </c>
      <c r="X552" s="26">
        <v>878.16008551994003</v>
      </c>
      <c r="Y552" s="26" t="s">
        <v>389</v>
      </c>
      <c r="Z552" s="26">
        <f t="shared" si="181"/>
        <v>614.71205986395796</v>
      </c>
      <c r="AA552" s="26">
        <f t="shared" si="182"/>
        <v>1317.2401282799101</v>
      </c>
      <c r="AB552" s="25" t="s">
        <v>1191</v>
      </c>
      <c r="AC552" s="77" t="s">
        <v>400</v>
      </c>
      <c r="AF552" s="26">
        <v>30.9</v>
      </c>
      <c r="AG552" s="25" t="s">
        <v>13</v>
      </c>
      <c r="AQ552" s="29"/>
      <c r="AZ552" s="97" t="s">
        <v>13</v>
      </c>
      <c r="BF552" s="26"/>
      <c r="BG552" s="26"/>
      <c r="BH552" s="83"/>
      <c r="BL552" s="26" t="s">
        <v>13</v>
      </c>
      <c r="BM552" s="25" t="s">
        <v>13</v>
      </c>
      <c r="CA552" s="25" t="s">
        <v>13</v>
      </c>
      <c r="CC552" s="25" t="s">
        <v>13</v>
      </c>
    </row>
    <row r="553" spans="1:81">
      <c r="A553" s="103" t="s">
        <v>868</v>
      </c>
      <c r="B553" s="104" t="s">
        <v>869</v>
      </c>
      <c r="C553" s="106">
        <v>304.13</v>
      </c>
      <c r="D553" s="81"/>
      <c r="E553" s="81"/>
      <c r="F553" s="105">
        <f t="shared" si="179"/>
        <v>421</v>
      </c>
      <c r="G553" s="77"/>
      <c r="H553" s="32"/>
      <c r="I553" s="32"/>
      <c r="J553" s="77"/>
      <c r="K553" s="77"/>
      <c r="L553" s="104">
        <v>421</v>
      </c>
      <c r="M553" s="104"/>
      <c r="N553" s="104"/>
      <c r="O553" s="104"/>
      <c r="P553" s="104"/>
      <c r="Q553" s="30" t="s">
        <v>870</v>
      </c>
      <c r="R553" s="26" t="s">
        <v>13</v>
      </c>
      <c r="S553" s="6" t="s">
        <v>1131</v>
      </c>
      <c r="T553" s="44" t="s">
        <v>1182</v>
      </c>
      <c r="U553" s="62">
        <v>379</v>
      </c>
      <c r="V553" s="62">
        <v>379</v>
      </c>
      <c r="W553" s="62">
        <v>377</v>
      </c>
      <c r="X553" s="26">
        <v>1032.477138744139</v>
      </c>
      <c r="Y553" s="26" t="s">
        <v>389</v>
      </c>
      <c r="Z553" s="26">
        <f t="shared" si="181"/>
        <v>722.73399712089724</v>
      </c>
      <c r="AA553" s="26">
        <f t="shared" si="182"/>
        <v>1548.7157081162086</v>
      </c>
      <c r="AB553" s="25" t="s">
        <v>1191</v>
      </c>
      <c r="AC553" s="77" t="s">
        <v>400</v>
      </c>
      <c r="AF553" s="26" t="s">
        <v>1378</v>
      </c>
      <c r="AG553" s="25" t="s">
        <v>13</v>
      </c>
      <c r="AQ553" s="29"/>
      <c r="AZ553" s="97" t="s">
        <v>13</v>
      </c>
      <c r="BF553" s="26"/>
      <c r="BG553" s="26"/>
      <c r="BH553" s="83"/>
      <c r="BL553" s="26" t="s">
        <v>13</v>
      </c>
      <c r="BM553" s="25" t="s">
        <v>13</v>
      </c>
      <c r="CA553" s="25" t="s">
        <v>13</v>
      </c>
      <c r="CC553" s="25" t="s">
        <v>13</v>
      </c>
    </row>
    <row r="554" spans="1:81">
      <c r="A554" s="103" t="s">
        <v>868</v>
      </c>
      <c r="B554" s="104" t="s">
        <v>869</v>
      </c>
      <c r="C554" s="106">
        <v>304.13</v>
      </c>
      <c r="D554" s="81"/>
      <c r="E554" s="81"/>
      <c r="F554" s="105">
        <f t="shared" si="179"/>
        <v>458</v>
      </c>
      <c r="G554" s="77"/>
      <c r="H554" s="32"/>
      <c r="I554" s="32"/>
      <c r="J554" s="77"/>
      <c r="K554" s="77"/>
      <c r="L554" s="104">
        <v>458</v>
      </c>
      <c r="M554" s="104"/>
      <c r="N554" s="104"/>
      <c r="O554" s="104"/>
      <c r="P554" s="104"/>
      <c r="Q554" s="30" t="s">
        <v>870</v>
      </c>
      <c r="R554" s="26" t="s">
        <v>13</v>
      </c>
      <c r="S554" s="6" t="s">
        <v>1131</v>
      </c>
      <c r="T554" s="44" t="s">
        <v>1182</v>
      </c>
      <c r="U554" s="62">
        <v>379</v>
      </c>
      <c r="V554" s="62">
        <v>379</v>
      </c>
      <c r="W554" s="62">
        <v>377</v>
      </c>
      <c r="X554" s="26">
        <v>928.2698853648111</v>
      </c>
      <c r="Y554" s="26" t="s">
        <v>389</v>
      </c>
      <c r="Z554" s="26">
        <f t="shared" si="181"/>
        <v>649.78891975536771</v>
      </c>
      <c r="AA554" s="26">
        <f t="shared" si="182"/>
        <v>1392.4048280472166</v>
      </c>
      <c r="AB554" s="25" t="s">
        <v>1191</v>
      </c>
      <c r="AC554" s="77" t="s">
        <v>400</v>
      </c>
      <c r="AF554" s="26" t="s">
        <v>1378</v>
      </c>
      <c r="AG554" s="25" t="s">
        <v>13</v>
      </c>
      <c r="AQ554" s="29"/>
      <c r="AZ554" s="97" t="s">
        <v>13</v>
      </c>
      <c r="BF554" s="26"/>
      <c r="BG554" s="26"/>
      <c r="BH554" s="83"/>
      <c r="BL554" s="26" t="s">
        <v>13</v>
      </c>
      <c r="BM554" s="25" t="s">
        <v>13</v>
      </c>
      <c r="CA554" s="25" t="s">
        <v>13</v>
      </c>
      <c r="CC554" s="25" t="s">
        <v>13</v>
      </c>
    </row>
    <row r="555" spans="1:81">
      <c r="A555" s="103" t="s">
        <v>540</v>
      </c>
      <c r="B555" s="104" t="s">
        <v>869</v>
      </c>
      <c r="C555" s="106">
        <v>304.45</v>
      </c>
      <c r="D555" s="81">
        <f>C555+0.3</f>
        <v>304.75</v>
      </c>
      <c r="E555" s="81">
        <f>C555-0.3</f>
        <v>304.14999999999998</v>
      </c>
      <c r="F555" s="105">
        <f t="shared" si="179"/>
        <v>279</v>
      </c>
      <c r="G555" s="77" t="s">
        <v>239</v>
      </c>
      <c r="H555" s="32">
        <f>M555</f>
        <v>70</v>
      </c>
      <c r="I555" s="32">
        <f>N555</f>
        <v>800</v>
      </c>
      <c r="J555" s="77" t="s">
        <v>402</v>
      </c>
      <c r="K555" s="77" t="s">
        <v>400</v>
      </c>
      <c r="L555" s="104">
        <v>279</v>
      </c>
      <c r="M555" s="104">
        <v>70</v>
      </c>
      <c r="N555" s="104">
        <v>800</v>
      </c>
      <c r="O555" s="104"/>
      <c r="P555" s="104"/>
      <c r="Q555" s="104" t="s">
        <v>560</v>
      </c>
      <c r="R555" s="26" t="s">
        <v>13</v>
      </c>
      <c r="S555" s="6" t="s">
        <v>1131</v>
      </c>
      <c r="T555" s="44" t="s">
        <v>1182</v>
      </c>
      <c r="U555" s="62">
        <v>379</v>
      </c>
      <c r="V555" s="62">
        <v>382.7</v>
      </c>
      <c r="W555" s="62">
        <v>372.2</v>
      </c>
      <c r="X555" s="26">
        <v>935.98119952986258</v>
      </c>
      <c r="Y555" s="26" t="s">
        <v>389</v>
      </c>
      <c r="Z555" s="26">
        <f t="shared" si="181"/>
        <v>655.18683967090374</v>
      </c>
      <c r="AA555" s="26">
        <f t="shared" si="182"/>
        <v>1403.971799294794</v>
      </c>
      <c r="AB555" s="25" t="s">
        <v>1191</v>
      </c>
      <c r="AC555" s="77" t="s">
        <v>400</v>
      </c>
      <c r="AF555" s="26" t="s">
        <v>1378</v>
      </c>
      <c r="AG555" s="25" t="s">
        <v>13</v>
      </c>
      <c r="AQ555" s="29"/>
      <c r="AZ555" s="97" t="s">
        <v>13</v>
      </c>
      <c r="BF555" s="26"/>
      <c r="BG555" s="26"/>
      <c r="BH555" s="83"/>
      <c r="BL555" s="26" t="s">
        <v>13</v>
      </c>
      <c r="BM555" s="25" t="s">
        <v>13</v>
      </c>
      <c r="CA555" s="25" t="s">
        <v>13</v>
      </c>
      <c r="CC555" s="25" t="s">
        <v>13</v>
      </c>
    </row>
    <row r="556" spans="1:81">
      <c r="A556" s="103" t="s">
        <v>868</v>
      </c>
      <c r="B556" s="104" t="s">
        <v>869</v>
      </c>
      <c r="C556" s="106">
        <v>304.66000000000003</v>
      </c>
      <c r="D556" s="81"/>
      <c r="E556" s="81"/>
      <c r="F556" s="105">
        <f t="shared" si="179"/>
        <v>394</v>
      </c>
      <c r="G556" s="77"/>
      <c r="H556" s="32"/>
      <c r="I556" s="32"/>
      <c r="J556" s="77"/>
      <c r="K556" s="77"/>
      <c r="L556" s="104">
        <v>394</v>
      </c>
      <c r="M556" s="104"/>
      <c r="N556" s="104"/>
      <c r="O556" s="104"/>
      <c r="P556" s="104"/>
      <c r="Q556" s="104" t="s">
        <v>870</v>
      </c>
      <c r="R556" s="26" t="s">
        <v>13</v>
      </c>
      <c r="S556" s="6" t="s">
        <v>1131</v>
      </c>
      <c r="T556" s="44" t="s">
        <v>1183</v>
      </c>
      <c r="U556" s="62">
        <v>379</v>
      </c>
      <c r="V556" s="62">
        <v>382</v>
      </c>
      <c r="W556" s="62">
        <v>375</v>
      </c>
      <c r="X556" s="26">
        <v>956.34251409162835</v>
      </c>
      <c r="Y556" s="26" t="s">
        <v>389</v>
      </c>
      <c r="Z556" s="26">
        <f t="shared" si="181"/>
        <v>669.43975986413977</v>
      </c>
      <c r="AA556" s="26">
        <f t="shared" si="182"/>
        <v>1434.5137711374425</v>
      </c>
      <c r="AB556" s="25" t="s">
        <v>1191</v>
      </c>
      <c r="AC556" s="77" t="s">
        <v>400</v>
      </c>
      <c r="AF556" s="26">
        <v>285014</v>
      </c>
      <c r="AG556" s="25" t="s">
        <v>13</v>
      </c>
      <c r="AQ556" s="29"/>
      <c r="AZ556" s="97" t="s">
        <v>13</v>
      </c>
      <c r="BF556" s="26"/>
      <c r="BG556" s="26"/>
      <c r="BH556" s="83"/>
      <c r="BL556" s="26" t="s">
        <v>13</v>
      </c>
      <c r="BM556" s="25" t="s">
        <v>13</v>
      </c>
      <c r="CA556" s="25" t="s">
        <v>13</v>
      </c>
      <c r="CC556" s="25" t="s">
        <v>13</v>
      </c>
    </row>
    <row r="557" spans="1:81">
      <c r="A557" s="103" t="s">
        <v>868</v>
      </c>
      <c r="B557" s="104" t="s">
        <v>869</v>
      </c>
      <c r="C557" s="106">
        <v>304.66000000000003</v>
      </c>
      <c r="D557" s="81"/>
      <c r="E557" s="81"/>
      <c r="F557" s="105">
        <f t="shared" si="179"/>
        <v>322</v>
      </c>
      <c r="G557" s="77"/>
      <c r="H557" s="32"/>
      <c r="I557" s="32"/>
      <c r="J557" s="77"/>
      <c r="K557" s="77"/>
      <c r="L557" s="104">
        <v>322</v>
      </c>
      <c r="M557" s="104"/>
      <c r="N557" s="104"/>
      <c r="O557" s="104"/>
      <c r="P557" s="104"/>
      <c r="Q557" s="104" t="s">
        <v>870</v>
      </c>
      <c r="R557" s="26" t="s">
        <v>13</v>
      </c>
      <c r="S557" s="6" t="s">
        <v>1131</v>
      </c>
      <c r="T557" s="44" t="s">
        <v>1183</v>
      </c>
      <c r="U557" s="62">
        <v>379</v>
      </c>
      <c r="V557" s="62">
        <v>382</v>
      </c>
      <c r="W557" s="62">
        <v>375</v>
      </c>
      <c r="X557" s="26">
        <v>947.98560270870962</v>
      </c>
      <c r="Y557" s="26" t="s">
        <v>389</v>
      </c>
      <c r="Z557" s="26">
        <f t="shared" si="181"/>
        <v>663.58992189609671</v>
      </c>
      <c r="AA557" s="26">
        <f t="shared" si="182"/>
        <v>1421.9784040630643</v>
      </c>
      <c r="AB557" s="25" t="s">
        <v>1191</v>
      </c>
      <c r="AC557" s="77" t="s">
        <v>400</v>
      </c>
      <c r="AF557" s="26">
        <v>31.9</v>
      </c>
      <c r="AG557" s="25" t="s">
        <v>13</v>
      </c>
      <c r="AQ557" s="29"/>
      <c r="AZ557" s="97" t="s">
        <v>13</v>
      </c>
      <c r="BF557" s="26"/>
      <c r="BG557" s="26"/>
      <c r="BH557" s="83"/>
      <c r="BL557" s="26" t="s">
        <v>13</v>
      </c>
      <c r="BM557" s="25" t="s">
        <v>13</v>
      </c>
      <c r="CA557" s="25" t="s">
        <v>13</v>
      </c>
      <c r="CC557" s="25" t="s">
        <v>13</v>
      </c>
    </row>
    <row r="558" spans="1:81">
      <c r="A558" s="103" t="s">
        <v>540</v>
      </c>
      <c r="B558" s="104" t="s">
        <v>869</v>
      </c>
      <c r="C558" s="106">
        <v>304.66000000000003</v>
      </c>
      <c r="D558" s="81">
        <f>C558+0.3</f>
        <v>304.96000000000004</v>
      </c>
      <c r="E558" s="81">
        <f>C558-0.3</f>
        <v>304.36</v>
      </c>
      <c r="F558" s="105">
        <f t="shared" si="179"/>
        <v>358</v>
      </c>
      <c r="G558" s="77" t="s">
        <v>239</v>
      </c>
      <c r="H558" s="32">
        <f t="shared" ref="H558:I560" si="184">M558</f>
        <v>82</v>
      </c>
      <c r="I558" s="32">
        <f t="shared" si="184"/>
        <v>990</v>
      </c>
      <c r="J558" s="77" t="s">
        <v>402</v>
      </c>
      <c r="K558" s="77" t="s">
        <v>400</v>
      </c>
      <c r="L558" s="104">
        <v>358</v>
      </c>
      <c r="M558" s="104">
        <v>82</v>
      </c>
      <c r="N558" s="104">
        <v>990</v>
      </c>
      <c r="O558" s="104"/>
      <c r="P558" s="104"/>
      <c r="Q558" s="104" t="s">
        <v>560</v>
      </c>
      <c r="R558" s="26" t="s">
        <v>13</v>
      </c>
      <c r="S558" s="6" t="s">
        <v>1131</v>
      </c>
      <c r="T558" s="44" t="s">
        <v>1183</v>
      </c>
      <c r="U558" s="62">
        <v>379</v>
      </c>
      <c r="V558" s="62">
        <v>382</v>
      </c>
      <c r="W558" s="62">
        <v>375</v>
      </c>
      <c r="X558" s="26">
        <v>995.51898814768288</v>
      </c>
      <c r="Y558" s="26" t="s">
        <v>389</v>
      </c>
      <c r="Z558" s="26">
        <f t="shared" si="181"/>
        <v>696.86329170337797</v>
      </c>
      <c r="AA558" s="26">
        <f t="shared" si="182"/>
        <v>1493.2784822215244</v>
      </c>
      <c r="AB558" s="25" t="s">
        <v>1191</v>
      </c>
      <c r="AC558" s="77" t="s">
        <v>400</v>
      </c>
      <c r="AF558" s="26">
        <v>33.200000000000003</v>
      </c>
      <c r="AG558" s="25" t="s">
        <v>13</v>
      </c>
      <c r="AQ558" s="29"/>
      <c r="AZ558" s="97" t="s">
        <v>13</v>
      </c>
      <c r="BF558" s="26"/>
      <c r="BG558" s="26"/>
      <c r="BH558" s="83"/>
      <c r="BL558" s="26" t="s">
        <v>13</v>
      </c>
      <c r="BM558" s="25" t="s">
        <v>13</v>
      </c>
      <c r="CA558" s="25" t="s">
        <v>13</v>
      </c>
      <c r="CC558" s="25" t="s">
        <v>13</v>
      </c>
    </row>
    <row r="559" spans="1:81">
      <c r="A559" s="103" t="s">
        <v>540</v>
      </c>
      <c r="B559" s="104" t="s">
        <v>869</v>
      </c>
      <c r="C559" s="106">
        <v>304.86</v>
      </c>
      <c r="D559" s="81">
        <f>C559+0.3</f>
        <v>305.16000000000003</v>
      </c>
      <c r="E559" s="81">
        <f>C559-0.3</f>
        <v>304.56</v>
      </c>
      <c r="F559" s="105">
        <f t="shared" si="179"/>
        <v>398</v>
      </c>
      <c r="G559" s="77" t="s">
        <v>239</v>
      </c>
      <c r="H559" s="32">
        <f t="shared" si="184"/>
        <v>98</v>
      </c>
      <c r="I559" s="32">
        <f t="shared" si="184"/>
        <v>1131</v>
      </c>
      <c r="J559" s="77" t="s">
        <v>402</v>
      </c>
      <c r="K559" s="77" t="s">
        <v>400</v>
      </c>
      <c r="L559" s="104">
        <v>398</v>
      </c>
      <c r="M559" s="104">
        <v>98</v>
      </c>
      <c r="N559" s="104">
        <v>1131</v>
      </c>
      <c r="O559" s="104"/>
      <c r="P559" s="104"/>
      <c r="Q559" s="104" t="s">
        <v>560</v>
      </c>
      <c r="R559" s="26" t="s">
        <v>13</v>
      </c>
      <c r="S559" s="6" t="s">
        <v>1131</v>
      </c>
      <c r="T559" s="44" t="s">
        <v>1183</v>
      </c>
      <c r="U559" s="62">
        <v>380</v>
      </c>
      <c r="V559" s="62">
        <v>382</v>
      </c>
      <c r="W559" s="62">
        <v>375</v>
      </c>
      <c r="X559" s="26">
        <v>835.79070819137701</v>
      </c>
      <c r="Y559" s="26" t="s">
        <v>389</v>
      </c>
      <c r="Z559" s="26">
        <f t="shared" si="181"/>
        <v>585.05349573396381</v>
      </c>
      <c r="AA559" s="26">
        <f t="shared" si="182"/>
        <v>1253.6860622870654</v>
      </c>
      <c r="AB559" s="25" t="s">
        <v>1191</v>
      </c>
      <c r="AC559" s="77" t="s">
        <v>400</v>
      </c>
      <c r="AF559" s="26">
        <v>33.4</v>
      </c>
      <c r="AG559" s="25" t="s">
        <v>13</v>
      </c>
      <c r="AQ559" s="29"/>
      <c r="AZ559" s="97" t="s">
        <v>13</v>
      </c>
      <c r="BF559" s="26"/>
      <c r="BG559" s="26"/>
      <c r="BH559" s="83"/>
      <c r="BL559" s="26" t="s">
        <v>13</v>
      </c>
      <c r="BM559" s="25" t="s">
        <v>13</v>
      </c>
      <c r="CA559" s="25" t="s">
        <v>13</v>
      </c>
      <c r="CC559" s="25" t="s">
        <v>13</v>
      </c>
    </row>
    <row r="560" spans="1:81">
      <c r="A560" s="103" t="s">
        <v>540</v>
      </c>
      <c r="B560" s="104" t="s">
        <v>869</v>
      </c>
      <c r="C560" s="106">
        <v>304.92</v>
      </c>
      <c r="D560" s="81">
        <f>C560+0.3</f>
        <v>305.22000000000003</v>
      </c>
      <c r="E560" s="81">
        <f>C560-0.3</f>
        <v>304.62</v>
      </c>
      <c r="F560" s="105">
        <f t="shared" si="179"/>
        <v>289</v>
      </c>
      <c r="G560" s="77" t="s">
        <v>239</v>
      </c>
      <c r="H560" s="32">
        <f t="shared" si="184"/>
        <v>73</v>
      </c>
      <c r="I560" s="32">
        <f t="shared" si="184"/>
        <v>827</v>
      </c>
      <c r="J560" s="77" t="s">
        <v>402</v>
      </c>
      <c r="K560" s="77" t="s">
        <v>400</v>
      </c>
      <c r="L560" s="104">
        <v>289</v>
      </c>
      <c r="M560" s="104">
        <v>73</v>
      </c>
      <c r="N560" s="104">
        <v>827</v>
      </c>
      <c r="O560" s="104"/>
      <c r="P560" s="104"/>
      <c r="Q560" s="104" t="s">
        <v>560</v>
      </c>
      <c r="R560" s="26" t="s">
        <v>13</v>
      </c>
      <c r="S560" s="6" t="s">
        <v>1131</v>
      </c>
      <c r="T560" s="44" t="s">
        <v>1184</v>
      </c>
      <c r="U560" s="62">
        <v>383</v>
      </c>
      <c r="V560" s="62">
        <v>385</v>
      </c>
      <c r="W560" s="62">
        <v>380</v>
      </c>
      <c r="X560" s="26">
        <v>1237.5148151075607</v>
      </c>
      <c r="Y560" s="26" t="s">
        <v>389</v>
      </c>
      <c r="Z560" s="26">
        <f t="shared" si="181"/>
        <v>866.26037057529243</v>
      </c>
      <c r="AA560" s="26">
        <f t="shared" si="182"/>
        <v>1856.2722226613409</v>
      </c>
      <c r="AB560" s="25" t="s">
        <v>1191</v>
      </c>
      <c r="AC560" s="77" t="s">
        <v>400</v>
      </c>
      <c r="AF560" s="26">
        <v>40.200000000000003</v>
      </c>
      <c r="AG560" s="25" t="s">
        <v>13</v>
      </c>
      <c r="AQ560" s="29"/>
      <c r="AZ560" s="97" t="s">
        <v>13</v>
      </c>
      <c r="BF560" s="26"/>
      <c r="BG560" s="26"/>
      <c r="BH560" s="83"/>
      <c r="BL560" s="26" t="s">
        <v>13</v>
      </c>
      <c r="BM560" s="25" t="s">
        <v>13</v>
      </c>
      <c r="CA560" s="25" t="s">
        <v>13</v>
      </c>
      <c r="CC560" s="25" t="s">
        <v>13</v>
      </c>
    </row>
    <row r="561" spans="1:81">
      <c r="A561" s="103" t="s">
        <v>868</v>
      </c>
      <c r="B561" s="104" t="s">
        <v>869</v>
      </c>
      <c r="C561" s="106">
        <v>304.95999999999998</v>
      </c>
      <c r="D561" s="81"/>
      <c r="E561" s="81"/>
      <c r="F561" s="105">
        <f t="shared" si="179"/>
        <v>472</v>
      </c>
      <c r="G561" s="77"/>
      <c r="H561" s="32"/>
      <c r="I561" s="32"/>
      <c r="J561" s="77"/>
      <c r="K561" s="77"/>
      <c r="L561" s="104">
        <v>472</v>
      </c>
      <c r="M561" s="104"/>
      <c r="N561" s="104"/>
      <c r="O561" s="104"/>
      <c r="P561" s="104"/>
      <c r="Q561" s="104" t="s">
        <v>870</v>
      </c>
      <c r="R561" s="26" t="s">
        <v>13</v>
      </c>
      <c r="S561" s="6" t="s">
        <v>1131</v>
      </c>
      <c r="T561" s="44" t="s">
        <v>1184</v>
      </c>
      <c r="U561" s="62">
        <v>383</v>
      </c>
      <c r="V561" s="62">
        <v>385</v>
      </c>
      <c r="W561" s="62">
        <v>380</v>
      </c>
      <c r="X561" s="26">
        <v>1267.5331665862598</v>
      </c>
      <c r="Y561" s="26" t="s">
        <v>389</v>
      </c>
      <c r="Z561" s="26">
        <f t="shared" si="181"/>
        <v>887.27321661038184</v>
      </c>
      <c r="AA561" s="26">
        <f t="shared" si="182"/>
        <v>1901.2997498793898</v>
      </c>
      <c r="AB561" s="25" t="s">
        <v>1191</v>
      </c>
      <c r="AC561" s="77" t="s">
        <v>400</v>
      </c>
      <c r="AF561" s="26">
        <v>40.299999999999997</v>
      </c>
      <c r="AG561" s="25" t="s">
        <v>13</v>
      </c>
      <c r="AQ561" s="29"/>
      <c r="AZ561" s="97" t="s">
        <v>13</v>
      </c>
      <c r="BF561" s="26"/>
      <c r="BG561" s="26"/>
      <c r="BH561" s="83"/>
      <c r="BL561" s="26" t="s">
        <v>13</v>
      </c>
      <c r="BM561" s="25" t="s">
        <v>13</v>
      </c>
      <c r="CA561" s="25" t="s">
        <v>13</v>
      </c>
      <c r="CC561" s="25" t="s">
        <v>13</v>
      </c>
    </row>
    <row r="562" spans="1:81">
      <c r="A562" s="103" t="s">
        <v>868</v>
      </c>
      <c r="B562" s="104" t="s">
        <v>869</v>
      </c>
      <c r="C562" s="106">
        <v>304.95999999999998</v>
      </c>
      <c r="D562" s="81"/>
      <c r="E562" s="81"/>
      <c r="F562" s="105">
        <f t="shared" si="179"/>
        <v>475</v>
      </c>
      <c r="G562" s="77"/>
      <c r="H562" s="32"/>
      <c r="I562" s="32"/>
      <c r="J562" s="77"/>
      <c r="K562" s="77"/>
      <c r="L562" s="104">
        <v>475</v>
      </c>
      <c r="M562" s="104"/>
      <c r="N562" s="104"/>
      <c r="O562" s="104"/>
      <c r="P562" s="104"/>
      <c r="Q562" s="104" t="s">
        <v>870</v>
      </c>
      <c r="R562" s="26" t="s">
        <v>13</v>
      </c>
      <c r="S562" s="6" t="s">
        <v>1131</v>
      </c>
      <c r="T562" s="44" t="s">
        <v>1184</v>
      </c>
      <c r="U562" s="62">
        <v>383</v>
      </c>
      <c r="V562" s="62">
        <v>385</v>
      </c>
      <c r="W562" s="62">
        <v>380</v>
      </c>
      <c r="X562" s="26">
        <v>1083.6453013637388</v>
      </c>
      <c r="Y562" s="26" t="s">
        <v>389</v>
      </c>
      <c r="Z562" s="26">
        <f t="shared" si="181"/>
        <v>758.55171095461708</v>
      </c>
      <c r="AA562" s="26">
        <f t="shared" si="182"/>
        <v>1625.4679520456082</v>
      </c>
      <c r="AB562" s="25" t="s">
        <v>1191</v>
      </c>
      <c r="AC562" s="77" t="s">
        <v>400</v>
      </c>
      <c r="AF562" s="26">
        <v>40.700000000000003</v>
      </c>
      <c r="AG562" s="25" t="s">
        <v>13</v>
      </c>
      <c r="AQ562" s="29"/>
      <c r="AZ562" s="97" t="s">
        <v>13</v>
      </c>
      <c r="BF562" s="26"/>
      <c r="BG562" s="26"/>
      <c r="BH562" s="83"/>
      <c r="BL562" s="26" t="s">
        <v>13</v>
      </c>
      <c r="BM562" s="25" t="s">
        <v>13</v>
      </c>
      <c r="CA562" s="25" t="s">
        <v>13</v>
      </c>
      <c r="CC562" s="25" t="s">
        <v>13</v>
      </c>
    </row>
    <row r="563" spans="1:81">
      <c r="A563" s="103" t="s">
        <v>540</v>
      </c>
      <c r="B563" s="104" t="s">
        <v>869</v>
      </c>
      <c r="C563" s="106">
        <v>304.95999999999998</v>
      </c>
      <c r="D563" s="81">
        <f t="shared" ref="D563:D570" si="185">C563+0.3</f>
        <v>305.26</v>
      </c>
      <c r="E563" s="81">
        <f t="shared" ref="E563:E570" si="186">C563-0.3</f>
        <v>304.65999999999997</v>
      </c>
      <c r="F563" s="105">
        <f t="shared" si="179"/>
        <v>360</v>
      </c>
      <c r="G563" s="77" t="s">
        <v>239</v>
      </c>
      <c r="H563" s="32">
        <f t="shared" ref="H563:I565" si="187">M563</f>
        <v>89</v>
      </c>
      <c r="I563" s="32">
        <f t="shared" si="187"/>
        <v>1048</v>
      </c>
      <c r="J563" s="77" t="s">
        <v>402</v>
      </c>
      <c r="K563" s="77" t="s">
        <v>400</v>
      </c>
      <c r="L563" s="104">
        <v>360</v>
      </c>
      <c r="M563" s="104">
        <v>89</v>
      </c>
      <c r="N563" s="104">
        <v>1048</v>
      </c>
      <c r="O563" s="104"/>
      <c r="P563" s="104"/>
      <c r="Q563" s="104" t="s">
        <v>560</v>
      </c>
      <c r="R563" s="26" t="s">
        <v>13</v>
      </c>
      <c r="S563" s="6" t="s">
        <v>1131</v>
      </c>
      <c r="T563" s="44" t="s">
        <v>1184</v>
      </c>
      <c r="U563" s="62">
        <v>383</v>
      </c>
      <c r="V563" s="62">
        <v>385</v>
      </c>
      <c r="W563" s="62">
        <v>380</v>
      </c>
      <c r="X563" s="26">
        <v>1020.2748784566094</v>
      </c>
      <c r="Y563" s="26" t="s">
        <v>389</v>
      </c>
      <c r="Z563" s="26">
        <f t="shared" si="181"/>
        <v>714.19241491962657</v>
      </c>
      <c r="AA563" s="26">
        <f t="shared" si="182"/>
        <v>1530.4123176849141</v>
      </c>
      <c r="AB563" s="25" t="s">
        <v>1191</v>
      </c>
      <c r="AC563" s="77" t="s">
        <v>400</v>
      </c>
      <c r="AF563" s="26">
        <v>41.2</v>
      </c>
      <c r="AG563" s="25" t="s">
        <v>13</v>
      </c>
      <c r="AQ563" s="29"/>
      <c r="AZ563" s="97" t="s">
        <v>13</v>
      </c>
      <c r="BF563" s="26"/>
      <c r="BG563" s="26"/>
      <c r="BH563" s="83"/>
      <c r="BL563" s="26" t="s">
        <v>13</v>
      </c>
      <c r="BM563" s="25" t="s">
        <v>13</v>
      </c>
      <c r="CA563" s="25" t="s">
        <v>13</v>
      </c>
      <c r="CC563" s="25" t="s">
        <v>13</v>
      </c>
    </row>
    <row r="564" spans="1:81">
      <c r="A564" s="103" t="s">
        <v>540</v>
      </c>
      <c r="B564" s="104" t="s">
        <v>869</v>
      </c>
      <c r="C564" s="106">
        <v>305.22000000000003</v>
      </c>
      <c r="D564" s="81">
        <f t="shared" si="185"/>
        <v>305.52000000000004</v>
      </c>
      <c r="E564" s="81">
        <f t="shared" si="186"/>
        <v>304.92</v>
      </c>
      <c r="F564" s="105">
        <f t="shared" si="179"/>
        <v>178</v>
      </c>
      <c r="G564" s="77" t="s">
        <v>239</v>
      </c>
      <c r="H564" s="32">
        <f t="shared" si="187"/>
        <v>75</v>
      </c>
      <c r="I564" s="32">
        <f t="shared" si="187"/>
        <v>364</v>
      </c>
      <c r="J564" s="77" t="s">
        <v>402</v>
      </c>
      <c r="K564" s="77" t="s">
        <v>400</v>
      </c>
      <c r="L564" s="104">
        <v>178</v>
      </c>
      <c r="M564" s="104">
        <v>75</v>
      </c>
      <c r="N564" s="104">
        <v>364</v>
      </c>
      <c r="O564" s="104"/>
      <c r="P564" s="104"/>
      <c r="Q564" s="104" t="s">
        <v>561</v>
      </c>
      <c r="R564" s="26" t="s">
        <v>13</v>
      </c>
      <c r="S564" s="6" t="s">
        <v>1131</v>
      </c>
      <c r="T564" s="44" t="s">
        <v>1184</v>
      </c>
      <c r="U564" s="62">
        <v>383</v>
      </c>
      <c r="V564" s="62">
        <v>385</v>
      </c>
      <c r="W564" s="62">
        <v>380</v>
      </c>
      <c r="X564" s="26">
        <v>1367.0560956795327</v>
      </c>
      <c r="Y564" s="26" t="s">
        <v>389</v>
      </c>
      <c r="Z564" s="26">
        <f t="shared" si="181"/>
        <v>956.93926697567281</v>
      </c>
      <c r="AA564" s="26">
        <f t="shared" si="182"/>
        <v>2050.5841435192992</v>
      </c>
      <c r="AB564" s="25" t="s">
        <v>1191</v>
      </c>
      <c r="AC564" s="77" t="s">
        <v>400</v>
      </c>
      <c r="AF564" s="26">
        <v>41.9</v>
      </c>
      <c r="AG564" s="25" t="s">
        <v>13</v>
      </c>
      <c r="AQ564" s="29"/>
      <c r="AZ564" s="97" t="s">
        <v>13</v>
      </c>
      <c r="BF564" s="26"/>
      <c r="BG564" s="26"/>
      <c r="BH564" s="83"/>
      <c r="BL564" s="26" t="s">
        <v>13</v>
      </c>
      <c r="BM564" s="25" t="s">
        <v>13</v>
      </c>
      <c r="CA564" s="25" t="s">
        <v>13</v>
      </c>
      <c r="CC564" s="25" t="s">
        <v>13</v>
      </c>
    </row>
    <row r="565" spans="1:81">
      <c r="A565" s="103" t="s">
        <v>540</v>
      </c>
      <c r="B565" s="104" t="s">
        <v>869</v>
      </c>
      <c r="C565" s="106">
        <v>305.32</v>
      </c>
      <c r="D565" s="81">
        <f t="shared" si="185"/>
        <v>305.62</v>
      </c>
      <c r="E565" s="81">
        <f t="shared" si="186"/>
        <v>305.02</v>
      </c>
      <c r="F565" s="105">
        <f t="shared" si="179"/>
        <v>303</v>
      </c>
      <c r="G565" s="77" t="s">
        <v>239</v>
      </c>
      <c r="H565" s="32">
        <f t="shared" si="187"/>
        <v>76</v>
      </c>
      <c r="I565" s="32">
        <f t="shared" si="187"/>
        <v>868</v>
      </c>
      <c r="J565" s="77" t="s">
        <v>402</v>
      </c>
      <c r="K565" s="77" t="s">
        <v>400</v>
      </c>
      <c r="L565" s="104">
        <v>303</v>
      </c>
      <c r="M565" s="104">
        <v>76</v>
      </c>
      <c r="N565" s="104">
        <v>868</v>
      </c>
      <c r="O565" s="104"/>
      <c r="P565" s="104"/>
      <c r="Q565" s="30" t="s">
        <v>548</v>
      </c>
      <c r="R565" s="26" t="s">
        <v>13</v>
      </c>
      <c r="S565" s="6" t="s">
        <v>1131</v>
      </c>
      <c r="T565" s="44" t="s">
        <v>1185</v>
      </c>
      <c r="U565" s="62">
        <v>388</v>
      </c>
      <c r="V565" s="62">
        <v>393.3</v>
      </c>
      <c r="W565" s="62">
        <v>382.7</v>
      </c>
      <c r="X565" s="26">
        <v>721.55422697109952</v>
      </c>
      <c r="Y565" s="26" t="s">
        <v>389</v>
      </c>
      <c r="Z565" s="26">
        <f t="shared" si="181"/>
        <v>505.08795887976964</v>
      </c>
      <c r="AA565" s="26">
        <f t="shared" si="182"/>
        <v>1082.3313404566493</v>
      </c>
      <c r="AB565" s="25" t="s">
        <v>1191</v>
      </c>
      <c r="AC565" s="77" t="s">
        <v>400</v>
      </c>
      <c r="AF565" s="26">
        <v>271806</v>
      </c>
      <c r="AG565" s="25" t="s">
        <v>13</v>
      </c>
      <c r="AQ565" s="29"/>
      <c r="AZ565" s="97" t="s">
        <v>13</v>
      </c>
      <c r="BF565" s="26"/>
      <c r="BG565" s="26"/>
      <c r="BH565" s="83"/>
      <c r="BL565" s="26" t="s">
        <v>13</v>
      </c>
      <c r="BM565" s="25" t="s">
        <v>13</v>
      </c>
      <c r="CA565" s="25" t="s">
        <v>13</v>
      </c>
      <c r="CC565" s="25" t="s">
        <v>13</v>
      </c>
    </row>
    <row r="566" spans="1:81">
      <c r="A566" s="103" t="s">
        <v>868</v>
      </c>
      <c r="B566" s="104" t="s">
        <v>869</v>
      </c>
      <c r="C566" s="106">
        <v>305.36</v>
      </c>
      <c r="D566" s="81">
        <f t="shared" si="185"/>
        <v>305.66000000000003</v>
      </c>
      <c r="E566" s="81">
        <f t="shared" si="186"/>
        <v>305.06</v>
      </c>
      <c r="F566" s="105">
        <f t="shared" si="179"/>
        <v>332</v>
      </c>
      <c r="G566" s="77" t="s">
        <v>239</v>
      </c>
      <c r="H566" s="32"/>
      <c r="I566" s="32"/>
      <c r="J566" s="77"/>
      <c r="K566" s="77"/>
      <c r="L566" s="104">
        <v>332</v>
      </c>
      <c r="M566" s="104"/>
      <c r="N566" s="104"/>
      <c r="O566" s="104"/>
      <c r="P566" s="104"/>
      <c r="Q566" s="104" t="s">
        <v>560</v>
      </c>
      <c r="R566" s="26" t="s">
        <v>13</v>
      </c>
      <c r="S566" s="6" t="s">
        <v>1131</v>
      </c>
      <c r="T566" s="44" t="s">
        <v>1186</v>
      </c>
      <c r="U566" s="62">
        <v>431.5</v>
      </c>
      <c r="V566" s="62">
        <v>443.8</v>
      </c>
      <c r="W566" s="62">
        <v>419.2</v>
      </c>
      <c r="X566" s="26">
        <v>509.44635944509713</v>
      </c>
      <c r="Y566" s="26" t="s">
        <v>389</v>
      </c>
      <c r="Z566" s="26">
        <f t="shared" si="181"/>
        <v>356.61245161156796</v>
      </c>
      <c r="AA566" s="26">
        <f t="shared" si="182"/>
        <v>764.16953916764567</v>
      </c>
      <c r="AB566" s="25" t="s">
        <v>1191</v>
      </c>
      <c r="AC566" s="77" t="s">
        <v>400</v>
      </c>
      <c r="AF566" s="26">
        <v>312307</v>
      </c>
      <c r="AG566" s="25" t="s">
        <v>13</v>
      </c>
      <c r="AQ566" s="29"/>
      <c r="AZ566" s="97" t="s">
        <v>13</v>
      </c>
      <c r="BF566" s="26"/>
      <c r="BG566" s="26"/>
      <c r="BH566" s="83"/>
      <c r="BL566" s="26" t="s">
        <v>13</v>
      </c>
      <c r="BM566" s="25" t="s">
        <v>13</v>
      </c>
      <c r="CA566" s="25" t="s">
        <v>13</v>
      </c>
      <c r="CC566" s="25" t="s">
        <v>13</v>
      </c>
    </row>
    <row r="567" spans="1:81">
      <c r="A567" s="103" t="s">
        <v>540</v>
      </c>
      <c r="B567" s="104" t="s">
        <v>869</v>
      </c>
      <c r="C567" s="106">
        <v>305.62</v>
      </c>
      <c r="D567" s="81">
        <f t="shared" si="185"/>
        <v>305.92</v>
      </c>
      <c r="E567" s="81">
        <f t="shared" si="186"/>
        <v>305.32</v>
      </c>
      <c r="F567" s="105">
        <f t="shared" si="179"/>
        <v>150</v>
      </c>
      <c r="G567" s="77" t="s">
        <v>239</v>
      </c>
      <c r="H567" s="32">
        <f t="shared" ref="H567:I570" si="188">M567</f>
        <v>52</v>
      </c>
      <c r="I567" s="32">
        <f t="shared" si="188"/>
        <v>319</v>
      </c>
      <c r="J567" s="77" t="s">
        <v>402</v>
      </c>
      <c r="K567" s="77" t="s">
        <v>400</v>
      </c>
      <c r="L567" s="104">
        <v>150</v>
      </c>
      <c r="M567" s="104">
        <v>52</v>
      </c>
      <c r="N567" s="104">
        <v>319</v>
      </c>
      <c r="O567" s="104"/>
      <c r="P567" s="104"/>
      <c r="Q567" s="104" t="s">
        <v>561</v>
      </c>
      <c r="R567" s="26" t="s">
        <v>13</v>
      </c>
      <c r="S567" s="6" t="s">
        <v>1131</v>
      </c>
      <c r="T567" s="44" t="s">
        <v>1187</v>
      </c>
      <c r="U567" s="62">
        <v>438</v>
      </c>
      <c r="V567" s="62">
        <v>444</v>
      </c>
      <c r="W567" s="62">
        <v>433</v>
      </c>
      <c r="X567" s="26">
        <v>666.30117162074771</v>
      </c>
      <c r="Y567" s="26" t="s">
        <v>389</v>
      </c>
      <c r="Z567" s="26">
        <f t="shared" si="181"/>
        <v>466.41082013452336</v>
      </c>
      <c r="AA567" s="26">
        <f t="shared" si="182"/>
        <v>999.45175743112156</v>
      </c>
      <c r="AB567" s="25" t="s">
        <v>1191</v>
      </c>
      <c r="AC567" s="77" t="s">
        <v>400</v>
      </c>
      <c r="AF567" s="26">
        <v>757868</v>
      </c>
      <c r="AG567" s="25" t="s">
        <v>13</v>
      </c>
      <c r="AQ567" s="29"/>
      <c r="AZ567" s="97" t="s">
        <v>13</v>
      </c>
      <c r="BF567" s="26"/>
      <c r="BG567" s="26"/>
      <c r="BH567" s="83"/>
      <c r="BL567" s="26" t="s">
        <v>13</v>
      </c>
      <c r="BM567" s="25" t="s">
        <v>13</v>
      </c>
      <c r="CA567" s="25" t="s">
        <v>13</v>
      </c>
      <c r="CC567" s="25" t="s">
        <v>13</v>
      </c>
    </row>
    <row r="568" spans="1:81">
      <c r="A568" s="103" t="s">
        <v>540</v>
      </c>
      <c r="B568" s="104" t="s">
        <v>869</v>
      </c>
      <c r="C568" s="106">
        <v>305.72000000000003</v>
      </c>
      <c r="D568" s="81">
        <f t="shared" si="185"/>
        <v>306.02000000000004</v>
      </c>
      <c r="E568" s="81">
        <f t="shared" si="186"/>
        <v>305.42</v>
      </c>
      <c r="F568" s="105">
        <f t="shared" si="179"/>
        <v>139</v>
      </c>
      <c r="G568" s="77" t="s">
        <v>239</v>
      </c>
      <c r="H568" s="32">
        <f t="shared" si="188"/>
        <v>36</v>
      </c>
      <c r="I568" s="32">
        <f t="shared" si="188"/>
        <v>314</v>
      </c>
      <c r="J568" s="77" t="s">
        <v>402</v>
      </c>
      <c r="K568" s="77" t="s">
        <v>400</v>
      </c>
      <c r="L568" s="104">
        <v>139</v>
      </c>
      <c r="M568" s="104">
        <v>36</v>
      </c>
      <c r="N568" s="104">
        <v>314</v>
      </c>
      <c r="O568" s="104"/>
      <c r="P568" s="104"/>
      <c r="Q568" s="104" t="s">
        <v>561</v>
      </c>
      <c r="R568" s="26" t="s">
        <v>13</v>
      </c>
      <c r="S568" s="6" t="s">
        <v>1131</v>
      </c>
      <c r="T568" s="44" t="s">
        <v>1188</v>
      </c>
      <c r="U568" s="62">
        <v>450</v>
      </c>
      <c r="V568" s="62">
        <v>458.4</v>
      </c>
      <c r="W568" s="62">
        <v>443.4</v>
      </c>
      <c r="X568" s="26">
        <v>678.94562808102228</v>
      </c>
      <c r="Y568" s="26" t="s">
        <v>389</v>
      </c>
      <c r="Z568" s="26">
        <f t="shared" si="181"/>
        <v>475.26193965671558</v>
      </c>
      <c r="AA568" s="26">
        <f t="shared" si="182"/>
        <v>1018.4184421215334</v>
      </c>
      <c r="AB568" s="25" t="s">
        <v>1191</v>
      </c>
      <c r="AC568" s="77" t="s">
        <v>400</v>
      </c>
      <c r="AF568" s="26" t="s">
        <v>1379</v>
      </c>
      <c r="AG568" s="25" t="s">
        <v>13</v>
      </c>
      <c r="AQ568" s="29"/>
      <c r="AZ568" s="97" t="s">
        <v>13</v>
      </c>
      <c r="BF568" s="26"/>
      <c r="BG568" s="26"/>
      <c r="BH568" s="83"/>
      <c r="BL568" s="26" t="s">
        <v>13</v>
      </c>
      <c r="BM568" s="25" t="s">
        <v>13</v>
      </c>
      <c r="CA568" s="25" t="s">
        <v>13</v>
      </c>
      <c r="CC568" s="25" t="s">
        <v>13</v>
      </c>
    </row>
    <row r="569" spans="1:81">
      <c r="A569" s="103" t="s">
        <v>540</v>
      </c>
      <c r="B569" s="104" t="s">
        <v>869</v>
      </c>
      <c r="C569" s="106">
        <v>305.72000000000003</v>
      </c>
      <c r="D569" s="81">
        <f t="shared" si="185"/>
        <v>306.02000000000004</v>
      </c>
      <c r="E569" s="81">
        <f t="shared" si="186"/>
        <v>305.42</v>
      </c>
      <c r="F569" s="105">
        <f t="shared" si="179"/>
        <v>281</v>
      </c>
      <c r="G569" s="77" t="s">
        <v>239</v>
      </c>
      <c r="H569" s="32">
        <f t="shared" si="188"/>
        <v>67</v>
      </c>
      <c r="I569" s="32">
        <f t="shared" si="188"/>
        <v>807</v>
      </c>
      <c r="J569" s="77" t="s">
        <v>402</v>
      </c>
      <c r="K569" s="77" t="s">
        <v>400</v>
      </c>
      <c r="L569" s="104">
        <v>281</v>
      </c>
      <c r="M569" s="104">
        <v>67</v>
      </c>
      <c r="N569" s="104">
        <v>807</v>
      </c>
      <c r="O569" s="104"/>
      <c r="P569" s="104"/>
      <c r="Q569" s="104" t="s">
        <v>559</v>
      </c>
      <c r="R569" s="26" t="s">
        <v>13</v>
      </c>
      <c r="S569" s="6" t="s">
        <v>1131</v>
      </c>
      <c r="T569" s="44" t="s">
        <v>1188</v>
      </c>
      <c r="U569" s="62">
        <v>450</v>
      </c>
      <c r="V569" s="62">
        <v>458.4</v>
      </c>
      <c r="W569" s="62">
        <v>443.4</v>
      </c>
      <c r="X569" s="26">
        <v>655.68747157178962</v>
      </c>
      <c r="Y569" s="26" t="s">
        <v>389</v>
      </c>
      <c r="Z569" s="26">
        <f t="shared" si="181"/>
        <v>458.98123010025267</v>
      </c>
      <c r="AA569" s="26">
        <f t="shared" si="182"/>
        <v>983.53120735768448</v>
      </c>
      <c r="AB569" s="25" t="s">
        <v>1191</v>
      </c>
      <c r="AC569" s="77" t="s">
        <v>400</v>
      </c>
      <c r="AF569" s="26" t="s">
        <v>1380</v>
      </c>
      <c r="AG569" s="25" t="s">
        <v>13</v>
      </c>
      <c r="AQ569" s="29"/>
      <c r="AZ569" s="97" t="s">
        <v>13</v>
      </c>
      <c r="BF569" s="26"/>
      <c r="BG569" s="26"/>
      <c r="BH569" s="83"/>
      <c r="BL569" s="26" t="s">
        <v>13</v>
      </c>
      <c r="BM569" s="25" t="s">
        <v>13</v>
      </c>
      <c r="CA569" s="25" t="s">
        <v>13</v>
      </c>
      <c r="CC569" s="25" t="s">
        <v>13</v>
      </c>
    </row>
    <row r="570" spans="1:81">
      <c r="A570" s="103" t="s">
        <v>540</v>
      </c>
      <c r="B570" s="104" t="s">
        <v>869</v>
      </c>
      <c r="C570" s="106">
        <v>305.82</v>
      </c>
      <c r="D570" s="81">
        <f t="shared" si="185"/>
        <v>306.12</v>
      </c>
      <c r="E570" s="81">
        <f t="shared" si="186"/>
        <v>305.52</v>
      </c>
      <c r="F570" s="105">
        <f t="shared" si="179"/>
        <v>436</v>
      </c>
      <c r="G570" s="77" t="s">
        <v>239</v>
      </c>
      <c r="H570" s="32">
        <f t="shared" si="188"/>
        <v>108</v>
      </c>
      <c r="I570" s="32">
        <f t="shared" si="188"/>
        <v>1230</v>
      </c>
      <c r="J570" s="77" t="s">
        <v>402</v>
      </c>
      <c r="K570" s="77" t="s">
        <v>400</v>
      </c>
      <c r="L570" s="104">
        <v>436</v>
      </c>
      <c r="M570" s="104">
        <v>108</v>
      </c>
      <c r="N570" s="104">
        <v>1230</v>
      </c>
      <c r="O570" s="104"/>
      <c r="P570" s="104"/>
      <c r="Q570" s="30" t="s">
        <v>548</v>
      </c>
      <c r="R570" s="26" t="s">
        <v>13</v>
      </c>
      <c r="S570" s="6" t="s">
        <v>1131</v>
      </c>
      <c r="T570" s="44" t="s">
        <v>1188</v>
      </c>
      <c r="U570" s="62">
        <v>450</v>
      </c>
      <c r="V570" s="62">
        <v>458.4</v>
      </c>
      <c r="W570" s="62">
        <v>443.4</v>
      </c>
      <c r="X570" s="26">
        <v>655.68747157178962</v>
      </c>
      <c r="Y570" s="26" t="s">
        <v>389</v>
      </c>
      <c r="Z570" s="26">
        <f t="shared" si="181"/>
        <v>458.98123010025267</v>
      </c>
      <c r="AA570" s="26">
        <f t="shared" si="182"/>
        <v>983.53120735768448</v>
      </c>
      <c r="AB570" s="25" t="s">
        <v>1191</v>
      </c>
      <c r="AC570" s="77" t="s">
        <v>400</v>
      </c>
      <c r="AF570" s="26" t="s">
        <v>1381</v>
      </c>
      <c r="AG570" s="25" t="s">
        <v>13</v>
      </c>
      <c r="AQ570" s="29"/>
      <c r="AZ570" s="97" t="s">
        <v>13</v>
      </c>
      <c r="BF570" s="26"/>
      <c r="BG570" s="26"/>
      <c r="BH570" s="83"/>
      <c r="BL570" s="26" t="s">
        <v>13</v>
      </c>
      <c r="BM570" s="25" t="s">
        <v>13</v>
      </c>
      <c r="CA570" s="25" t="s">
        <v>13</v>
      </c>
      <c r="CC570" s="25" t="s">
        <v>13</v>
      </c>
    </row>
    <row r="571" spans="1:81">
      <c r="A571" s="103" t="s">
        <v>868</v>
      </c>
      <c r="B571" s="104" t="s">
        <v>869</v>
      </c>
      <c r="C571" s="106">
        <v>306.19</v>
      </c>
      <c r="D571" s="81"/>
      <c r="E571" s="81"/>
      <c r="F571" s="105">
        <f t="shared" si="179"/>
        <v>446</v>
      </c>
      <c r="G571" s="77"/>
      <c r="H571" s="32"/>
      <c r="I571" s="32"/>
      <c r="J571" s="77"/>
      <c r="K571" s="77"/>
      <c r="L571" s="104">
        <v>446</v>
      </c>
      <c r="M571" s="104"/>
      <c r="N571" s="104"/>
      <c r="O571" s="104"/>
      <c r="P571" s="104"/>
      <c r="Q571" s="104" t="s">
        <v>870</v>
      </c>
      <c r="R571" s="26" t="s">
        <v>13</v>
      </c>
      <c r="S571" s="6" t="s">
        <v>1131</v>
      </c>
      <c r="T571" s="44" t="s">
        <v>1188</v>
      </c>
      <c r="U571" s="62">
        <v>450</v>
      </c>
      <c r="V571" s="62">
        <v>458.4</v>
      </c>
      <c r="W571" s="62">
        <v>443.4</v>
      </c>
      <c r="X571" s="26">
        <v>717.12125930301772</v>
      </c>
      <c r="Y571" s="26" t="s">
        <v>389</v>
      </c>
      <c r="Z571" s="26">
        <f t="shared" si="181"/>
        <v>501.98488151211239</v>
      </c>
      <c r="AA571" s="26">
        <f t="shared" si="182"/>
        <v>1075.6818889545266</v>
      </c>
      <c r="AB571" s="25" t="s">
        <v>1191</v>
      </c>
      <c r="AC571" s="77" t="s">
        <v>400</v>
      </c>
      <c r="AF571" s="26" t="s">
        <v>1382</v>
      </c>
      <c r="AG571" s="25" t="s">
        <v>13</v>
      </c>
      <c r="AQ571" s="29"/>
      <c r="AZ571" s="97" t="s">
        <v>13</v>
      </c>
      <c r="BF571" s="26"/>
      <c r="BG571" s="26"/>
      <c r="BH571" s="83"/>
      <c r="BL571" s="26" t="s">
        <v>13</v>
      </c>
      <c r="BM571" s="25" t="s">
        <v>13</v>
      </c>
      <c r="CA571" s="25" t="s">
        <v>13</v>
      </c>
      <c r="CC571" s="25" t="s">
        <v>13</v>
      </c>
    </row>
    <row r="572" spans="1:81">
      <c r="A572" s="103" t="s">
        <v>868</v>
      </c>
      <c r="B572" s="104" t="s">
        <v>869</v>
      </c>
      <c r="C572" s="106">
        <v>306.19</v>
      </c>
      <c r="D572" s="81"/>
      <c r="E572" s="81"/>
      <c r="F572" s="105">
        <f t="shared" si="179"/>
        <v>507</v>
      </c>
      <c r="G572" s="77"/>
      <c r="H572" s="32"/>
      <c r="I572" s="32"/>
      <c r="J572" s="77"/>
      <c r="K572" s="77"/>
      <c r="L572" s="104">
        <v>507</v>
      </c>
      <c r="M572" s="104"/>
      <c r="N572" s="104"/>
      <c r="O572" s="104"/>
      <c r="P572" s="104"/>
      <c r="Q572" s="104" t="s">
        <v>870</v>
      </c>
      <c r="R572" s="26" t="s">
        <v>13</v>
      </c>
      <c r="S572" s="6" t="s">
        <v>1131</v>
      </c>
      <c r="T572" s="44" t="s">
        <v>1188</v>
      </c>
      <c r="U572" s="62">
        <v>450</v>
      </c>
      <c r="V572" s="62">
        <v>458.4</v>
      </c>
      <c r="W572" s="62">
        <v>443.4</v>
      </c>
      <c r="X572" s="26">
        <v>568.19725094716091</v>
      </c>
      <c r="Y572" s="26" t="s">
        <v>389</v>
      </c>
      <c r="Z572" s="26">
        <f t="shared" si="181"/>
        <v>397.73807566301264</v>
      </c>
      <c r="AA572" s="26">
        <f t="shared" si="182"/>
        <v>852.29587642074137</v>
      </c>
      <c r="AB572" s="25" t="s">
        <v>1191</v>
      </c>
      <c r="AC572" s="77" t="s">
        <v>400</v>
      </c>
      <c r="AF572" s="26" t="s">
        <v>1383</v>
      </c>
      <c r="AG572" s="25" t="s">
        <v>13</v>
      </c>
      <c r="AQ572" s="29"/>
      <c r="AZ572" s="97" t="s">
        <v>13</v>
      </c>
      <c r="BF572" s="26"/>
      <c r="BG572" s="26"/>
      <c r="BH572" s="83"/>
      <c r="BL572" s="26" t="s">
        <v>13</v>
      </c>
      <c r="BM572" s="25" t="s">
        <v>13</v>
      </c>
      <c r="CA572" s="25" t="s">
        <v>13</v>
      </c>
      <c r="CC572" s="25" t="s">
        <v>13</v>
      </c>
    </row>
    <row r="573" spans="1:81">
      <c r="A573" s="103" t="s">
        <v>868</v>
      </c>
      <c r="B573" s="104" t="s">
        <v>869</v>
      </c>
      <c r="C573" s="106">
        <v>306.19</v>
      </c>
      <c r="D573" s="81"/>
      <c r="E573" s="81"/>
      <c r="F573" s="105">
        <f t="shared" si="179"/>
        <v>368</v>
      </c>
      <c r="G573" s="77"/>
      <c r="H573" s="32"/>
      <c r="I573" s="32"/>
      <c r="J573" s="77"/>
      <c r="K573" s="77"/>
      <c r="L573" s="104">
        <v>368</v>
      </c>
      <c r="M573" s="104"/>
      <c r="N573" s="104"/>
      <c r="O573" s="104"/>
      <c r="P573" s="104"/>
      <c r="Q573" s="104" t="s">
        <v>870</v>
      </c>
      <c r="R573" s="26" t="s">
        <v>13</v>
      </c>
      <c r="S573" s="6" t="s">
        <v>1131</v>
      </c>
      <c r="T573" s="44" t="s">
        <v>1188</v>
      </c>
      <c r="U573" s="62">
        <v>450</v>
      </c>
      <c r="V573" s="62">
        <v>458.4</v>
      </c>
      <c r="W573" s="62">
        <v>443.4</v>
      </c>
      <c r="X573" s="26">
        <v>717.12125930301772</v>
      </c>
      <c r="Y573" s="26" t="s">
        <v>389</v>
      </c>
      <c r="Z573" s="26">
        <f t="shared" si="181"/>
        <v>501.98488151211239</v>
      </c>
      <c r="AA573" s="26">
        <f t="shared" si="182"/>
        <v>1075.6818889545266</v>
      </c>
      <c r="AB573" s="25" t="s">
        <v>1191</v>
      </c>
      <c r="AC573" s="77" t="s">
        <v>400</v>
      </c>
      <c r="AF573" s="26" t="s">
        <v>1384</v>
      </c>
      <c r="AG573" s="25" t="s">
        <v>13</v>
      </c>
      <c r="AQ573" s="29"/>
      <c r="AZ573" s="97" t="s">
        <v>13</v>
      </c>
      <c r="BF573" s="26"/>
      <c r="BG573" s="26"/>
      <c r="BH573" s="83"/>
      <c r="BL573" s="26" t="s">
        <v>13</v>
      </c>
      <c r="BM573" s="25" t="s">
        <v>13</v>
      </c>
      <c r="CA573" s="25" t="s">
        <v>13</v>
      </c>
      <c r="CC573" s="25" t="s">
        <v>13</v>
      </c>
    </row>
    <row r="574" spans="1:81">
      <c r="A574" s="103" t="s">
        <v>868</v>
      </c>
      <c r="B574" s="104" t="s">
        <v>869</v>
      </c>
      <c r="C574" s="106">
        <v>306.19</v>
      </c>
      <c r="D574" s="81"/>
      <c r="E574" s="81"/>
      <c r="F574" s="105">
        <f t="shared" si="179"/>
        <v>354</v>
      </c>
      <c r="G574" s="77"/>
      <c r="H574" s="32"/>
      <c r="I574" s="32"/>
      <c r="J574" s="77"/>
      <c r="K574" s="77"/>
      <c r="L574" s="104">
        <v>354</v>
      </c>
      <c r="M574" s="104"/>
      <c r="N574" s="104"/>
      <c r="O574" s="104"/>
      <c r="P574" s="104"/>
      <c r="Q574" s="104" t="s">
        <v>870</v>
      </c>
      <c r="R574" s="26" t="s">
        <v>13</v>
      </c>
      <c r="S574" s="6" t="s">
        <v>1131</v>
      </c>
      <c r="T574" s="44" t="s">
        <v>1188</v>
      </c>
      <c r="U574" s="62">
        <v>450</v>
      </c>
      <c r="V574" s="62">
        <v>458.4</v>
      </c>
      <c r="W574" s="62">
        <v>443.4</v>
      </c>
      <c r="X574" s="26">
        <v>691.20848998826546</v>
      </c>
      <c r="Y574" s="26" t="s">
        <v>389</v>
      </c>
      <c r="Z574" s="26">
        <f t="shared" si="181"/>
        <v>483.84594299178576</v>
      </c>
      <c r="AA574" s="26">
        <f t="shared" si="182"/>
        <v>1036.8127349823981</v>
      </c>
      <c r="AB574" s="25" t="s">
        <v>1191</v>
      </c>
      <c r="AC574" s="77" t="s">
        <v>400</v>
      </c>
      <c r="AF574" s="26" t="s">
        <v>1385</v>
      </c>
      <c r="AG574" s="25" t="s">
        <v>13</v>
      </c>
      <c r="AQ574" s="29"/>
      <c r="AZ574" s="97" t="s">
        <v>13</v>
      </c>
      <c r="BF574" s="26"/>
      <c r="BG574" s="26"/>
      <c r="BH574" s="83"/>
      <c r="BL574" s="26" t="s">
        <v>13</v>
      </c>
      <c r="BM574" s="25" t="s">
        <v>13</v>
      </c>
      <c r="CA574" s="25" t="s">
        <v>13</v>
      </c>
      <c r="CC574" s="25" t="s">
        <v>13</v>
      </c>
    </row>
    <row r="575" spans="1:81">
      <c r="A575" s="103" t="s">
        <v>540</v>
      </c>
      <c r="B575" s="104" t="s">
        <v>869</v>
      </c>
      <c r="C575" s="106">
        <v>306.19</v>
      </c>
      <c r="D575" s="81">
        <f t="shared" ref="D575:D583" si="189">C575+0.3</f>
        <v>306.49</v>
      </c>
      <c r="E575" s="81">
        <f t="shared" ref="E575:E583" si="190">C575-0.3</f>
        <v>305.89</v>
      </c>
      <c r="F575" s="105">
        <f t="shared" si="179"/>
        <v>212</v>
      </c>
      <c r="G575" s="77" t="s">
        <v>239</v>
      </c>
      <c r="H575" s="32">
        <f t="shared" ref="H575:I583" si="191">M575</f>
        <v>52</v>
      </c>
      <c r="I575" s="32">
        <f t="shared" si="191"/>
        <v>623</v>
      </c>
      <c r="J575" s="77" t="s">
        <v>402</v>
      </c>
      <c r="K575" s="77" t="s">
        <v>400</v>
      </c>
      <c r="L575" s="104">
        <v>212</v>
      </c>
      <c r="M575" s="104">
        <v>52</v>
      </c>
      <c r="N575" s="104">
        <v>623</v>
      </c>
      <c r="O575" s="104"/>
      <c r="P575" s="104"/>
      <c r="Q575" s="104" t="s">
        <v>560</v>
      </c>
      <c r="R575" s="26" t="s">
        <v>13</v>
      </c>
      <c r="S575" s="6" t="s">
        <v>1131</v>
      </c>
      <c r="T575" s="44" t="s">
        <v>1188</v>
      </c>
      <c r="U575" s="62">
        <v>450</v>
      </c>
      <c r="V575" s="62">
        <v>458.4</v>
      </c>
      <c r="W575" s="62">
        <v>443.4</v>
      </c>
      <c r="X575" s="26">
        <v>562.41516186077092</v>
      </c>
      <c r="Y575" s="26" t="s">
        <v>389</v>
      </c>
      <c r="Z575" s="26">
        <f t="shared" si="181"/>
        <v>393.69061330253965</v>
      </c>
      <c r="AA575" s="26">
        <f t="shared" si="182"/>
        <v>843.62274279115638</v>
      </c>
      <c r="AB575" s="25" t="s">
        <v>1191</v>
      </c>
      <c r="AC575" s="77" t="s">
        <v>400</v>
      </c>
      <c r="AF575" s="26" t="s">
        <v>1386</v>
      </c>
      <c r="AG575" s="25" t="s">
        <v>13</v>
      </c>
      <c r="AQ575" s="29"/>
      <c r="AZ575" s="97" t="s">
        <v>13</v>
      </c>
      <c r="BF575" s="26"/>
      <c r="BG575" s="26"/>
      <c r="BH575" s="83"/>
      <c r="BL575" s="26" t="s">
        <v>13</v>
      </c>
      <c r="BM575" s="25" t="s">
        <v>13</v>
      </c>
      <c r="CA575" s="25" t="s">
        <v>13</v>
      </c>
      <c r="CC575" s="25" t="s">
        <v>13</v>
      </c>
    </row>
    <row r="576" spans="1:81">
      <c r="A576" s="103" t="s">
        <v>540</v>
      </c>
      <c r="B576" s="104" t="s">
        <v>869</v>
      </c>
      <c r="C576" s="106">
        <v>306.19</v>
      </c>
      <c r="D576" s="81">
        <f t="shared" si="189"/>
        <v>306.49</v>
      </c>
      <c r="E576" s="81">
        <f t="shared" si="190"/>
        <v>305.89</v>
      </c>
      <c r="F576" s="105">
        <f t="shared" si="179"/>
        <v>275</v>
      </c>
      <c r="G576" s="77" t="s">
        <v>239</v>
      </c>
      <c r="H576" s="32">
        <f t="shared" si="191"/>
        <v>107</v>
      </c>
      <c r="I576" s="32">
        <f t="shared" si="191"/>
        <v>569</v>
      </c>
      <c r="J576" s="77" t="s">
        <v>402</v>
      </c>
      <c r="K576" s="77" t="s">
        <v>400</v>
      </c>
      <c r="L576" s="104">
        <v>275</v>
      </c>
      <c r="M576" s="104">
        <v>107</v>
      </c>
      <c r="N576" s="104">
        <v>569</v>
      </c>
      <c r="O576" s="104"/>
      <c r="P576" s="104"/>
      <c r="Q576" s="104" t="s">
        <v>562</v>
      </c>
      <c r="R576" s="26" t="s">
        <v>13</v>
      </c>
      <c r="S576" s="6" t="s">
        <v>1131</v>
      </c>
      <c r="T576" s="44" t="s">
        <v>1188</v>
      </c>
      <c r="U576" s="62">
        <v>450</v>
      </c>
      <c r="V576" s="62">
        <v>458.4</v>
      </c>
      <c r="W576" s="62">
        <v>443.4</v>
      </c>
      <c r="X576" s="26">
        <v>600.02548311014459</v>
      </c>
      <c r="Y576" s="26" t="s">
        <v>389</v>
      </c>
      <c r="Z576" s="26">
        <f t="shared" si="181"/>
        <v>420.01783817710117</v>
      </c>
      <c r="AA576" s="26">
        <f t="shared" si="182"/>
        <v>900.03822466521683</v>
      </c>
      <c r="AB576" s="25" t="s">
        <v>1191</v>
      </c>
      <c r="AC576" s="77" t="s">
        <v>400</v>
      </c>
      <c r="AF576" s="26" t="s">
        <v>1387</v>
      </c>
      <c r="AG576" s="25" t="s">
        <v>13</v>
      </c>
      <c r="AQ576" s="29"/>
      <c r="AZ576" s="97" t="s">
        <v>13</v>
      </c>
      <c r="BF576" s="26"/>
      <c r="BG576" s="26"/>
      <c r="BH576" s="83"/>
      <c r="BL576" s="26" t="s">
        <v>13</v>
      </c>
      <c r="BM576" s="25" t="s">
        <v>13</v>
      </c>
      <c r="CA576" s="25" t="s">
        <v>13</v>
      </c>
      <c r="CC576" s="25" t="s">
        <v>13</v>
      </c>
    </row>
    <row r="577" spans="1:81">
      <c r="A577" s="103" t="s">
        <v>540</v>
      </c>
      <c r="B577" s="104" t="s">
        <v>869</v>
      </c>
      <c r="C577" s="106">
        <v>306.19</v>
      </c>
      <c r="D577" s="81">
        <f t="shared" si="189"/>
        <v>306.49</v>
      </c>
      <c r="E577" s="81">
        <f t="shared" si="190"/>
        <v>305.89</v>
      </c>
      <c r="F577" s="105">
        <f t="shared" si="179"/>
        <v>454</v>
      </c>
      <c r="G577" s="77" t="s">
        <v>239</v>
      </c>
      <c r="H577" s="32">
        <f t="shared" si="191"/>
        <v>109</v>
      </c>
      <c r="I577" s="32">
        <f t="shared" si="191"/>
        <v>1293</v>
      </c>
      <c r="J577" s="77" t="s">
        <v>402</v>
      </c>
      <c r="K577" s="77" t="s">
        <v>400</v>
      </c>
      <c r="L577" s="104">
        <v>454</v>
      </c>
      <c r="M577" s="104">
        <v>109</v>
      </c>
      <c r="N577" s="104">
        <v>1293</v>
      </c>
      <c r="O577" s="104"/>
      <c r="P577" s="104"/>
      <c r="Q577" s="104" t="s">
        <v>560</v>
      </c>
      <c r="R577" s="26" t="s">
        <v>13</v>
      </c>
      <c r="S577" s="6" t="s">
        <v>1131</v>
      </c>
      <c r="T577" s="44" t="s">
        <v>1188</v>
      </c>
      <c r="U577" s="62">
        <v>450</v>
      </c>
      <c r="V577" s="62">
        <v>458.4</v>
      </c>
      <c r="W577" s="62">
        <v>443.4</v>
      </c>
      <c r="X577" s="26">
        <v>562.41516186077092</v>
      </c>
      <c r="Y577" s="26" t="s">
        <v>389</v>
      </c>
      <c r="Z577" s="26">
        <f t="shared" si="181"/>
        <v>393.69061330253965</v>
      </c>
      <c r="AA577" s="26">
        <f t="shared" si="182"/>
        <v>843.62274279115638</v>
      </c>
      <c r="AB577" s="25" t="s">
        <v>1191</v>
      </c>
      <c r="AC577" s="77" t="s">
        <v>400</v>
      </c>
      <c r="AF577" s="26" t="s">
        <v>1388</v>
      </c>
      <c r="AG577" s="25" t="s">
        <v>13</v>
      </c>
      <c r="AQ577" s="29"/>
      <c r="AZ577" s="97" t="s">
        <v>13</v>
      </c>
      <c r="BF577" s="26"/>
      <c r="BG577" s="26"/>
      <c r="BH577" s="83"/>
      <c r="BL577" s="26" t="s">
        <v>13</v>
      </c>
      <c r="BM577" s="25" t="s">
        <v>13</v>
      </c>
      <c r="CA577" s="25" t="s">
        <v>13</v>
      </c>
      <c r="CC577" s="25" t="s">
        <v>13</v>
      </c>
    </row>
    <row r="578" spans="1:81">
      <c r="A578" s="103" t="s">
        <v>540</v>
      </c>
      <c r="B578" s="104" t="s">
        <v>869</v>
      </c>
      <c r="C578" s="106">
        <v>306.19</v>
      </c>
      <c r="D578" s="81">
        <f t="shared" si="189"/>
        <v>306.49</v>
      </c>
      <c r="E578" s="81">
        <f t="shared" si="190"/>
        <v>305.89</v>
      </c>
      <c r="F578" s="105">
        <f t="shared" si="179"/>
        <v>476</v>
      </c>
      <c r="G578" s="77" t="s">
        <v>239</v>
      </c>
      <c r="H578" s="32">
        <f t="shared" si="191"/>
        <v>119</v>
      </c>
      <c r="I578" s="32">
        <f t="shared" si="191"/>
        <v>1356</v>
      </c>
      <c r="J578" s="77" t="s">
        <v>402</v>
      </c>
      <c r="K578" s="77" t="s">
        <v>400</v>
      </c>
      <c r="L578" s="104">
        <v>476</v>
      </c>
      <c r="M578" s="104">
        <v>119</v>
      </c>
      <c r="N578" s="104">
        <v>1356</v>
      </c>
      <c r="O578" s="104"/>
      <c r="P578" s="104"/>
      <c r="Q578" s="104" t="s">
        <v>560</v>
      </c>
      <c r="R578" s="26" t="s">
        <v>13</v>
      </c>
      <c r="S578" s="6" t="s">
        <v>1131</v>
      </c>
      <c r="T578" s="44" t="s">
        <v>1188</v>
      </c>
      <c r="U578" s="62">
        <v>450</v>
      </c>
      <c r="V578" s="62">
        <v>458.4</v>
      </c>
      <c r="W578" s="62">
        <v>443.4</v>
      </c>
      <c r="X578" s="26">
        <v>537.18005777288045</v>
      </c>
      <c r="Y578" s="26" t="s">
        <v>389</v>
      </c>
      <c r="Z578" s="26">
        <f t="shared" si="181"/>
        <v>376.02604044101628</v>
      </c>
      <c r="AA578" s="26">
        <f t="shared" si="182"/>
        <v>805.77008665932067</v>
      </c>
      <c r="AB578" s="25" t="s">
        <v>1191</v>
      </c>
      <c r="AC578" s="77" t="s">
        <v>400</v>
      </c>
      <c r="AF578" s="26" t="s">
        <v>1389</v>
      </c>
      <c r="AG578" s="25" t="s">
        <v>13</v>
      </c>
      <c r="AQ578" s="29"/>
      <c r="AZ578" s="97" t="s">
        <v>13</v>
      </c>
      <c r="BF578" s="26"/>
      <c r="BG578" s="26"/>
      <c r="BH578" s="83"/>
      <c r="BL578" s="26" t="s">
        <v>13</v>
      </c>
      <c r="BM578" s="25" t="s">
        <v>13</v>
      </c>
      <c r="CA578" s="25" t="s">
        <v>13</v>
      </c>
      <c r="CC578" s="25" t="s">
        <v>13</v>
      </c>
    </row>
    <row r="579" spans="1:81">
      <c r="A579" s="103" t="s">
        <v>540</v>
      </c>
      <c r="B579" s="104" t="s">
        <v>869</v>
      </c>
      <c r="C579" s="106">
        <v>306.29000000000002</v>
      </c>
      <c r="D579" s="81">
        <f t="shared" si="189"/>
        <v>306.59000000000003</v>
      </c>
      <c r="E579" s="81">
        <f t="shared" si="190"/>
        <v>305.99</v>
      </c>
      <c r="F579" s="105">
        <f t="shared" si="179"/>
        <v>288</v>
      </c>
      <c r="G579" s="77" t="s">
        <v>239</v>
      </c>
      <c r="H579" s="32">
        <f t="shared" si="191"/>
        <v>71</v>
      </c>
      <c r="I579" s="32">
        <f t="shared" si="191"/>
        <v>833</v>
      </c>
      <c r="J579" s="77" t="s">
        <v>402</v>
      </c>
      <c r="K579" s="77" t="s">
        <v>400</v>
      </c>
      <c r="L579" s="104">
        <v>288</v>
      </c>
      <c r="M579" s="104">
        <v>71</v>
      </c>
      <c r="N579" s="104">
        <v>833</v>
      </c>
      <c r="O579" s="104"/>
      <c r="P579" s="104"/>
      <c r="Q579" s="104" t="s">
        <v>560</v>
      </c>
      <c r="R579" s="26" t="s">
        <v>13</v>
      </c>
      <c r="S579" s="6" t="s">
        <v>1131</v>
      </c>
      <c r="T579" s="44" t="s">
        <v>1189</v>
      </c>
      <c r="U579" s="62">
        <v>452</v>
      </c>
      <c r="V579" s="62">
        <v>455</v>
      </c>
      <c r="W579" s="62">
        <v>450</v>
      </c>
      <c r="X579" s="26">
        <v>372.958739678141</v>
      </c>
      <c r="Y579" s="26" t="s">
        <v>389</v>
      </c>
      <c r="Z579" s="26">
        <f t="shared" si="181"/>
        <v>261.07111777469868</v>
      </c>
      <c r="AA579" s="26">
        <f t="shared" si="182"/>
        <v>559.4381095172115</v>
      </c>
      <c r="AB579" s="25" t="s">
        <v>1191</v>
      </c>
      <c r="AC579" s="77" t="s">
        <v>400</v>
      </c>
      <c r="AF579" s="26">
        <v>201</v>
      </c>
      <c r="AG579" s="25" t="s">
        <v>13</v>
      </c>
      <c r="AQ579" s="29"/>
      <c r="AZ579" s="97" t="s">
        <v>13</v>
      </c>
      <c r="BF579" s="26"/>
      <c r="BG579" s="26"/>
      <c r="BH579" s="83"/>
      <c r="BL579" s="26" t="s">
        <v>13</v>
      </c>
      <c r="BM579" s="25" t="s">
        <v>13</v>
      </c>
      <c r="CA579" s="25" t="s">
        <v>13</v>
      </c>
      <c r="CC579" s="25" t="s">
        <v>13</v>
      </c>
    </row>
    <row r="580" spans="1:81">
      <c r="A580" s="103" t="s">
        <v>540</v>
      </c>
      <c r="B580" s="104" t="s">
        <v>869</v>
      </c>
      <c r="C580" s="106">
        <v>306.39999999999998</v>
      </c>
      <c r="D580" s="81">
        <f t="shared" si="189"/>
        <v>306.7</v>
      </c>
      <c r="E580" s="81">
        <f t="shared" si="190"/>
        <v>306.09999999999997</v>
      </c>
      <c r="F580" s="105">
        <f t="shared" si="179"/>
        <v>171</v>
      </c>
      <c r="G580" s="77" t="s">
        <v>239</v>
      </c>
      <c r="H580" s="32">
        <f t="shared" si="191"/>
        <v>67</v>
      </c>
      <c r="I580" s="32">
        <f t="shared" si="191"/>
        <v>356</v>
      </c>
      <c r="J580" s="77" t="s">
        <v>402</v>
      </c>
      <c r="K580" s="77" t="s">
        <v>400</v>
      </c>
      <c r="L580" s="104">
        <v>171</v>
      </c>
      <c r="M580" s="104">
        <v>67</v>
      </c>
      <c r="N580" s="104">
        <v>356</v>
      </c>
      <c r="O580" s="104"/>
      <c r="P580" s="104"/>
      <c r="Q580" s="104" t="s">
        <v>562</v>
      </c>
      <c r="R580" s="26" t="s">
        <v>13</v>
      </c>
      <c r="S580" s="6" t="s">
        <v>1131</v>
      </c>
      <c r="T580" s="44" t="s">
        <v>1190</v>
      </c>
      <c r="U580" s="62">
        <v>455</v>
      </c>
      <c r="V580" s="62">
        <v>459</v>
      </c>
      <c r="W580" s="62">
        <v>446</v>
      </c>
      <c r="X580" s="26">
        <v>372.958739678141</v>
      </c>
      <c r="Y580" s="26" t="s">
        <v>389</v>
      </c>
      <c r="Z580" s="26">
        <f t="shared" si="181"/>
        <v>261.07111777469868</v>
      </c>
      <c r="AA580" s="26">
        <f t="shared" si="182"/>
        <v>559.4381095172115</v>
      </c>
      <c r="AB580" s="25" t="s">
        <v>1191</v>
      </c>
      <c r="AC580" s="77" t="s">
        <v>400</v>
      </c>
      <c r="AF580" s="26">
        <v>214.8</v>
      </c>
      <c r="AG580" s="25" t="s">
        <v>13</v>
      </c>
      <c r="AQ580" s="29"/>
      <c r="AZ580" s="97" t="s">
        <v>13</v>
      </c>
      <c r="BF580" s="26"/>
      <c r="BG580" s="26"/>
      <c r="BH580" s="83"/>
      <c r="BL580" s="26" t="s">
        <v>13</v>
      </c>
      <c r="BM580" s="25" t="s">
        <v>13</v>
      </c>
      <c r="CA580" s="25" t="s">
        <v>13</v>
      </c>
      <c r="CC580" s="25" t="s">
        <v>13</v>
      </c>
    </row>
    <row r="581" spans="1:81">
      <c r="A581" s="103" t="s">
        <v>540</v>
      </c>
      <c r="B581" s="104" t="s">
        <v>869</v>
      </c>
      <c r="C581" s="106">
        <v>306.49</v>
      </c>
      <c r="D581" s="81">
        <f t="shared" si="189"/>
        <v>306.79000000000002</v>
      </c>
      <c r="E581" s="81">
        <f t="shared" si="190"/>
        <v>306.19</v>
      </c>
      <c r="F581" s="105">
        <f t="shared" si="179"/>
        <v>162</v>
      </c>
      <c r="G581" s="77" t="s">
        <v>239</v>
      </c>
      <c r="H581" s="32">
        <f t="shared" si="191"/>
        <v>38</v>
      </c>
      <c r="I581" s="32">
        <f t="shared" si="191"/>
        <v>477</v>
      </c>
      <c r="J581" s="77" t="s">
        <v>402</v>
      </c>
      <c r="K581" s="77" t="s">
        <v>400</v>
      </c>
      <c r="L581" s="104">
        <v>162</v>
      </c>
      <c r="M581" s="104">
        <v>38</v>
      </c>
      <c r="N581" s="104">
        <v>477</v>
      </c>
      <c r="O581" s="104"/>
      <c r="P581" s="104"/>
      <c r="Q581" s="104" t="s">
        <v>560</v>
      </c>
      <c r="R581" s="26" t="s">
        <v>13</v>
      </c>
      <c r="S581" s="6" t="s">
        <v>1131</v>
      </c>
      <c r="T581" s="44" t="s">
        <v>1190</v>
      </c>
      <c r="U581" s="62">
        <v>455</v>
      </c>
      <c r="V581" s="62">
        <v>459</v>
      </c>
      <c r="W581" s="62">
        <v>446</v>
      </c>
      <c r="X581" s="26">
        <v>393.01983196951426</v>
      </c>
      <c r="Y581" s="26" t="s">
        <v>389</v>
      </c>
      <c r="Z581" s="26">
        <f t="shared" si="181"/>
        <v>275.11388237865998</v>
      </c>
      <c r="AA581" s="26">
        <f t="shared" si="182"/>
        <v>589.52974795427144</v>
      </c>
      <c r="AB581" s="25" t="s">
        <v>1191</v>
      </c>
      <c r="AC581" s="77" t="s">
        <v>400</v>
      </c>
      <c r="AF581" s="26">
        <v>216.1</v>
      </c>
      <c r="AG581" s="25" t="s">
        <v>13</v>
      </c>
      <c r="AQ581" s="29"/>
      <c r="AZ581" s="97" t="s">
        <v>13</v>
      </c>
      <c r="BF581" s="26"/>
      <c r="BG581" s="26"/>
      <c r="BH581" s="83"/>
      <c r="BL581" s="26" t="s">
        <v>13</v>
      </c>
      <c r="BM581" s="25" t="s">
        <v>13</v>
      </c>
      <c r="CA581" s="25" t="s">
        <v>13</v>
      </c>
      <c r="CC581" s="25" t="s">
        <v>13</v>
      </c>
    </row>
    <row r="582" spans="1:81">
      <c r="A582" s="103" t="s">
        <v>540</v>
      </c>
      <c r="B582" s="104" t="s">
        <v>869</v>
      </c>
      <c r="C582" s="106">
        <v>306.7</v>
      </c>
      <c r="D582" s="81">
        <f t="shared" si="189"/>
        <v>307</v>
      </c>
      <c r="E582" s="81">
        <f t="shared" si="190"/>
        <v>306.39999999999998</v>
      </c>
      <c r="F582" s="105">
        <f t="shared" si="179"/>
        <v>464</v>
      </c>
      <c r="G582" s="77" t="s">
        <v>239</v>
      </c>
      <c r="H582" s="32">
        <f t="shared" si="191"/>
        <v>116</v>
      </c>
      <c r="I582" s="32">
        <f t="shared" si="191"/>
        <v>1324</v>
      </c>
      <c r="J582" s="77" t="s">
        <v>402</v>
      </c>
      <c r="K582" s="77" t="s">
        <v>400</v>
      </c>
      <c r="L582" s="104">
        <v>464</v>
      </c>
      <c r="M582" s="104">
        <v>116</v>
      </c>
      <c r="N582" s="104">
        <v>1324</v>
      </c>
      <c r="O582" s="104"/>
      <c r="P582" s="104"/>
      <c r="Q582" s="104" t="s">
        <v>563</v>
      </c>
      <c r="R582" s="26" t="s">
        <v>13</v>
      </c>
      <c r="S582" s="6" t="s">
        <v>1131</v>
      </c>
      <c r="T582" s="44" t="s">
        <v>1190</v>
      </c>
      <c r="U582" s="62">
        <v>455</v>
      </c>
      <c r="V582" s="62">
        <v>459</v>
      </c>
      <c r="W582" s="62">
        <v>446</v>
      </c>
      <c r="X582" s="26">
        <v>372.958739678141</v>
      </c>
      <c r="Y582" s="26" t="s">
        <v>389</v>
      </c>
      <c r="Z582" s="26">
        <f t="shared" si="181"/>
        <v>261.07111777469868</v>
      </c>
      <c r="AA582" s="26">
        <f t="shared" si="182"/>
        <v>559.4381095172115</v>
      </c>
      <c r="AB582" s="25" t="s">
        <v>1191</v>
      </c>
      <c r="AC582" s="77" t="s">
        <v>400</v>
      </c>
      <c r="AF582" s="26">
        <v>216.6</v>
      </c>
      <c r="AG582" s="25" t="s">
        <v>13</v>
      </c>
      <c r="AQ582" s="29"/>
      <c r="AZ582" s="97" t="s">
        <v>13</v>
      </c>
      <c r="BF582" s="26"/>
      <c r="BG582" s="26"/>
      <c r="BH582" s="83"/>
      <c r="BL582" s="26" t="s">
        <v>13</v>
      </c>
      <c r="BM582" s="25" t="s">
        <v>13</v>
      </c>
      <c r="CA582" s="25" t="s">
        <v>13</v>
      </c>
      <c r="CC582" s="25" t="s">
        <v>13</v>
      </c>
    </row>
    <row r="583" spans="1:81">
      <c r="A583" s="103" t="s">
        <v>540</v>
      </c>
      <c r="B583" s="104" t="s">
        <v>566</v>
      </c>
      <c r="C583" s="81">
        <v>306.7</v>
      </c>
      <c r="D583" s="81">
        <f t="shared" si="189"/>
        <v>307</v>
      </c>
      <c r="E583" s="81">
        <f t="shared" si="190"/>
        <v>306.39999999999998</v>
      </c>
      <c r="F583" s="105">
        <f t="shared" si="179"/>
        <v>640</v>
      </c>
      <c r="G583" s="77" t="s">
        <v>239</v>
      </c>
      <c r="H583" s="32">
        <f t="shared" si="191"/>
        <v>137</v>
      </c>
      <c r="I583" s="32">
        <f t="shared" si="191"/>
        <v>1583</v>
      </c>
      <c r="J583" s="77" t="s">
        <v>402</v>
      </c>
      <c r="K583" s="77" t="s">
        <v>400</v>
      </c>
      <c r="L583" s="104">
        <v>640</v>
      </c>
      <c r="M583" s="104">
        <v>137</v>
      </c>
      <c r="N583" s="104">
        <v>1583</v>
      </c>
      <c r="O583" s="104"/>
      <c r="P583" s="104"/>
      <c r="Q583" s="104" t="s">
        <v>560</v>
      </c>
      <c r="R583" s="26" t="s">
        <v>13</v>
      </c>
      <c r="S583" s="6" t="s">
        <v>1131</v>
      </c>
      <c r="T583" s="44" t="s">
        <v>1190</v>
      </c>
      <c r="U583" s="62">
        <v>455</v>
      </c>
      <c r="V583" s="62">
        <v>459</v>
      </c>
      <c r="W583" s="62">
        <v>446</v>
      </c>
      <c r="X583" s="26">
        <v>329.33271395669783</v>
      </c>
      <c r="Y583" s="26" t="s">
        <v>389</v>
      </c>
      <c r="Z583" s="26">
        <f t="shared" si="181"/>
        <v>230.53289976968847</v>
      </c>
      <c r="AA583" s="26">
        <f t="shared" si="182"/>
        <v>493.99907093504675</v>
      </c>
      <c r="AB583" s="25" t="s">
        <v>1191</v>
      </c>
      <c r="AC583" s="77" t="s">
        <v>400</v>
      </c>
      <c r="AF583" s="26">
        <v>217.7</v>
      </c>
      <c r="AG583" s="25" t="s">
        <v>13</v>
      </c>
      <c r="AQ583" s="29"/>
      <c r="AZ583" s="97" t="s">
        <v>13</v>
      </c>
      <c r="BF583" s="26"/>
      <c r="BG583" s="26"/>
      <c r="BH583" s="83"/>
      <c r="BL583" s="26" t="s">
        <v>13</v>
      </c>
      <c r="BM583" s="25" t="s">
        <v>13</v>
      </c>
      <c r="CA583" s="25" t="s">
        <v>13</v>
      </c>
      <c r="CC583" s="25" t="s">
        <v>13</v>
      </c>
    </row>
    <row r="584" spans="1:81">
      <c r="A584" s="103" t="s">
        <v>868</v>
      </c>
      <c r="B584" s="104" t="s">
        <v>869</v>
      </c>
      <c r="C584" s="106">
        <v>306.76</v>
      </c>
      <c r="D584" s="81"/>
      <c r="E584" s="81"/>
      <c r="F584" s="105">
        <f t="shared" si="179"/>
        <v>582</v>
      </c>
      <c r="G584" s="77"/>
      <c r="H584" s="32"/>
      <c r="I584" s="32"/>
      <c r="J584" s="77"/>
      <c r="K584" s="77"/>
      <c r="L584" s="104">
        <v>582</v>
      </c>
      <c r="M584" s="104"/>
      <c r="N584" s="104"/>
      <c r="O584" s="104"/>
      <c r="P584" s="104"/>
      <c r="Q584" s="104" t="s">
        <v>870</v>
      </c>
      <c r="R584" s="26" t="s">
        <v>13</v>
      </c>
      <c r="S584" s="6" t="s">
        <v>1131</v>
      </c>
      <c r="T584" s="44" t="s">
        <v>1190</v>
      </c>
      <c r="U584" s="62">
        <v>455</v>
      </c>
      <c r="V584" s="62">
        <v>459</v>
      </c>
      <c r="W584" s="62">
        <v>446</v>
      </c>
      <c r="X584" s="26">
        <v>358.33954952362922</v>
      </c>
      <c r="Y584" s="26" t="s">
        <v>389</v>
      </c>
      <c r="Z584" s="26">
        <f t="shared" si="181"/>
        <v>250.83768466654044</v>
      </c>
      <c r="AA584" s="26">
        <f t="shared" si="182"/>
        <v>537.50932428544388</v>
      </c>
      <c r="AB584" s="25" t="s">
        <v>1191</v>
      </c>
      <c r="AC584" s="77" t="s">
        <v>400</v>
      </c>
      <c r="AF584" s="26">
        <v>219.1</v>
      </c>
      <c r="AG584" s="25" t="s">
        <v>13</v>
      </c>
      <c r="AQ584" s="29"/>
      <c r="AZ584" s="97" t="s">
        <v>13</v>
      </c>
      <c r="BF584" s="26"/>
      <c r="BG584" s="26"/>
      <c r="BH584" s="83"/>
      <c r="BL584" s="26" t="s">
        <v>13</v>
      </c>
      <c r="BM584" s="25" t="s">
        <v>13</v>
      </c>
      <c r="CA584" s="25" t="s">
        <v>13</v>
      </c>
      <c r="CC584" s="25" t="s">
        <v>13</v>
      </c>
    </row>
    <row r="585" spans="1:81">
      <c r="A585" s="103" t="s">
        <v>868</v>
      </c>
      <c r="B585" s="104" t="s">
        <v>869</v>
      </c>
      <c r="C585" s="106">
        <v>306.76</v>
      </c>
      <c r="D585" s="81"/>
      <c r="E585" s="81"/>
      <c r="F585" s="105">
        <f t="shared" si="179"/>
        <v>477</v>
      </c>
      <c r="G585" s="77"/>
      <c r="H585" s="32"/>
      <c r="I585" s="32"/>
      <c r="J585" s="77"/>
      <c r="K585" s="77"/>
      <c r="L585" s="104">
        <v>477</v>
      </c>
      <c r="M585" s="104"/>
      <c r="N585" s="104"/>
      <c r="O585" s="104"/>
      <c r="P585" s="104"/>
      <c r="Q585" s="104" t="s">
        <v>870</v>
      </c>
      <c r="R585" s="26" t="s">
        <v>13</v>
      </c>
      <c r="S585" s="6" t="s">
        <v>1131</v>
      </c>
      <c r="T585" s="44" t="s">
        <v>1190</v>
      </c>
      <c r="U585" s="62">
        <v>455</v>
      </c>
      <c r="V585" s="62">
        <v>459</v>
      </c>
      <c r="W585" s="62">
        <v>446</v>
      </c>
      <c r="X585" s="26">
        <v>317.91054199459353</v>
      </c>
      <c r="Y585" s="26" t="s">
        <v>389</v>
      </c>
      <c r="Z585" s="26">
        <f t="shared" si="181"/>
        <v>222.53737939621547</v>
      </c>
      <c r="AA585" s="26">
        <f t="shared" si="182"/>
        <v>476.86581299189027</v>
      </c>
      <c r="AB585" s="25" t="s">
        <v>1191</v>
      </c>
      <c r="AC585" s="77" t="s">
        <v>400</v>
      </c>
      <c r="AF585" s="26">
        <v>220.6</v>
      </c>
      <c r="AG585" s="25" t="s">
        <v>13</v>
      </c>
      <c r="AQ585" s="29"/>
      <c r="AZ585" s="97" t="s">
        <v>13</v>
      </c>
      <c r="BF585" s="26"/>
      <c r="BG585" s="26"/>
      <c r="BH585" s="83"/>
      <c r="BL585" s="26" t="s">
        <v>13</v>
      </c>
      <c r="BM585" s="25" t="s">
        <v>13</v>
      </c>
      <c r="CA585" s="25" t="s">
        <v>13</v>
      </c>
      <c r="CC585" s="25" t="s">
        <v>13</v>
      </c>
    </row>
    <row r="586" spans="1:81">
      <c r="A586" s="103" t="s">
        <v>540</v>
      </c>
      <c r="B586" s="104" t="s">
        <v>566</v>
      </c>
      <c r="C586" s="81">
        <v>307.10000000000002</v>
      </c>
      <c r="D586" s="81">
        <f t="shared" ref="D586:D591" si="192">C586+0.3</f>
        <v>307.40000000000003</v>
      </c>
      <c r="E586" s="81">
        <f t="shared" ref="E586:E591" si="193">C586-0.3</f>
        <v>306.8</v>
      </c>
      <c r="F586" s="105">
        <f t="shared" si="179"/>
        <v>325</v>
      </c>
      <c r="G586" s="77" t="s">
        <v>239</v>
      </c>
      <c r="H586" s="32">
        <f t="shared" ref="H586:I591" si="194">M586</f>
        <v>80</v>
      </c>
      <c r="I586" s="32">
        <f t="shared" si="194"/>
        <v>938</v>
      </c>
      <c r="J586" s="77" t="s">
        <v>402</v>
      </c>
      <c r="K586" s="77" t="s">
        <v>400</v>
      </c>
      <c r="L586" s="104">
        <v>325</v>
      </c>
      <c r="M586" s="104">
        <v>80</v>
      </c>
      <c r="N586" s="104">
        <v>938</v>
      </c>
      <c r="O586" s="104"/>
      <c r="P586" s="104"/>
      <c r="Q586" s="30" t="s">
        <v>548</v>
      </c>
      <c r="R586" s="26"/>
      <c r="S586" s="6" t="s">
        <v>1131</v>
      </c>
      <c r="T586" s="44" t="s">
        <v>1190</v>
      </c>
      <c r="U586" s="62">
        <v>455</v>
      </c>
      <c r="V586" s="62">
        <v>459</v>
      </c>
      <c r="W586" s="62">
        <v>446</v>
      </c>
      <c r="X586" s="26">
        <v>361.88473519351612</v>
      </c>
      <c r="Y586" s="26" t="s">
        <v>389</v>
      </c>
      <c r="Z586" s="26">
        <f t="shared" si="181"/>
        <v>253.31931463546127</v>
      </c>
      <c r="AA586" s="26">
        <f t="shared" si="182"/>
        <v>542.82710279027424</v>
      </c>
      <c r="AB586" s="25" t="s">
        <v>1191</v>
      </c>
      <c r="AC586" s="77" t="s">
        <v>400</v>
      </c>
      <c r="AF586" s="26">
        <v>221.5</v>
      </c>
      <c r="AG586" s="25" t="s">
        <v>13</v>
      </c>
      <c r="AQ586" s="29"/>
      <c r="AZ586" s="97" t="s">
        <v>13</v>
      </c>
      <c r="BF586" s="26"/>
      <c r="BG586" s="26"/>
      <c r="BH586" s="83"/>
      <c r="BL586" s="26" t="s">
        <v>13</v>
      </c>
      <c r="BM586" s="25" t="s">
        <v>13</v>
      </c>
      <c r="CA586" s="25" t="s">
        <v>13</v>
      </c>
      <c r="CC586" s="25" t="s">
        <v>13</v>
      </c>
    </row>
    <row r="587" spans="1:81">
      <c r="A587" s="103" t="s">
        <v>540</v>
      </c>
      <c r="B587" s="104" t="s">
        <v>566</v>
      </c>
      <c r="C587" s="81">
        <v>307.10000000000002</v>
      </c>
      <c r="D587" s="81">
        <f t="shared" si="192"/>
        <v>307.40000000000003</v>
      </c>
      <c r="E587" s="81">
        <f t="shared" si="193"/>
        <v>306.8</v>
      </c>
      <c r="F587" s="105">
        <f t="shared" si="179"/>
        <v>321</v>
      </c>
      <c r="G587" s="77" t="s">
        <v>239</v>
      </c>
      <c r="H587" s="32">
        <f t="shared" si="194"/>
        <v>81</v>
      </c>
      <c r="I587" s="32">
        <f t="shared" si="194"/>
        <v>916</v>
      </c>
      <c r="J587" s="77" t="s">
        <v>402</v>
      </c>
      <c r="K587" s="77" t="s">
        <v>400</v>
      </c>
      <c r="L587" s="104">
        <v>321</v>
      </c>
      <c r="M587" s="104">
        <v>81</v>
      </c>
      <c r="N587" s="104">
        <v>916</v>
      </c>
      <c r="O587" s="104"/>
      <c r="P587" s="104"/>
      <c r="Q587" s="104" t="s">
        <v>559</v>
      </c>
      <c r="R587" s="26"/>
      <c r="S587" s="6" t="s">
        <v>1131</v>
      </c>
      <c r="T587" s="44" t="s">
        <v>1190</v>
      </c>
      <c r="U587" s="62">
        <v>455</v>
      </c>
      <c r="V587" s="62">
        <v>459</v>
      </c>
      <c r="W587" s="62">
        <v>446</v>
      </c>
      <c r="X587" s="26">
        <v>365.50151962442209</v>
      </c>
      <c r="Y587" s="26" t="s">
        <v>389</v>
      </c>
      <c r="Z587" s="26">
        <f t="shared" si="181"/>
        <v>255.85106373709544</v>
      </c>
      <c r="AA587" s="26">
        <f t="shared" si="182"/>
        <v>548.2522794366331</v>
      </c>
      <c r="AB587" s="25" t="s">
        <v>1191</v>
      </c>
      <c r="AC587" s="77" t="s">
        <v>400</v>
      </c>
      <c r="AF587" s="26">
        <v>223.4</v>
      </c>
      <c r="AG587" s="25" t="s">
        <v>13</v>
      </c>
      <c r="AQ587" s="29"/>
      <c r="AZ587" s="97" t="s">
        <v>13</v>
      </c>
      <c r="BF587" s="26"/>
      <c r="BG587" s="26"/>
      <c r="BH587" s="83"/>
      <c r="BL587" s="26" t="s">
        <v>13</v>
      </c>
      <c r="BM587" s="25" t="s">
        <v>13</v>
      </c>
      <c r="CA587" s="25" t="s">
        <v>13</v>
      </c>
      <c r="CC587" s="25" t="s">
        <v>13</v>
      </c>
    </row>
    <row r="588" spans="1:81">
      <c r="A588" s="103" t="s">
        <v>540</v>
      </c>
      <c r="B588" s="104" t="s">
        <v>869</v>
      </c>
      <c r="C588" s="106">
        <v>307.14999999999998</v>
      </c>
      <c r="D588" s="81">
        <f t="shared" si="192"/>
        <v>307.45</v>
      </c>
      <c r="E588" s="81">
        <f t="shared" si="193"/>
        <v>306.84999999999997</v>
      </c>
      <c r="F588" s="105">
        <f t="shared" si="179"/>
        <v>274</v>
      </c>
      <c r="G588" s="77" t="s">
        <v>239</v>
      </c>
      <c r="H588" s="32">
        <f t="shared" si="194"/>
        <v>63</v>
      </c>
      <c r="I588" s="32">
        <f t="shared" si="194"/>
        <v>788</v>
      </c>
      <c r="J588" s="77" t="s">
        <v>402</v>
      </c>
      <c r="K588" s="77" t="s">
        <v>400</v>
      </c>
      <c r="L588" s="104">
        <v>274</v>
      </c>
      <c r="M588" s="104">
        <v>63</v>
      </c>
      <c r="N588" s="104">
        <v>788</v>
      </c>
      <c r="O588" s="104"/>
      <c r="P588" s="104"/>
      <c r="Q588" s="104" t="s">
        <v>563</v>
      </c>
      <c r="R588" s="26"/>
      <c r="T588" s="44"/>
      <c r="Y588" s="26"/>
      <c r="Z588" s="26"/>
      <c r="AA588" s="26"/>
      <c r="AC588" s="77"/>
      <c r="AF588" s="26"/>
      <c r="AG588" s="25" t="s">
        <v>13</v>
      </c>
      <c r="AQ588" s="29"/>
      <c r="AZ588" s="97" t="s">
        <v>13</v>
      </c>
      <c r="BF588" s="26"/>
      <c r="BG588" s="26"/>
      <c r="BH588" s="83"/>
      <c r="BL588" s="26" t="s">
        <v>13</v>
      </c>
      <c r="BM588" s="25" t="s">
        <v>13</v>
      </c>
      <c r="CA588" s="25" t="s">
        <v>13</v>
      </c>
      <c r="CC588" s="25" t="s">
        <v>13</v>
      </c>
    </row>
    <row r="589" spans="1:81">
      <c r="A589" s="103" t="s">
        <v>540</v>
      </c>
      <c r="B589" s="104" t="s">
        <v>869</v>
      </c>
      <c r="C589" s="106">
        <v>307.37</v>
      </c>
      <c r="D589" s="81">
        <f t="shared" si="192"/>
        <v>307.67</v>
      </c>
      <c r="E589" s="81">
        <f t="shared" si="193"/>
        <v>307.07</v>
      </c>
      <c r="F589" s="105">
        <f t="shared" si="179"/>
        <v>315</v>
      </c>
      <c r="G589" s="77" t="s">
        <v>239</v>
      </c>
      <c r="H589" s="32">
        <f t="shared" si="194"/>
        <v>77</v>
      </c>
      <c r="I589" s="32">
        <f t="shared" si="194"/>
        <v>904</v>
      </c>
      <c r="J589" s="77" t="s">
        <v>402</v>
      </c>
      <c r="K589" s="77" t="s">
        <v>400</v>
      </c>
      <c r="L589" s="104">
        <v>315</v>
      </c>
      <c r="M589" s="104">
        <v>77</v>
      </c>
      <c r="N589" s="104">
        <v>904</v>
      </c>
      <c r="O589" s="104"/>
      <c r="P589" s="104"/>
      <c r="Q589" s="104" t="s">
        <v>560</v>
      </c>
      <c r="R589" s="26"/>
      <c r="T589" s="44"/>
      <c r="Y589" s="26"/>
      <c r="Z589" s="26"/>
      <c r="AA589" s="26"/>
      <c r="AC589" s="77"/>
      <c r="AF589" s="26"/>
      <c r="AG589" s="25" t="s">
        <v>13</v>
      </c>
      <c r="AQ589" s="29"/>
      <c r="AZ589" s="97" t="s">
        <v>13</v>
      </c>
      <c r="BF589" s="26"/>
      <c r="BG589" s="26"/>
      <c r="BH589" s="83"/>
      <c r="BL589" s="26" t="s">
        <v>13</v>
      </c>
      <c r="BM589" s="25" t="s">
        <v>13</v>
      </c>
      <c r="CA589" s="25" t="s">
        <v>13</v>
      </c>
      <c r="CC589" s="25" t="s">
        <v>13</v>
      </c>
    </row>
    <row r="590" spans="1:81">
      <c r="A590" s="103" t="s">
        <v>540</v>
      </c>
      <c r="B590" s="104" t="s">
        <v>566</v>
      </c>
      <c r="C590" s="81">
        <v>307.39999999999998</v>
      </c>
      <c r="D590" s="81">
        <f t="shared" si="192"/>
        <v>307.7</v>
      </c>
      <c r="E590" s="81">
        <f t="shared" si="193"/>
        <v>307.09999999999997</v>
      </c>
      <c r="F590" s="105">
        <f t="shared" si="179"/>
        <v>662</v>
      </c>
      <c r="G590" s="77" t="s">
        <v>239</v>
      </c>
      <c r="H590" s="32">
        <f t="shared" si="194"/>
        <v>167</v>
      </c>
      <c r="I590" s="32">
        <f t="shared" si="194"/>
        <v>1886</v>
      </c>
      <c r="J590" s="77" t="s">
        <v>402</v>
      </c>
      <c r="K590" s="77" t="s">
        <v>400</v>
      </c>
      <c r="L590" s="104">
        <v>662</v>
      </c>
      <c r="M590" s="104">
        <v>167</v>
      </c>
      <c r="N590" s="104">
        <v>1886</v>
      </c>
      <c r="O590" s="104"/>
      <c r="P590" s="104"/>
      <c r="Q590" s="104" t="s">
        <v>560</v>
      </c>
      <c r="R590" s="26"/>
      <c r="T590" s="44"/>
      <c r="Y590" s="26"/>
      <c r="Z590" s="26"/>
      <c r="AA590" s="26"/>
      <c r="AC590" s="77"/>
      <c r="AF590" s="26"/>
      <c r="AG590" s="25" t="s">
        <v>13</v>
      </c>
      <c r="AQ590" s="29"/>
      <c r="AZ590" s="97" t="s">
        <v>13</v>
      </c>
      <c r="BF590" s="26"/>
      <c r="BG590" s="26"/>
      <c r="BH590" s="83"/>
      <c r="BL590" s="26" t="s">
        <v>13</v>
      </c>
      <c r="BM590" s="25" t="s">
        <v>13</v>
      </c>
      <c r="CA590" s="25" t="s">
        <v>13</v>
      </c>
      <c r="CC590" s="25" t="s">
        <v>13</v>
      </c>
    </row>
    <row r="591" spans="1:81">
      <c r="A591" s="103" t="s">
        <v>540</v>
      </c>
      <c r="B591" s="104" t="s">
        <v>869</v>
      </c>
      <c r="C591" s="106">
        <v>307.42</v>
      </c>
      <c r="D591" s="81">
        <f t="shared" si="192"/>
        <v>307.72000000000003</v>
      </c>
      <c r="E591" s="81">
        <f t="shared" si="193"/>
        <v>307.12</v>
      </c>
      <c r="F591" s="105">
        <f t="shared" si="179"/>
        <v>336</v>
      </c>
      <c r="G591" s="77" t="s">
        <v>239</v>
      </c>
      <c r="H591" s="32">
        <f t="shared" si="194"/>
        <v>83</v>
      </c>
      <c r="I591" s="32">
        <f t="shared" si="194"/>
        <v>968</v>
      </c>
      <c r="J591" s="77" t="s">
        <v>402</v>
      </c>
      <c r="K591" s="77" t="s">
        <v>400</v>
      </c>
      <c r="L591" s="104">
        <v>336</v>
      </c>
      <c r="M591" s="104">
        <v>83</v>
      </c>
      <c r="N591" s="104">
        <v>968</v>
      </c>
      <c r="O591" s="104"/>
      <c r="P591" s="104"/>
      <c r="Q591" s="104" t="s">
        <v>560</v>
      </c>
      <c r="R591" s="26"/>
      <c r="T591" s="44"/>
      <c r="Y591" s="26"/>
      <c r="Z591" s="26"/>
      <c r="AA591" s="26"/>
      <c r="AC591" s="77"/>
      <c r="AF591" s="26"/>
      <c r="AG591" s="25" t="s">
        <v>13</v>
      </c>
      <c r="AQ591" s="29"/>
      <c r="AZ591" s="97" t="s">
        <v>13</v>
      </c>
      <c r="BF591" s="26"/>
      <c r="BG591" s="26"/>
      <c r="BH591" s="83"/>
      <c r="BL591" s="26" t="s">
        <v>13</v>
      </c>
      <c r="BM591" s="25" t="s">
        <v>13</v>
      </c>
      <c r="CA591" s="25" t="s">
        <v>13</v>
      </c>
      <c r="CC591" s="25" t="s">
        <v>13</v>
      </c>
    </row>
    <row r="592" spans="1:81">
      <c r="A592" s="103" t="s">
        <v>868</v>
      </c>
      <c r="B592" s="104" t="s">
        <v>869</v>
      </c>
      <c r="C592" s="107">
        <v>307.56</v>
      </c>
      <c r="D592" s="108"/>
      <c r="E592" s="108"/>
      <c r="F592" s="105">
        <f t="shared" ref="F592:F612" si="195">L592</f>
        <v>477</v>
      </c>
      <c r="G592" s="108"/>
      <c r="H592" s="108"/>
      <c r="I592" s="108"/>
      <c r="J592" s="108"/>
      <c r="K592" s="108"/>
      <c r="L592" s="108">
        <v>477</v>
      </c>
      <c r="M592" s="108"/>
      <c r="N592" s="108"/>
      <c r="O592" s="108"/>
      <c r="P592" s="108"/>
      <c r="Q592" s="108" t="s">
        <v>870</v>
      </c>
      <c r="R592" s="26"/>
      <c r="T592" s="44"/>
      <c r="Y592" s="26"/>
      <c r="Z592" s="26"/>
      <c r="AA592" s="26"/>
      <c r="AC592" s="77"/>
      <c r="AF592" s="26"/>
      <c r="AG592" s="25" t="s">
        <v>13</v>
      </c>
      <c r="AQ592" s="29"/>
      <c r="AZ592" s="97" t="s">
        <v>13</v>
      </c>
      <c r="BF592" s="26"/>
      <c r="BG592" s="26"/>
      <c r="BH592" s="83"/>
      <c r="BL592" s="26" t="s">
        <v>13</v>
      </c>
      <c r="BM592" s="25" t="s">
        <v>13</v>
      </c>
      <c r="CA592" s="25" t="s">
        <v>13</v>
      </c>
      <c r="CC592" s="25" t="s">
        <v>13</v>
      </c>
    </row>
    <row r="593" spans="1:81">
      <c r="A593" s="103" t="s">
        <v>868</v>
      </c>
      <c r="B593" s="104" t="s">
        <v>869</v>
      </c>
      <c r="C593" s="107">
        <v>307.56</v>
      </c>
      <c r="D593" s="108"/>
      <c r="E593" s="108"/>
      <c r="F593" s="105">
        <f t="shared" si="195"/>
        <v>551</v>
      </c>
      <c r="G593" s="108"/>
      <c r="H593" s="108"/>
      <c r="I593" s="108"/>
      <c r="J593" s="108"/>
      <c r="K593" s="108"/>
      <c r="L593" s="108">
        <v>551</v>
      </c>
      <c r="M593" s="108"/>
      <c r="N593" s="108"/>
      <c r="O593" s="108"/>
      <c r="P593" s="108"/>
      <c r="Q593" s="108" t="s">
        <v>870</v>
      </c>
      <c r="R593" s="26"/>
      <c r="T593" s="44"/>
      <c r="Y593" s="26"/>
      <c r="Z593" s="26"/>
      <c r="AA593" s="26"/>
      <c r="AC593" s="77"/>
      <c r="AF593" s="26"/>
      <c r="AG593" s="25" t="s">
        <v>13</v>
      </c>
      <c r="AQ593" s="29"/>
      <c r="AZ593" s="97" t="s">
        <v>13</v>
      </c>
      <c r="BF593" s="26"/>
      <c r="BG593" s="26"/>
      <c r="BH593" s="83"/>
      <c r="BL593" s="26" t="s">
        <v>13</v>
      </c>
      <c r="BM593" s="25" t="s">
        <v>13</v>
      </c>
      <c r="CA593" s="25" t="s">
        <v>13</v>
      </c>
      <c r="CC593" s="25" t="s">
        <v>13</v>
      </c>
    </row>
    <row r="594" spans="1:81">
      <c r="A594" s="103" t="s">
        <v>540</v>
      </c>
      <c r="B594" s="104" t="s">
        <v>869</v>
      </c>
      <c r="C594" s="106">
        <v>307.56</v>
      </c>
      <c r="D594" s="81">
        <f>C594+0.3</f>
        <v>307.86</v>
      </c>
      <c r="E594" s="81">
        <f>C594-0.3</f>
        <v>307.26</v>
      </c>
      <c r="F594" s="105">
        <f t="shared" si="195"/>
        <v>549</v>
      </c>
      <c r="G594" s="77" t="s">
        <v>239</v>
      </c>
      <c r="H594" s="32">
        <f>M594</f>
        <v>138</v>
      </c>
      <c r="I594" s="32">
        <f>N594</f>
        <v>1591</v>
      </c>
      <c r="J594" s="77" t="s">
        <v>402</v>
      </c>
      <c r="K594" s="77" t="s">
        <v>400</v>
      </c>
      <c r="L594" s="104">
        <v>549</v>
      </c>
      <c r="M594" s="104">
        <v>138</v>
      </c>
      <c r="N594" s="104">
        <v>1591</v>
      </c>
      <c r="O594" s="104"/>
      <c r="P594" s="104"/>
      <c r="Q594" s="104" t="s">
        <v>560</v>
      </c>
      <c r="R594" s="26"/>
      <c r="T594" s="44"/>
      <c r="Y594" s="26"/>
      <c r="Z594" s="26"/>
      <c r="AA594" s="26"/>
      <c r="AC594" s="77"/>
      <c r="AF594" s="26"/>
      <c r="AG594" s="25" t="s">
        <v>13</v>
      </c>
      <c r="AQ594" s="29"/>
      <c r="AZ594" s="97" t="s">
        <v>13</v>
      </c>
      <c r="BF594" s="26"/>
      <c r="BG594" s="26"/>
      <c r="BH594" s="83"/>
      <c r="BL594" s="26" t="s">
        <v>13</v>
      </c>
      <c r="BM594" s="25" t="s">
        <v>13</v>
      </c>
      <c r="CA594" s="25" t="s">
        <v>13</v>
      </c>
      <c r="CC594" s="25" t="s">
        <v>13</v>
      </c>
    </row>
    <row r="595" spans="1:81">
      <c r="A595" s="103" t="s">
        <v>540</v>
      </c>
      <c r="B595" s="104" t="s">
        <v>869</v>
      </c>
      <c r="C595" s="106">
        <v>307.56</v>
      </c>
      <c r="D595" s="81">
        <f>C595+0.3</f>
        <v>307.86</v>
      </c>
      <c r="E595" s="81">
        <f>C595-0.3</f>
        <v>307.26</v>
      </c>
      <c r="F595" s="105">
        <f t="shared" si="195"/>
        <v>643</v>
      </c>
      <c r="G595" s="77" t="s">
        <v>239</v>
      </c>
      <c r="H595" s="32">
        <f>M595</f>
        <v>160</v>
      </c>
      <c r="I595" s="32">
        <f>N595</f>
        <v>1836</v>
      </c>
      <c r="J595" s="77" t="s">
        <v>402</v>
      </c>
      <c r="K595" s="77" t="s">
        <v>400</v>
      </c>
      <c r="L595" s="104">
        <v>643</v>
      </c>
      <c r="M595" s="104">
        <v>160</v>
      </c>
      <c r="N595" s="104">
        <v>1836</v>
      </c>
      <c r="O595" s="104"/>
      <c r="P595" s="104"/>
      <c r="Q595" s="30" t="s">
        <v>548</v>
      </c>
      <c r="R595" s="26"/>
      <c r="T595" s="44"/>
      <c r="Y595" s="26"/>
      <c r="Z595" s="26"/>
      <c r="AA595" s="26"/>
      <c r="AC595" s="77"/>
      <c r="AF595" s="26"/>
      <c r="AG595" s="25" t="s">
        <v>13</v>
      </c>
      <c r="AQ595" s="29"/>
      <c r="AZ595" s="97" t="s">
        <v>13</v>
      </c>
      <c r="BF595" s="26"/>
      <c r="BG595" s="26"/>
      <c r="BH595" s="83"/>
      <c r="BL595" s="26" t="s">
        <v>13</v>
      </c>
      <c r="BM595" s="25" t="s">
        <v>13</v>
      </c>
      <c r="CA595" s="25" t="s">
        <v>13</v>
      </c>
      <c r="CC595" s="25" t="s">
        <v>13</v>
      </c>
    </row>
    <row r="596" spans="1:81">
      <c r="A596" s="103" t="s">
        <v>868</v>
      </c>
      <c r="B596" s="104" t="s">
        <v>869</v>
      </c>
      <c r="C596" s="106">
        <v>307.56</v>
      </c>
      <c r="D596" s="81">
        <f>C596+0.3</f>
        <v>307.86</v>
      </c>
      <c r="E596" s="81">
        <f>C596-0.3</f>
        <v>307.26</v>
      </c>
      <c r="F596" s="105">
        <f t="shared" si="195"/>
        <v>549</v>
      </c>
      <c r="G596" s="77" t="s">
        <v>239</v>
      </c>
      <c r="H596" s="32"/>
      <c r="I596" s="32"/>
      <c r="J596" s="77"/>
      <c r="K596" s="77"/>
      <c r="L596" s="104">
        <v>549</v>
      </c>
      <c r="M596" s="104"/>
      <c r="N596" s="104"/>
      <c r="O596" s="104"/>
      <c r="P596" s="104"/>
      <c r="Q596" s="104" t="s">
        <v>560</v>
      </c>
      <c r="R596" s="26"/>
      <c r="T596" s="44"/>
      <c r="Y596" s="26"/>
      <c r="Z596" s="26"/>
      <c r="AA596" s="26"/>
      <c r="AC596" s="77"/>
      <c r="AF596" s="26"/>
      <c r="AG596" s="25" t="s">
        <v>13</v>
      </c>
      <c r="AQ596" s="29"/>
      <c r="AZ596" s="97" t="s">
        <v>13</v>
      </c>
      <c r="BF596" s="26"/>
      <c r="BG596" s="26"/>
      <c r="BH596" s="83"/>
      <c r="BL596" s="26" t="s">
        <v>13</v>
      </c>
      <c r="BM596" s="25" t="s">
        <v>13</v>
      </c>
      <c r="CA596" s="25" t="s">
        <v>13</v>
      </c>
      <c r="CC596" s="25" t="s">
        <v>13</v>
      </c>
    </row>
    <row r="597" spans="1:81">
      <c r="A597" s="103" t="s">
        <v>540</v>
      </c>
      <c r="B597" s="104" t="s">
        <v>869</v>
      </c>
      <c r="C597" s="106">
        <v>307.56</v>
      </c>
      <c r="D597" s="81">
        <f>C597+0.3</f>
        <v>307.86</v>
      </c>
      <c r="E597" s="81">
        <f>C597-0.3</f>
        <v>307.26</v>
      </c>
      <c r="F597" s="105">
        <f t="shared" si="195"/>
        <v>282</v>
      </c>
      <c r="G597" s="77" t="s">
        <v>239</v>
      </c>
      <c r="H597" s="32">
        <f>M597</f>
        <v>115</v>
      </c>
      <c r="I597" s="32">
        <f>N597</f>
        <v>574</v>
      </c>
      <c r="J597" s="77" t="s">
        <v>402</v>
      </c>
      <c r="K597" s="77" t="s">
        <v>400</v>
      </c>
      <c r="L597" s="104">
        <v>282</v>
      </c>
      <c r="M597" s="104">
        <v>115</v>
      </c>
      <c r="N597" s="104">
        <v>574</v>
      </c>
      <c r="O597" s="104"/>
      <c r="P597" s="104"/>
      <c r="Q597" s="104" t="s">
        <v>562</v>
      </c>
      <c r="R597" s="26"/>
      <c r="T597" s="44"/>
      <c r="Y597" s="26"/>
      <c r="Z597" s="26"/>
      <c r="AA597" s="26"/>
      <c r="AC597" s="77"/>
      <c r="AF597" s="26"/>
      <c r="AG597" s="25" t="s">
        <v>13</v>
      </c>
      <c r="AQ597" s="29"/>
      <c r="AZ597" s="97" t="s">
        <v>13</v>
      </c>
      <c r="BF597" s="26"/>
      <c r="BG597" s="26"/>
      <c r="BH597" s="83"/>
      <c r="BL597" s="26" t="s">
        <v>13</v>
      </c>
      <c r="BM597" s="25" t="s">
        <v>13</v>
      </c>
      <c r="CA597" s="25" t="s">
        <v>13</v>
      </c>
      <c r="CC597" s="25" t="s">
        <v>13</v>
      </c>
    </row>
    <row r="598" spans="1:81">
      <c r="A598" s="103" t="s">
        <v>868</v>
      </c>
      <c r="B598" s="104" t="s">
        <v>869</v>
      </c>
      <c r="C598" s="107">
        <v>307.57</v>
      </c>
      <c r="D598" s="108"/>
      <c r="E598" s="108"/>
      <c r="F598" s="105">
        <f t="shared" si="195"/>
        <v>553</v>
      </c>
      <c r="G598" s="108"/>
      <c r="H598" s="108"/>
      <c r="I598" s="108"/>
      <c r="J598" s="108"/>
      <c r="K598" s="108"/>
      <c r="L598" s="108">
        <v>553</v>
      </c>
      <c r="M598" s="108"/>
      <c r="N598" s="108"/>
      <c r="O598" s="108"/>
      <c r="P598" s="108"/>
      <c r="Q598" s="108" t="s">
        <v>870</v>
      </c>
      <c r="R598" s="26"/>
      <c r="T598" s="44"/>
      <c r="Y598" s="26"/>
      <c r="Z598" s="26"/>
      <c r="AA598" s="26"/>
      <c r="AC598" s="77"/>
      <c r="AF598" s="26"/>
      <c r="AG598" s="25" t="s">
        <v>13</v>
      </c>
      <c r="AQ598" s="29"/>
      <c r="AZ598" s="97" t="s">
        <v>13</v>
      </c>
      <c r="BF598" s="26"/>
      <c r="BG598" s="26"/>
      <c r="BH598" s="83"/>
      <c r="BL598" s="26" t="s">
        <v>13</v>
      </c>
      <c r="BM598" s="25" t="s">
        <v>13</v>
      </c>
      <c r="CA598" s="25" t="s">
        <v>13</v>
      </c>
      <c r="CC598" s="25" t="s">
        <v>13</v>
      </c>
    </row>
    <row r="599" spans="1:81">
      <c r="A599" s="103" t="s">
        <v>868</v>
      </c>
      <c r="B599" s="104" t="s">
        <v>869</v>
      </c>
      <c r="C599" s="107">
        <v>307.64</v>
      </c>
      <c r="D599" s="108"/>
      <c r="E599" s="108"/>
      <c r="F599" s="105">
        <f t="shared" si="195"/>
        <v>397</v>
      </c>
      <c r="G599" s="108"/>
      <c r="H599" s="108"/>
      <c r="I599" s="108"/>
      <c r="J599" s="108"/>
      <c r="K599" s="108"/>
      <c r="L599" s="108">
        <v>397</v>
      </c>
      <c r="M599" s="108"/>
      <c r="N599" s="108"/>
      <c r="O599" s="108"/>
      <c r="P599" s="108"/>
      <c r="Q599" s="108" t="s">
        <v>870</v>
      </c>
      <c r="R599" s="26"/>
      <c r="T599" s="44"/>
      <c r="Y599" s="26"/>
      <c r="Z599" s="26"/>
      <c r="AA599" s="26"/>
      <c r="AC599" s="77"/>
      <c r="AF599" s="26"/>
      <c r="AG599" s="25" t="s">
        <v>13</v>
      </c>
      <c r="AQ599" s="29"/>
      <c r="AZ599" s="97" t="s">
        <v>13</v>
      </c>
      <c r="BF599" s="26"/>
      <c r="BG599" s="26"/>
      <c r="BH599" s="83"/>
      <c r="BL599" s="26" t="s">
        <v>13</v>
      </c>
      <c r="BM599" s="25" t="s">
        <v>13</v>
      </c>
      <c r="CA599" s="25" t="s">
        <v>13</v>
      </c>
      <c r="CC599" s="25" t="s">
        <v>13</v>
      </c>
    </row>
    <row r="600" spans="1:81">
      <c r="A600" s="103" t="s">
        <v>868</v>
      </c>
      <c r="B600" s="104" t="s">
        <v>869</v>
      </c>
      <c r="C600" s="107">
        <v>307.64</v>
      </c>
      <c r="D600" s="108"/>
      <c r="E600" s="108"/>
      <c r="F600" s="105">
        <f t="shared" si="195"/>
        <v>431</v>
      </c>
      <c r="G600" s="108"/>
      <c r="H600" s="108"/>
      <c r="I600" s="108"/>
      <c r="J600" s="108"/>
      <c r="K600" s="108"/>
      <c r="L600" s="108">
        <v>431</v>
      </c>
      <c r="M600" s="108"/>
      <c r="N600" s="108"/>
      <c r="O600" s="108"/>
      <c r="P600" s="108"/>
      <c r="Q600" s="108" t="s">
        <v>870</v>
      </c>
      <c r="R600" s="26"/>
      <c r="T600" s="44"/>
      <c r="Y600" s="26"/>
      <c r="Z600" s="26"/>
      <c r="AA600" s="26"/>
      <c r="AC600" s="77"/>
      <c r="AF600" s="26"/>
      <c r="AG600" s="25" t="s">
        <v>13</v>
      </c>
      <c r="AQ600" s="29"/>
      <c r="AZ600" s="97" t="s">
        <v>13</v>
      </c>
      <c r="BF600" s="26"/>
      <c r="BG600" s="26"/>
      <c r="BH600" s="83"/>
      <c r="BL600" s="26" t="s">
        <v>13</v>
      </c>
      <c r="BM600" s="25" t="s">
        <v>13</v>
      </c>
      <c r="CA600" s="25" t="s">
        <v>13</v>
      </c>
      <c r="CC600" s="25" t="s">
        <v>13</v>
      </c>
    </row>
    <row r="601" spans="1:81">
      <c r="A601" s="103" t="s">
        <v>868</v>
      </c>
      <c r="B601" s="104" t="s">
        <v>869</v>
      </c>
      <c r="C601" s="107">
        <v>307.64</v>
      </c>
      <c r="D601" s="108"/>
      <c r="E601" s="108"/>
      <c r="F601" s="105">
        <f t="shared" si="195"/>
        <v>458</v>
      </c>
      <c r="G601" s="108"/>
      <c r="H601" s="108"/>
      <c r="I601" s="108"/>
      <c r="J601" s="108"/>
      <c r="K601" s="108"/>
      <c r="L601" s="108">
        <v>458</v>
      </c>
      <c r="M601" s="108"/>
      <c r="N601" s="108"/>
      <c r="O601" s="108"/>
      <c r="P601" s="108"/>
      <c r="Q601" s="108" t="s">
        <v>870</v>
      </c>
      <c r="R601" s="26"/>
      <c r="T601" s="44"/>
      <c r="Y601" s="26"/>
      <c r="Z601" s="26"/>
      <c r="AA601" s="26"/>
      <c r="AC601" s="77"/>
      <c r="AF601" s="26"/>
      <c r="AG601" s="25" t="s">
        <v>13</v>
      </c>
      <c r="AQ601" s="29"/>
      <c r="AZ601" s="97" t="s">
        <v>13</v>
      </c>
      <c r="BF601" s="26"/>
      <c r="BG601" s="26"/>
      <c r="BH601" s="83"/>
      <c r="BL601" s="26" t="s">
        <v>13</v>
      </c>
      <c r="BM601" s="25" t="s">
        <v>13</v>
      </c>
      <c r="CA601" s="25" t="s">
        <v>13</v>
      </c>
      <c r="CC601" s="25" t="s">
        <v>13</v>
      </c>
    </row>
    <row r="602" spans="1:81">
      <c r="A602" s="103" t="s">
        <v>868</v>
      </c>
      <c r="B602" s="104" t="s">
        <v>869</v>
      </c>
      <c r="C602" s="107">
        <v>307.64</v>
      </c>
      <c r="D602" s="108"/>
      <c r="E602" s="108"/>
      <c r="F602" s="105">
        <f t="shared" si="195"/>
        <v>429</v>
      </c>
      <c r="G602" s="108"/>
      <c r="H602" s="108"/>
      <c r="I602" s="108"/>
      <c r="J602" s="108"/>
      <c r="K602" s="108"/>
      <c r="L602" s="108">
        <v>429</v>
      </c>
      <c r="M602" s="108"/>
      <c r="N602" s="108"/>
      <c r="O602" s="108"/>
      <c r="P602" s="108"/>
      <c r="Q602" s="108" t="s">
        <v>870</v>
      </c>
      <c r="R602" s="26"/>
      <c r="T602" s="44"/>
      <c r="Y602" s="26"/>
      <c r="Z602" s="26"/>
      <c r="AA602" s="26"/>
      <c r="AC602" s="77"/>
      <c r="AF602" s="26"/>
      <c r="AG602" s="25" t="s">
        <v>13</v>
      </c>
      <c r="AQ602" s="29"/>
      <c r="AZ602" s="97" t="s">
        <v>13</v>
      </c>
      <c r="BF602" s="26"/>
      <c r="BG602" s="26"/>
      <c r="BH602" s="83"/>
      <c r="BL602" s="26" t="s">
        <v>13</v>
      </c>
      <c r="BM602" s="25" t="s">
        <v>13</v>
      </c>
      <c r="CA602" s="25" t="s">
        <v>13</v>
      </c>
      <c r="CC602" s="25" t="s">
        <v>13</v>
      </c>
    </row>
    <row r="603" spans="1:81">
      <c r="A603" s="103" t="s">
        <v>868</v>
      </c>
      <c r="B603" s="104" t="s">
        <v>869</v>
      </c>
      <c r="C603" s="107">
        <v>307.64999999999998</v>
      </c>
      <c r="D603" s="108"/>
      <c r="E603" s="108"/>
      <c r="F603" s="105">
        <f t="shared" si="195"/>
        <v>480</v>
      </c>
      <c r="G603" s="108"/>
      <c r="H603" s="108"/>
      <c r="I603" s="108"/>
      <c r="J603" s="108"/>
      <c r="K603" s="108"/>
      <c r="L603" s="108">
        <v>480</v>
      </c>
      <c r="M603" s="108"/>
      <c r="N603" s="108"/>
      <c r="O603" s="108"/>
      <c r="P603" s="108"/>
      <c r="Q603" s="108" t="s">
        <v>870</v>
      </c>
      <c r="R603" s="26"/>
      <c r="T603" s="44"/>
      <c r="Y603" s="26"/>
      <c r="Z603" s="26"/>
      <c r="AA603" s="26"/>
      <c r="AC603" s="77"/>
      <c r="AF603" s="26"/>
      <c r="AG603" s="25" t="s">
        <v>13</v>
      </c>
      <c r="AQ603" s="29"/>
      <c r="AZ603" s="97" t="s">
        <v>13</v>
      </c>
      <c r="BF603" s="26"/>
      <c r="BG603" s="26"/>
      <c r="BH603" s="83"/>
      <c r="BL603" s="26" t="s">
        <v>13</v>
      </c>
      <c r="BM603" s="25" t="s">
        <v>13</v>
      </c>
      <c r="CA603" s="25" t="s">
        <v>13</v>
      </c>
      <c r="CC603" s="25" t="s">
        <v>13</v>
      </c>
    </row>
    <row r="604" spans="1:81">
      <c r="A604" s="103" t="s">
        <v>868</v>
      </c>
      <c r="B604" s="104" t="s">
        <v>869</v>
      </c>
      <c r="C604" s="107">
        <v>307.64999999999998</v>
      </c>
      <c r="D604" s="108"/>
      <c r="E604" s="108"/>
      <c r="F604" s="105">
        <f t="shared" si="195"/>
        <v>473</v>
      </c>
      <c r="G604" s="108"/>
      <c r="H604" s="108"/>
      <c r="I604" s="108"/>
      <c r="J604" s="108"/>
      <c r="K604" s="108"/>
      <c r="L604" s="108">
        <v>473</v>
      </c>
      <c r="M604" s="108"/>
      <c r="N604" s="108"/>
      <c r="O604" s="108"/>
      <c r="P604" s="108"/>
      <c r="Q604" s="108" t="s">
        <v>870</v>
      </c>
      <c r="R604" s="26"/>
      <c r="T604" s="44"/>
      <c r="Y604" s="26"/>
      <c r="Z604" s="26"/>
      <c r="AA604" s="26"/>
      <c r="AC604" s="77"/>
      <c r="AF604" s="26"/>
      <c r="AG604" s="25" t="s">
        <v>13</v>
      </c>
      <c r="AQ604" s="29"/>
      <c r="AZ604" s="97" t="s">
        <v>13</v>
      </c>
      <c r="BF604" s="26"/>
      <c r="BG604" s="26"/>
      <c r="BH604" s="83"/>
      <c r="BL604" s="26" t="s">
        <v>13</v>
      </c>
      <c r="BM604" s="25" t="s">
        <v>13</v>
      </c>
      <c r="CA604" s="25" t="s">
        <v>13</v>
      </c>
      <c r="CC604" s="25" t="s">
        <v>13</v>
      </c>
    </row>
    <row r="605" spans="1:81">
      <c r="A605" s="103" t="s">
        <v>868</v>
      </c>
      <c r="B605" s="104" t="s">
        <v>869</v>
      </c>
      <c r="C605" s="107">
        <v>307.64999999999998</v>
      </c>
      <c r="D605" s="108"/>
      <c r="E605" s="108"/>
      <c r="F605" s="105">
        <f t="shared" si="195"/>
        <v>492</v>
      </c>
      <c r="G605" s="108"/>
      <c r="H605" s="108"/>
      <c r="I605" s="108"/>
      <c r="J605" s="108"/>
      <c r="K605" s="108"/>
      <c r="L605" s="108">
        <v>492</v>
      </c>
      <c r="M605" s="108"/>
      <c r="N605" s="108"/>
      <c r="O605" s="108"/>
      <c r="P605" s="108"/>
      <c r="Q605" s="108" t="s">
        <v>870</v>
      </c>
      <c r="R605" s="26"/>
      <c r="T605" s="44"/>
      <c r="Y605" s="26"/>
      <c r="Z605" s="26"/>
      <c r="AA605" s="26"/>
      <c r="AC605" s="77"/>
      <c r="AF605" s="26"/>
      <c r="AG605" s="25" t="s">
        <v>13</v>
      </c>
      <c r="AQ605" s="29"/>
      <c r="AZ605" s="97" t="s">
        <v>13</v>
      </c>
      <c r="BF605" s="26"/>
      <c r="BG605" s="26"/>
      <c r="BH605" s="83"/>
      <c r="BL605" s="26" t="s">
        <v>13</v>
      </c>
      <c r="BM605" s="25" t="s">
        <v>13</v>
      </c>
      <c r="CA605" s="25" t="s">
        <v>13</v>
      </c>
      <c r="CC605" s="25" t="s">
        <v>13</v>
      </c>
    </row>
    <row r="606" spans="1:81">
      <c r="A606" s="103" t="s">
        <v>868</v>
      </c>
      <c r="B606" s="104" t="s">
        <v>869</v>
      </c>
      <c r="C606" s="107">
        <v>307.67</v>
      </c>
      <c r="D606" s="108"/>
      <c r="E606" s="108"/>
      <c r="F606" s="105">
        <f t="shared" si="195"/>
        <v>358</v>
      </c>
      <c r="G606" s="108"/>
      <c r="H606" s="108"/>
      <c r="I606" s="108"/>
      <c r="J606" s="108"/>
      <c r="K606" s="108"/>
      <c r="L606" s="108">
        <v>358</v>
      </c>
      <c r="M606" s="108"/>
      <c r="N606" s="108"/>
      <c r="O606" s="108"/>
      <c r="P606" s="108"/>
      <c r="Q606" s="108" t="s">
        <v>870</v>
      </c>
      <c r="R606" s="26"/>
      <c r="T606" s="44"/>
      <c r="Y606" s="26"/>
      <c r="Z606" s="26"/>
      <c r="AA606" s="26"/>
      <c r="AC606" s="77"/>
      <c r="AF606" s="26"/>
      <c r="AG606" s="25" t="s">
        <v>13</v>
      </c>
      <c r="AQ606" s="29"/>
      <c r="AZ606" s="97" t="s">
        <v>13</v>
      </c>
      <c r="BF606" s="26"/>
      <c r="BG606" s="26"/>
      <c r="BH606" s="83"/>
      <c r="BL606" s="26" t="s">
        <v>13</v>
      </c>
      <c r="BM606" s="25" t="s">
        <v>13</v>
      </c>
      <c r="CA606" s="25" t="s">
        <v>13</v>
      </c>
      <c r="CC606" s="25" t="s">
        <v>13</v>
      </c>
    </row>
    <row r="607" spans="1:81">
      <c r="A607" s="103" t="s">
        <v>868</v>
      </c>
      <c r="B607" s="104" t="s">
        <v>869</v>
      </c>
      <c r="C607" s="107">
        <v>307.67</v>
      </c>
      <c r="D607" s="108"/>
      <c r="E607" s="108"/>
      <c r="F607" s="105">
        <f t="shared" si="195"/>
        <v>510</v>
      </c>
      <c r="G607" s="108"/>
      <c r="H607" s="108"/>
      <c r="I607" s="108"/>
      <c r="J607" s="108"/>
      <c r="K607" s="108"/>
      <c r="L607" s="108">
        <v>510</v>
      </c>
      <c r="M607" s="108"/>
      <c r="N607" s="108"/>
      <c r="O607" s="108"/>
      <c r="P607" s="108"/>
      <c r="Q607" s="108" t="s">
        <v>870</v>
      </c>
      <c r="R607" s="26"/>
      <c r="T607" s="44"/>
      <c r="Y607" s="26"/>
      <c r="Z607" s="26"/>
      <c r="AA607" s="26"/>
      <c r="AC607" s="77"/>
      <c r="AF607" s="26"/>
      <c r="AG607" s="25" t="s">
        <v>13</v>
      </c>
      <c r="AQ607" s="29"/>
      <c r="AZ607" s="97" t="s">
        <v>13</v>
      </c>
      <c r="BF607" s="26"/>
      <c r="BG607" s="26"/>
      <c r="BH607" s="83"/>
      <c r="BL607" s="26" t="s">
        <v>13</v>
      </c>
      <c r="BM607" s="25" t="s">
        <v>13</v>
      </c>
      <c r="CA607" s="25" t="s">
        <v>13</v>
      </c>
      <c r="CC607" s="25" t="s">
        <v>13</v>
      </c>
    </row>
    <row r="608" spans="1:81">
      <c r="A608" s="103" t="s">
        <v>868</v>
      </c>
      <c r="B608" s="104" t="s">
        <v>869</v>
      </c>
      <c r="C608" s="107">
        <v>307.67</v>
      </c>
      <c r="D608" s="108"/>
      <c r="E608" s="108"/>
      <c r="F608" s="105">
        <f t="shared" si="195"/>
        <v>407</v>
      </c>
      <c r="G608" s="108"/>
      <c r="H608" s="108"/>
      <c r="I608" s="108"/>
      <c r="J608" s="108"/>
      <c r="K608" s="108"/>
      <c r="L608" s="108">
        <v>407</v>
      </c>
      <c r="M608" s="108"/>
      <c r="N608" s="108"/>
      <c r="O608" s="108"/>
      <c r="P608" s="108"/>
      <c r="Q608" s="108" t="s">
        <v>870</v>
      </c>
      <c r="R608" s="26"/>
      <c r="T608" s="44"/>
      <c r="Y608" s="26"/>
      <c r="Z608" s="26"/>
      <c r="AA608" s="26"/>
      <c r="AC608" s="77"/>
      <c r="AF608" s="26"/>
      <c r="AG608" s="25" t="s">
        <v>13</v>
      </c>
      <c r="AQ608" s="29"/>
      <c r="AZ608" s="97" t="s">
        <v>13</v>
      </c>
      <c r="BF608" s="26"/>
      <c r="BG608" s="26"/>
      <c r="BH608" s="83"/>
      <c r="BL608" s="26" t="s">
        <v>13</v>
      </c>
      <c r="BM608" s="25" t="s">
        <v>13</v>
      </c>
      <c r="CA608" s="25" t="s">
        <v>13</v>
      </c>
      <c r="CC608" s="25" t="s">
        <v>13</v>
      </c>
    </row>
    <row r="609" spans="1:81">
      <c r="A609" s="103" t="s">
        <v>540</v>
      </c>
      <c r="B609" s="104" t="s">
        <v>566</v>
      </c>
      <c r="C609" s="81">
        <v>307.89999999999998</v>
      </c>
      <c r="D609" s="81">
        <f>C609+0.3</f>
        <v>308.2</v>
      </c>
      <c r="E609" s="81">
        <f>C609-0.3</f>
        <v>307.59999999999997</v>
      </c>
      <c r="F609" s="105">
        <f t="shared" si="195"/>
        <v>314</v>
      </c>
      <c r="G609" s="77" t="s">
        <v>239</v>
      </c>
      <c r="H609" s="32">
        <f t="shared" ref="H609:I624" si="196">M609</f>
        <v>79</v>
      </c>
      <c r="I609" s="32">
        <f t="shared" si="196"/>
        <v>893</v>
      </c>
      <c r="J609" s="77" t="s">
        <v>402</v>
      </c>
      <c r="K609" s="77" t="s">
        <v>400</v>
      </c>
      <c r="L609" s="104">
        <v>314</v>
      </c>
      <c r="M609" s="104">
        <v>79</v>
      </c>
      <c r="N609" s="104">
        <v>893</v>
      </c>
      <c r="O609" s="104"/>
      <c r="P609" s="104"/>
      <c r="Q609" s="104" t="s">
        <v>560</v>
      </c>
      <c r="R609" s="26"/>
      <c r="T609" s="44"/>
      <c r="Y609" s="26"/>
      <c r="Z609" s="26"/>
      <c r="AA609" s="26"/>
      <c r="AC609" s="77"/>
      <c r="AF609" s="26"/>
      <c r="AG609" s="25" t="s">
        <v>13</v>
      </c>
      <c r="AQ609" s="29"/>
      <c r="AZ609" s="97" t="s">
        <v>13</v>
      </c>
      <c r="BF609" s="26"/>
      <c r="BG609" s="26"/>
      <c r="BH609" s="83"/>
      <c r="BL609" s="26" t="s">
        <v>13</v>
      </c>
      <c r="BM609" s="25" t="s">
        <v>13</v>
      </c>
      <c r="CA609" s="25" t="s">
        <v>13</v>
      </c>
      <c r="CC609" s="25" t="s">
        <v>13</v>
      </c>
    </row>
    <row r="610" spans="1:81">
      <c r="A610" s="103" t="s">
        <v>540</v>
      </c>
      <c r="B610" s="104" t="s">
        <v>566</v>
      </c>
      <c r="C610" s="81">
        <v>307.89999999999998</v>
      </c>
      <c r="D610" s="81">
        <f>C610+0.3</f>
        <v>308.2</v>
      </c>
      <c r="E610" s="81">
        <f>C610-0.3</f>
        <v>307.59999999999997</v>
      </c>
      <c r="F610" s="105">
        <f t="shared" si="195"/>
        <v>299</v>
      </c>
      <c r="G610" s="77" t="s">
        <v>239</v>
      </c>
      <c r="H610" s="32">
        <f t="shared" si="196"/>
        <v>73</v>
      </c>
      <c r="I610" s="32">
        <f t="shared" si="196"/>
        <v>849</v>
      </c>
      <c r="J610" s="77" t="s">
        <v>402</v>
      </c>
      <c r="K610" s="77" t="s">
        <v>400</v>
      </c>
      <c r="L610" s="104">
        <v>299</v>
      </c>
      <c r="M610" s="104">
        <v>73</v>
      </c>
      <c r="N610" s="104">
        <v>849</v>
      </c>
      <c r="O610" s="104"/>
      <c r="P610" s="104"/>
      <c r="Q610" s="104" t="s">
        <v>560</v>
      </c>
      <c r="R610" s="26"/>
      <c r="T610" s="44"/>
      <c r="Y610" s="26"/>
      <c r="Z610" s="26"/>
      <c r="AA610" s="26"/>
      <c r="AC610" s="77"/>
      <c r="AF610" s="26"/>
      <c r="AG610" s="25" t="s">
        <v>13</v>
      </c>
      <c r="AQ610" s="29"/>
      <c r="AZ610" s="97" t="s">
        <v>13</v>
      </c>
      <c r="BF610" s="26"/>
      <c r="BG610" s="26"/>
      <c r="BH610" s="83"/>
      <c r="BL610" s="26" t="s">
        <v>13</v>
      </c>
      <c r="BM610" s="25" t="s">
        <v>13</v>
      </c>
      <c r="CA610" s="25" t="s">
        <v>13</v>
      </c>
      <c r="CC610" s="25" t="s">
        <v>13</v>
      </c>
    </row>
    <row r="611" spans="1:81">
      <c r="A611" s="103" t="s">
        <v>540</v>
      </c>
      <c r="B611" s="104" t="s">
        <v>566</v>
      </c>
      <c r="C611" s="81">
        <v>308.2</v>
      </c>
      <c r="D611" s="81">
        <f>C611+0.3</f>
        <v>308.5</v>
      </c>
      <c r="E611" s="81">
        <f>C611-0.3</f>
        <v>307.89999999999998</v>
      </c>
      <c r="F611" s="105">
        <f t="shared" si="195"/>
        <v>338</v>
      </c>
      <c r="G611" s="77" t="s">
        <v>239</v>
      </c>
      <c r="H611" s="32">
        <f t="shared" si="196"/>
        <v>88</v>
      </c>
      <c r="I611" s="32">
        <f t="shared" si="196"/>
        <v>951</v>
      </c>
      <c r="J611" s="77" t="s">
        <v>402</v>
      </c>
      <c r="K611" s="77" t="s">
        <v>400</v>
      </c>
      <c r="L611" s="104">
        <v>338</v>
      </c>
      <c r="M611" s="104">
        <v>88</v>
      </c>
      <c r="N611" s="104">
        <v>951</v>
      </c>
      <c r="O611" s="104"/>
      <c r="P611" s="104"/>
      <c r="Q611" s="104" t="s">
        <v>560</v>
      </c>
      <c r="R611" s="26"/>
      <c r="T611" s="44"/>
      <c r="Y611" s="26"/>
      <c r="Z611" s="26"/>
      <c r="AA611" s="26"/>
      <c r="AC611" s="77"/>
      <c r="AF611" s="26"/>
      <c r="AG611" s="25" t="s">
        <v>13</v>
      </c>
      <c r="AQ611" s="29"/>
      <c r="AZ611" s="97" t="s">
        <v>13</v>
      </c>
      <c r="BF611" s="26"/>
      <c r="BG611" s="26"/>
      <c r="BH611" s="83"/>
      <c r="BL611" s="26" t="s">
        <v>13</v>
      </c>
      <c r="BM611" s="25" t="s">
        <v>13</v>
      </c>
      <c r="CA611" s="25" t="s">
        <v>13</v>
      </c>
      <c r="CC611" s="25" t="s">
        <v>13</v>
      </c>
    </row>
    <row r="612" spans="1:81">
      <c r="A612" s="103" t="s">
        <v>540</v>
      </c>
      <c r="B612" s="104" t="s">
        <v>566</v>
      </c>
      <c r="C612" s="81">
        <v>308.3</v>
      </c>
      <c r="D612" s="81">
        <f>C612+0.3</f>
        <v>308.60000000000002</v>
      </c>
      <c r="E612" s="81">
        <f>C612-0.3</f>
        <v>308</v>
      </c>
      <c r="F612" s="105">
        <f t="shared" si="195"/>
        <v>644</v>
      </c>
      <c r="G612" s="77" t="s">
        <v>239</v>
      </c>
      <c r="H612" s="32">
        <f t="shared" si="196"/>
        <v>157</v>
      </c>
      <c r="I612" s="32">
        <f t="shared" si="196"/>
        <v>1213</v>
      </c>
      <c r="J612" s="77" t="s">
        <v>402</v>
      </c>
      <c r="K612" s="77" t="s">
        <v>400</v>
      </c>
      <c r="L612" s="104">
        <v>644</v>
      </c>
      <c r="M612" s="104">
        <v>157</v>
      </c>
      <c r="N612" s="104">
        <v>1213</v>
      </c>
      <c r="O612" s="104"/>
      <c r="P612" s="104"/>
      <c r="Q612" s="104" t="s">
        <v>562</v>
      </c>
      <c r="R612" s="26"/>
      <c r="T612" s="44"/>
      <c r="Y612" s="26"/>
      <c r="Z612" s="26"/>
      <c r="AA612" s="26"/>
      <c r="AC612" s="77"/>
      <c r="AF612" s="26"/>
      <c r="AG612" s="25" t="s">
        <v>13</v>
      </c>
      <c r="AQ612" s="29"/>
      <c r="AZ612" s="97" t="s">
        <v>13</v>
      </c>
      <c r="BF612" s="26"/>
      <c r="BG612" s="26"/>
      <c r="BH612" s="83"/>
      <c r="BL612" s="26" t="s">
        <v>13</v>
      </c>
      <c r="BM612" s="25" t="s">
        <v>13</v>
      </c>
      <c r="CA612" s="25" t="s">
        <v>13</v>
      </c>
      <c r="CC612" s="25" t="s">
        <v>13</v>
      </c>
    </row>
    <row r="613" spans="1:81">
      <c r="A613" s="7" t="s">
        <v>574</v>
      </c>
      <c r="B613" s="25" t="s">
        <v>626</v>
      </c>
      <c r="C613" s="62">
        <v>65.521000000000001</v>
      </c>
      <c r="D613" s="62"/>
      <c r="E613" s="62"/>
      <c r="F613" s="26">
        <f>L613</f>
        <v>1047.5174538803908</v>
      </c>
      <c r="G613" s="25" t="s">
        <v>389</v>
      </c>
      <c r="H613" s="26">
        <f t="shared" si="196"/>
        <v>745.03931675693309</v>
      </c>
      <c r="I613" s="26">
        <f t="shared" si="196"/>
        <v>1349.9955910038484</v>
      </c>
      <c r="J613" s="91" t="s">
        <v>572</v>
      </c>
      <c r="K613" s="25" t="s">
        <v>575</v>
      </c>
      <c r="L613" s="26">
        <v>1047.5174538803908</v>
      </c>
      <c r="M613" s="26">
        <v>745.03931675693309</v>
      </c>
      <c r="N613" s="26">
        <v>1349.9955910038484</v>
      </c>
      <c r="O613" s="26">
        <v>3126.6976435817382</v>
      </c>
      <c r="P613" s="26">
        <f>O613</f>
        <v>3126.6976435817382</v>
      </c>
      <c r="Q613" s="25" t="s">
        <v>576</v>
      </c>
      <c r="R613" s="26" t="s">
        <v>13</v>
      </c>
      <c r="T613" s="44"/>
      <c r="Y613" s="26"/>
      <c r="Z613" s="26"/>
      <c r="AA613" s="26"/>
      <c r="AC613" s="77"/>
      <c r="AF613" s="26"/>
      <c r="AG613" s="25" t="s">
        <v>13</v>
      </c>
      <c r="AQ613" s="29"/>
      <c r="AZ613" s="97" t="s">
        <v>13</v>
      </c>
      <c r="BF613" s="26"/>
      <c r="BG613" s="26"/>
      <c r="BH613" s="83"/>
      <c r="BL613" s="26" t="s">
        <v>13</v>
      </c>
      <c r="BM613" s="25" t="s">
        <v>13</v>
      </c>
      <c r="CA613" s="25" t="s">
        <v>13</v>
      </c>
      <c r="CC613" s="25" t="s">
        <v>13</v>
      </c>
    </row>
    <row r="614" spans="1:81">
      <c r="A614" s="7" t="s">
        <v>574</v>
      </c>
      <c r="B614" s="25" t="s">
        <v>626</v>
      </c>
      <c r="C614" s="62">
        <v>65.521000000000001</v>
      </c>
      <c r="D614" s="62"/>
      <c r="E614" s="62"/>
      <c r="F614" s="26">
        <f t="shared" ref="F614:F677" si="197">L614</f>
        <v>1344.1151169780596</v>
      </c>
      <c r="G614" s="25" t="s">
        <v>389</v>
      </c>
      <c r="H614" s="26">
        <f t="shared" si="196"/>
        <v>1023.6771374469961</v>
      </c>
      <c r="I614" s="26">
        <f t="shared" si="196"/>
        <v>1664.5530965091232</v>
      </c>
      <c r="J614" s="91" t="s">
        <v>572</v>
      </c>
      <c r="K614" s="25" t="s">
        <v>575</v>
      </c>
      <c r="L614" s="26">
        <v>1344.1151169780596</v>
      </c>
      <c r="M614" s="26">
        <v>1023.6771374469961</v>
      </c>
      <c r="N614" s="26">
        <v>1664.5530965091232</v>
      </c>
      <c r="O614" s="26">
        <v>4214.7109194024833</v>
      </c>
      <c r="P614" s="26">
        <f t="shared" ref="P614:P677" si="198">O614</f>
        <v>4214.7109194024833</v>
      </c>
      <c r="Q614" s="25" t="s">
        <v>577</v>
      </c>
      <c r="R614" s="26" t="s">
        <v>13</v>
      </c>
      <c r="T614" s="44"/>
      <c r="Y614" s="26"/>
      <c r="Z614" s="26"/>
      <c r="AA614" s="26"/>
      <c r="AC614" s="77"/>
      <c r="AF614" s="26"/>
      <c r="AG614" s="25" t="s">
        <v>13</v>
      </c>
      <c r="AQ614" s="29"/>
      <c r="AZ614" s="97" t="s">
        <v>13</v>
      </c>
      <c r="BF614" s="26"/>
      <c r="BG614" s="26"/>
      <c r="BH614" s="83"/>
      <c r="BL614" s="26" t="s">
        <v>13</v>
      </c>
      <c r="BM614" s="25" t="s">
        <v>13</v>
      </c>
      <c r="CA614" s="25" t="s">
        <v>13</v>
      </c>
      <c r="CC614" s="25" t="s">
        <v>13</v>
      </c>
    </row>
    <row r="615" spans="1:81">
      <c r="A615" s="7" t="s">
        <v>574</v>
      </c>
      <c r="B615" s="25" t="s">
        <v>626</v>
      </c>
      <c r="C615" s="62">
        <v>65.778000000000006</v>
      </c>
      <c r="D615" s="62"/>
      <c r="E615" s="62"/>
      <c r="F615" s="26">
        <f t="shared" si="197"/>
        <v>1418.354338172956</v>
      </c>
      <c r="G615" s="25" t="s">
        <v>389</v>
      </c>
      <c r="H615" s="26">
        <f t="shared" si="196"/>
        <v>1049.1600435238406</v>
      </c>
      <c r="I615" s="26">
        <f t="shared" si="196"/>
        <v>1787.5486328220713</v>
      </c>
      <c r="J615" s="91" t="s">
        <v>572</v>
      </c>
      <c r="K615" s="25" t="s">
        <v>575</v>
      </c>
      <c r="L615" s="26">
        <v>1418.354338172956</v>
      </c>
      <c r="M615" s="26">
        <v>1049.1600435238406</v>
      </c>
      <c r="N615" s="26">
        <v>1787.5486328220713</v>
      </c>
      <c r="O615" s="26">
        <v>3497.2205504541603</v>
      </c>
      <c r="P615" s="26">
        <f t="shared" si="198"/>
        <v>3497.2205504541603</v>
      </c>
      <c r="Q615" s="25" t="s">
        <v>578</v>
      </c>
      <c r="R615" s="26" t="s">
        <v>13</v>
      </c>
      <c r="T615" s="44"/>
      <c r="Y615" s="26"/>
      <c r="Z615" s="26"/>
      <c r="AA615" s="26"/>
      <c r="AC615" s="77"/>
      <c r="AF615" s="26"/>
      <c r="AG615" s="25" t="s">
        <v>13</v>
      </c>
      <c r="AQ615" s="29"/>
      <c r="AZ615" s="97" t="s">
        <v>13</v>
      </c>
      <c r="BF615" s="26"/>
      <c r="BG615" s="26"/>
      <c r="BH615" s="83"/>
      <c r="BL615" s="26" t="s">
        <v>13</v>
      </c>
      <c r="BM615" s="25" t="s">
        <v>13</v>
      </c>
      <c r="CA615" s="25" t="s">
        <v>13</v>
      </c>
      <c r="CC615" s="25" t="s">
        <v>13</v>
      </c>
    </row>
    <row r="616" spans="1:81">
      <c r="A616" s="7" t="s">
        <v>574</v>
      </c>
      <c r="B616" s="25" t="s">
        <v>626</v>
      </c>
      <c r="C616" s="62">
        <v>65.778000000000006</v>
      </c>
      <c r="D616" s="62"/>
      <c r="E616" s="62"/>
      <c r="F616" s="26">
        <f t="shared" si="197"/>
        <v>1053.8547291501338</v>
      </c>
      <c r="G616" s="25" t="s">
        <v>389</v>
      </c>
      <c r="H616" s="26">
        <f t="shared" si="196"/>
        <v>784.89704809538762</v>
      </c>
      <c r="I616" s="26">
        <f t="shared" si="196"/>
        <v>1322.8124102048801</v>
      </c>
      <c r="J616" s="91" t="s">
        <v>572</v>
      </c>
      <c r="K616" s="25" t="s">
        <v>575</v>
      </c>
      <c r="L616" s="26">
        <v>1053.8547291501338</v>
      </c>
      <c r="M616" s="26">
        <v>784.89704809538762</v>
      </c>
      <c r="N616" s="26">
        <v>1322.8124102048801</v>
      </c>
      <c r="O616" s="26">
        <v>4588.1782568744702</v>
      </c>
      <c r="P616" s="26">
        <f t="shared" si="198"/>
        <v>4588.1782568744702</v>
      </c>
      <c r="Q616" s="25" t="s">
        <v>579</v>
      </c>
      <c r="R616" s="26" t="s">
        <v>13</v>
      </c>
      <c r="T616" s="44"/>
      <c r="Y616" s="26"/>
      <c r="Z616" s="26"/>
      <c r="AA616" s="26"/>
      <c r="AC616" s="77"/>
      <c r="AF616" s="26"/>
      <c r="AG616" s="25" t="s">
        <v>13</v>
      </c>
      <c r="AQ616" s="29"/>
      <c r="AZ616" s="97" t="s">
        <v>13</v>
      </c>
      <c r="BF616" s="26"/>
      <c r="BG616" s="26"/>
      <c r="BH616" s="83"/>
      <c r="BL616" s="26" t="s">
        <v>13</v>
      </c>
      <c r="BM616" s="25" t="s">
        <v>13</v>
      </c>
      <c r="CA616" s="25" t="s">
        <v>13</v>
      </c>
      <c r="CC616" s="25" t="s">
        <v>13</v>
      </c>
    </row>
    <row r="617" spans="1:81">
      <c r="A617" s="7" t="s">
        <v>574</v>
      </c>
      <c r="B617" s="25" t="s">
        <v>626</v>
      </c>
      <c r="C617" s="62">
        <v>65.787999999999997</v>
      </c>
      <c r="D617" s="62"/>
      <c r="E617" s="62"/>
      <c r="F617" s="26">
        <f t="shared" si="197"/>
        <v>1075.1380627926978</v>
      </c>
      <c r="G617" s="25" t="s">
        <v>389</v>
      </c>
      <c r="H617" s="26">
        <f t="shared" si="196"/>
        <v>701.60538810524304</v>
      </c>
      <c r="I617" s="26">
        <f t="shared" si="196"/>
        <v>1448.6707374801526</v>
      </c>
      <c r="J617" s="91" t="s">
        <v>572</v>
      </c>
      <c r="K617" s="25" t="s">
        <v>575</v>
      </c>
      <c r="L617" s="26">
        <v>1075.1380627926978</v>
      </c>
      <c r="M617" s="26">
        <v>701.60538810524304</v>
      </c>
      <c r="N617" s="26">
        <v>1448.6707374801526</v>
      </c>
      <c r="O617" s="26">
        <v>2406.4376761021203</v>
      </c>
      <c r="P617" s="26">
        <f t="shared" si="198"/>
        <v>2406.4376761021203</v>
      </c>
      <c r="Q617" s="25" t="s">
        <v>580</v>
      </c>
      <c r="R617" s="26" t="s">
        <v>13</v>
      </c>
      <c r="T617" s="44"/>
      <c r="Y617" s="26"/>
      <c r="Z617" s="26"/>
      <c r="AA617" s="26"/>
      <c r="AC617" s="77"/>
      <c r="AF617" s="26"/>
      <c r="AG617" s="25" t="s">
        <v>13</v>
      </c>
      <c r="AQ617" s="29"/>
      <c r="AZ617" s="97" t="s">
        <v>13</v>
      </c>
      <c r="BF617" s="26"/>
      <c r="BG617" s="26"/>
      <c r="BH617" s="83"/>
      <c r="BL617" s="26" t="s">
        <v>13</v>
      </c>
      <c r="BM617" s="25" t="s">
        <v>13</v>
      </c>
      <c r="CA617" s="25" t="s">
        <v>13</v>
      </c>
      <c r="CC617" s="25" t="s">
        <v>13</v>
      </c>
    </row>
    <row r="618" spans="1:81">
      <c r="A618" s="7" t="s">
        <v>574</v>
      </c>
      <c r="B618" s="25" t="s">
        <v>626</v>
      </c>
      <c r="C618" s="62">
        <v>65.808999999999997</v>
      </c>
      <c r="D618" s="62"/>
      <c r="E618" s="62"/>
      <c r="F618" s="26">
        <f t="shared" si="197"/>
        <v>1141.7918239610094</v>
      </c>
      <c r="G618" s="25" t="s">
        <v>389</v>
      </c>
      <c r="H618" s="26">
        <f t="shared" si="196"/>
        <v>684.73980106002136</v>
      </c>
      <c r="I618" s="26">
        <f t="shared" si="196"/>
        <v>1598.8438468619975</v>
      </c>
      <c r="J618" s="91" t="s">
        <v>572</v>
      </c>
      <c r="K618" s="25" t="s">
        <v>575</v>
      </c>
      <c r="L618" s="26">
        <v>1141.7918239610094</v>
      </c>
      <c r="M618" s="26">
        <v>684.73980106002136</v>
      </c>
      <c r="N618" s="26">
        <v>1598.8438468619975</v>
      </c>
      <c r="O618" s="26">
        <v>2043.0298008695497</v>
      </c>
      <c r="P618" s="26">
        <f t="shared" si="198"/>
        <v>2043.0298008695497</v>
      </c>
      <c r="Q618" s="25" t="s">
        <v>581</v>
      </c>
      <c r="R618" s="26" t="s">
        <v>13</v>
      </c>
      <c r="T618" s="44"/>
      <c r="Y618" s="26"/>
      <c r="Z618" s="26"/>
      <c r="AA618" s="26"/>
      <c r="AC618" s="77"/>
      <c r="AF618" s="26"/>
      <c r="AG618" s="25" t="s">
        <v>13</v>
      </c>
      <c r="AQ618" s="29"/>
      <c r="BF618" s="26"/>
      <c r="BG618" s="26"/>
      <c r="BH618" s="83"/>
      <c r="BL618" s="26" t="s">
        <v>13</v>
      </c>
      <c r="BM618" s="25" t="s">
        <v>13</v>
      </c>
      <c r="CA618" s="25" t="s">
        <v>13</v>
      </c>
      <c r="CC618" s="25" t="s">
        <v>13</v>
      </c>
    </row>
    <row r="619" spans="1:81">
      <c r="A619" s="7" t="s">
        <v>574</v>
      </c>
      <c r="B619" s="25" t="s">
        <v>626</v>
      </c>
      <c r="C619" s="62">
        <v>65.808999999999997</v>
      </c>
      <c r="D619" s="62"/>
      <c r="E619" s="62"/>
      <c r="F619" s="26">
        <f t="shared" si="197"/>
        <v>852.11213072695637</v>
      </c>
      <c r="G619" s="25" t="s">
        <v>389</v>
      </c>
      <c r="H619" s="26">
        <f t="shared" si="196"/>
        <v>554.17992182981754</v>
      </c>
      <c r="I619" s="26">
        <f t="shared" si="196"/>
        <v>1150.0443396240953</v>
      </c>
      <c r="J619" s="91" t="s">
        <v>572</v>
      </c>
      <c r="K619" s="25" t="s">
        <v>575</v>
      </c>
      <c r="L619" s="26">
        <v>852.11213072695637</v>
      </c>
      <c r="M619" s="26">
        <v>554.17992182981754</v>
      </c>
      <c r="N619" s="26">
        <v>1150.0443396240953</v>
      </c>
      <c r="O619" s="26">
        <v>2406.7872510869374</v>
      </c>
      <c r="P619" s="26">
        <f t="shared" si="198"/>
        <v>2406.7872510869374</v>
      </c>
      <c r="Q619" s="25" t="s">
        <v>582</v>
      </c>
      <c r="R619" s="26" t="s">
        <v>13</v>
      </c>
      <c r="T619" s="44"/>
      <c r="Y619" s="26"/>
      <c r="Z619" s="26"/>
      <c r="AA619" s="26"/>
      <c r="AC619" s="77"/>
      <c r="AF619" s="26"/>
      <c r="AG619" s="25" t="s">
        <v>13</v>
      </c>
      <c r="AQ619" s="29"/>
      <c r="BF619" s="26"/>
      <c r="BG619" s="26"/>
      <c r="BH619" s="83"/>
      <c r="BL619" s="26" t="s">
        <v>13</v>
      </c>
      <c r="BM619" s="25" t="s">
        <v>13</v>
      </c>
      <c r="CA619" s="25" t="s">
        <v>13</v>
      </c>
      <c r="CC619" s="25" t="s">
        <v>13</v>
      </c>
    </row>
    <row r="620" spans="1:81">
      <c r="A620" s="7" t="s">
        <v>574</v>
      </c>
      <c r="B620" s="25" t="s">
        <v>626</v>
      </c>
      <c r="C620" s="62">
        <v>65.819000000000003</v>
      </c>
      <c r="D620" s="62"/>
      <c r="E620" s="62"/>
      <c r="F620" s="26">
        <f t="shared" si="197"/>
        <v>1237.8727824051277</v>
      </c>
      <c r="G620" s="25" t="s">
        <v>389</v>
      </c>
      <c r="H620" s="26">
        <f t="shared" si="196"/>
        <v>749.97917730693666</v>
      </c>
      <c r="I620" s="26">
        <f t="shared" si="196"/>
        <v>1725.7663875033188</v>
      </c>
      <c r="J620" s="91" t="s">
        <v>572</v>
      </c>
      <c r="K620" s="25" t="s">
        <v>575</v>
      </c>
      <c r="L620" s="26">
        <v>1237.8727824051277</v>
      </c>
      <c r="M620" s="26">
        <v>749.97917730693666</v>
      </c>
      <c r="N620" s="26">
        <v>1725.7663875033188</v>
      </c>
      <c r="O620" s="26">
        <v>2043.1695952108687</v>
      </c>
      <c r="P620" s="26">
        <f t="shared" si="198"/>
        <v>2043.1695952108687</v>
      </c>
      <c r="Q620" s="25" t="s">
        <v>583</v>
      </c>
      <c r="R620" s="26" t="s">
        <v>13</v>
      </c>
      <c r="T620" s="44"/>
      <c r="Y620" s="26"/>
      <c r="Z620" s="26"/>
      <c r="AA620" s="26"/>
      <c r="AC620" s="77"/>
      <c r="AF620" s="26"/>
      <c r="AG620" s="25" t="s">
        <v>13</v>
      </c>
      <c r="AQ620" s="29"/>
      <c r="BF620" s="26"/>
      <c r="BG620" s="26"/>
      <c r="BH620" s="83"/>
      <c r="BL620" s="26" t="s">
        <v>13</v>
      </c>
      <c r="BM620" s="25" t="s">
        <v>13</v>
      </c>
      <c r="CA620" s="25" t="s">
        <v>13</v>
      </c>
      <c r="CC620" s="25" t="s">
        <v>13</v>
      </c>
    </row>
    <row r="621" spans="1:81">
      <c r="A621" s="7" t="s">
        <v>574</v>
      </c>
      <c r="B621" s="25" t="s">
        <v>626</v>
      </c>
      <c r="C621" s="62">
        <v>65.882000000000005</v>
      </c>
      <c r="D621" s="62"/>
      <c r="E621" s="62"/>
      <c r="F621" s="26">
        <f t="shared" si="197"/>
        <v>800.07379186143157</v>
      </c>
      <c r="G621" s="25" t="s">
        <v>389</v>
      </c>
      <c r="H621" s="26">
        <f t="shared" si="196"/>
        <v>517.09038210054678</v>
      </c>
      <c r="I621" s="26">
        <f t="shared" si="196"/>
        <v>1083.0572016223164</v>
      </c>
      <c r="J621" s="91" t="s">
        <v>572</v>
      </c>
      <c r="K621" s="25" t="s">
        <v>575</v>
      </c>
      <c r="L621" s="26">
        <v>800.07379186143157</v>
      </c>
      <c r="M621" s="26">
        <v>517.09038210054678</v>
      </c>
      <c r="N621" s="26">
        <v>1083.0572016223164</v>
      </c>
      <c r="O621" s="26">
        <v>2408.0098279709464</v>
      </c>
      <c r="P621" s="26">
        <f t="shared" si="198"/>
        <v>2408.0098279709464</v>
      </c>
      <c r="Q621" s="25" t="s">
        <v>584</v>
      </c>
      <c r="R621" s="26" t="s">
        <v>13</v>
      </c>
      <c r="T621" s="44"/>
      <c r="Y621" s="26"/>
      <c r="Z621" s="26"/>
      <c r="AA621" s="26"/>
      <c r="AC621" s="77"/>
      <c r="AF621" s="26"/>
      <c r="AG621" s="25" t="s">
        <v>13</v>
      </c>
      <c r="AQ621" s="29"/>
      <c r="BF621" s="26"/>
      <c r="BG621" s="26"/>
      <c r="BH621" s="83"/>
      <c r="BL621" s="26" t="s">
        <v>13</v>
      </c>
      <c r="BM621" s="25" t="s">
        <v>13</v>
      </c>
      <c r="CA621" s="25" t="s">
        <v>13</v>
      </c>
      <c r="CC621" s="25" t="s">
        <v>13</v>
      </c>
    </row>
    <row r="622" spans="1:81">
      <c r="A622" s="7" t="s">
        <v>574</v>
      </c>
      <c r="B622" s="25" t="s">
        <v>626</v>
      </c>
      <c r="C622" s="62">
        <v>65.923000000000002</v>
      </c>
      <c r="D622" s="62"/>
      <c r="F622" s="26">
        <f t="shared" si="197"/>
        <v>1250.5054312615709</v>
      </c>
      <c r="G622" s="25" t="s">
        <v>389</v>
      </c>
      <c r="H622" s="26">
        <f t="shared" si="196"/>
        <v>898.44620995869207</v>
      </c>
      <c r="I622" s="26">
        <f t="shared" si="196"/>
        <v>1602.5646525644497</v>
      </c>
      <c r="J622" s="91" t="s">
        <v>572</v>
      </c>
      <c r="K622" s="25" t="s">
        <v>575</v>
      </c>
      <c r="L622" s="26">
        <v>1250.5054312615709</v>
      </c>
      <c r="M622" s="26">
        <v>898.44620995869207</v>
      </c>
      <c r="N622" s="26">
        <v>1602.5646525644497</v>
      </c>
      <c r="O622" s="26">
        <v>3136.9909065675824</v>
      </c>
      <c r="P622" s="26">
        <f t="shared" si="198"/>
        <v>3136.9909065675824</v>
      </c>
      <c r="Q622" s="25" t="s">
        <v>585</v>
      </c>
      <c r="R622" s="26" t="s">
        <v>13</v>
      </c>
      <c r="T622" s="44"/>
      <c r="Y622" s="26"/>
      <c r="Z622" s="26"/>
      <c r="AA622" s="26"/>
      <c r="AC622" s="77"/>
      <c r="AF622" s="26"/>
      <c r="AG622" s="25" t="s">
        <v>13</v>
      </c>
      <c r="AQ622" s="29"/>
      <c r="BF622" s="26"/>
      <c r="BG622" s="26"/>
      <c r="BH622" s="83"/>
      <c r="BL622" s="26" t="s">
        <v>13</v>
      </c>
      <c r="BM622" s="25" t="s">
        <v>13</v>
      </c>
      <c r="CA622" s="25" t="s">
        <v>13</v>
      </c>
      <c r="CC622" s="25" t="s">
        <v>13</v>
      </c>
    </row>
    <row r="623" spans="1:81">
      <c r="A623" s="7" t="s">
        <v>574</v>
      </c>
      <c r="B623" s="25" t="s">
        <v>626</v>
      </c>
      <c r="C623" s="62">
        <v>65.977000000000004</v>
      </c>
      <c r="D623" s="62"/>
      <c r="F623" s="26">
        <f t="shared" si="197"/>
        <v>805.59270282932027</v>
      </c>
      <c r="G623" s="25" t="s">
        <v>389</v>
      </c>
      <c r="H623" s="26">
        <f t="shared" si="196"/>
        <v>424.71397260664759</v>
      </c>
      <c r="I623" s="26">
        <f t="shared" si="196"/>
        <v>1186.471433051993</v>
      </c>
      <c r="J623" s="91" t="s">
        <v>572</v>
      </c>
      <c r="K623" s="25" t="s">
        <v>575</v>
      </c>
      <c r="L623" s="26">
        <v>805.59270282932027</v>
      </c>
      <c r="M623" s="26">
        <v>424.71397260664759</v>
      </c>
      <c r="N623" s="26">
        <v>1186.471433051993</v>
      </c>
      <c r="O623" s="26">
        <v>1680.9477457719597</v>
      </c>
      <c r="P623" s="26">
        <f t="shared" si="198"/>
        <v>1680.9477457719597</v>
      </c>
      <c r="Q623" s="25" t="s">
        <v>586</v>
      </c>
      <c r="R623" s="26" t="s">
        <v>13</v>
      </c>
      <c r="T623" s="44"/>
      <c r="Y623" s="26"/>
      <c r="Z623" s="26"/>
      <c r="AA623" s="26"/>
      <c r="AC623" s="77"/>
      <c r="AF623" s="26"/>
      <c r="AG623" s="25" t="s">
        <v>13</v>
      </c>
      <c r="AQ623" s="29"/>
      <c r="BF623" s="26"/>
      <c r="BG623" s="26"/>
      <c r="BH623" s="83"/>
      <c r="BL623" s="26" t="s">
        <v>13</v>
      </c>
      <c r="BM623" s="25" t="s">
        <v>13</v>
      </c>
      <c r="CA623" s="25" t="s">
        <v>13</v>
      </c>
      <c r="CC623" s="25" t="s">
        <v>13</v>
      </c>
    </row>
    <row r="624" spans="1:81">
      <c r="A624" s="7" t="s">
        <v>574</v>
      </c>
      <c r="B624" s="25" t="s">
        <v>626</v>
      </c>
      <c r="C624" s="62">
        <v>66.22</v>
      </c>
      <c r="D624" s="62"/>
      <c r="F624" s="26">
        <f t="shared" si="197"/>
        <v>1059.2445776564873</v>
      </c>
      <c r="G624" s="25" t="s">
        <v>389</v>
      </c>
      <c r="H624" s="26">
        <f t="shared" si="196"/>
        <v>752.30372741188637</v>
      </c>
      <c r="I624" s="26">
        <f t="shared" si="196"/>
        <v>1366.1854279010881</v>
      </c>
      <c r="J624" s="91" t="s">
        <v>572</v>
      </c>
      <c r="K624" s="25" t="s">
        <v>575</v>
      </c>
      <c r="L624" s="26">
        <v>1059.2445776564873</v>
      </c>
      <c r="M624" s="26">
        <v>752.30372741188637</v>
      </c>
      <c r="N624" s="26">
        <v>1366.1854279010881</v>
      </c>
      <c r="O624" s="26">
        <v>3143.0757516357617</v>
      </c>
      <c r="P624" s="26">
        <f t="shared" si="198"/>
        <v>3143.0757516357617</v>
      </c>
      <c r="Q624" s="25" t="s">
        <v>587</v>
      </c>
      <c r="R624" s="26" t="s">
        <v>13</v>
      </c>
      <c r="T624" s="44"/>
      <c r="Y624" s="26"/>
      <c r="Z624" s="26"/>
      <c r="AA624" s="26"/>
      <c r="AC624" s="77"/>
      <c r="AF624" s="26"/>
      <c r="AG624" s="25" t="s">
        <v>13</v>
      </c>
      <c r="AQ624" s="29"/>
      <c r="BF624" s="26"/>
      <c r="BG624" s="26"/>
      <c r="BH624" s="83"/>
      <c r="BL624" s="26" t="s">
        <v>13</v>
      </c>
      <c r="BM624" s="25" t="s">
        <v>13</v>
      </c>
      <c r="CA624" s="25" t="s">
        <v>13</v>
      </c>
      <c r="CC624" s="25" t="s">
        <v>13</v>
      </c>
    </row>
    <row r="625" spans="1:81">
      <c r="A625" s="7" t="s">
        <v>574</v>
      </c>
      <c r="B625" s="25" t="s">
        <v>626</v>
      </c>
      <c r="C625" s="62">
        <v>66.260999999999996</v>
      </c>
      <c r="D625" s="62"/>
      <c r="F625" s="26">
        <f t="shared" si="197"/>
        <v>1467.5676909662432</v>
      </c>
      <c r="G625" s="25" t="s">
        <v>389</v>
      </c>
      <c r="H625" s="26">
        <f t="shared" ref="H625:I673" si="199">M625</f>
        <v>1085.7791781156093</v>
      </c>
      <c r="I625" s="26">
        <f t="shared" si="199"/>
        <v>1849.356203816877</v>
      </c>
      <c r="J625" s="91" t="s">
        <v>572</v>
      </c>
      <c r="K625" s="25" t="s">
        <v>575</v>
      </c>
      <c r="L625" s="26">
        <v>1467.5676909662432</v>
      </c>
      <c r="M625" s="26">
        <v>1085.7791781156093</v>
      </c>
      <c r="N625" s="26">
        <v>1849.356203816877</v>
      </c>
      <c r="O625" s="26">
        <v>3509.0117445879769</v>
      </c>
      <c r="P625" s="26">
        <f t="shared" si="198"/>
        <v>3509.0117445879769</v>
      </c>
      <c r="Q625" s="25" t="s">
        <v>588</v>
      </c>
      <c r="R625" s="26" t="s">
        <v>13</v>
      </c>
      <c r="T625" s="44"/>
      <c r="Y625" s="26"/>
      <c r="Z625" s="26"/>
      <c r="AA625" s="26"/>
      <c r="AC625" s="77"/>
      <c r="AF625" s="26"/>
      <c r="AG625" s="25" t="s">
        <v>13</v>
      </c>
      <c r="AQ625" s="29"/>
      <c r="BF625" s="26"/>
      <c r="BG625" s="26"/>
      <c r="BH625" s="83"/>
      <c r="BL625" s="26" t="s">
        <v>13</v>
      </c>
      <c r="BM625" s="25" t="s">
        <v>13</v>
      </c>
      <c r="CA625" s="25" t="s">
        <v>13</v>
      </c>
      <c r="CC625" s="25" t="s">
        <v>13</v>
      </c>
    </row>
    <row r="626" spans="1:81">
      <c r="A626" s="7" t="s">
        <v>574</v>
      </c>
      <c r="B626" s="25" t="s">
        <v>626</v>
      </c>
      <c r="C626" s="62">
        <v>66.307000000000002</v>
      </c>
      <c r="D626" s="62"/>
      <c r="F626" s="26">
        <f t="shared" si="197"/>
        <v>863.45862583224277</v>
      </c>
      <c r="G626" s="25" t="s">
        <v>389</v>
      </c>
      <c r="H626" s="26">
        <f t="shared" si="199"/>
        <v>448.9978686398324</v>
      </c>
      <c r="I626" s="26">
        <f t="shared" si="199"/>
        <v>1277.9193830246531</v>
      </c>
      <c r="J626" s="91" t="s">
        <v>572</v>
      </c>
      <c r="K626" s="25" t="s">
        <v>575</v>
      </c>
      <c r="L626" s="26">
        <v>863.45862583224277</v>
      </c>
      <c r="M626" s="26">
        <v>448.9978686398324</v>
      </c>
      <c r="N626" s="26">
        <v>1277.9193830246531</v>
      </c>
      <c r="O626" s="26">
        <v>1683.75113000331</v>
      </c>
      <c r="P626" s="26">
        <f t="shared" si="198"/>
        <v>1683.75113000331</v>
      </c>
      <c r="Q626" s="25" t="s">
        <v>589</v>
      </c>
      <c r="R626" s="26" t="s">
        <v>13</v>
      </c>
      <c r="T626" s="44"/>
      <c r="Y626" s="26"/>
      <c r="Z626" s="26"/>
      <c r="AA626" s="26"/>
      <c r="AC626" s="77"/>
      <c r="AF626" s="26"/>
      <c r="AG626" s="25" t="s">
        <v>13</v>
      </c>
      <c r="AQ626" s="29"/>
      <c r="BF626" s="26"/>
      <c r="BG626" s="26"/>
      <c r="BH626" s="83"/>
      <c r="BL626" s="26" t="s">
        <v>13</v>
      </c>
      <c r="BM626" s="25" t="s">
        <v>13</v>
      </c>
      <c r="CA626" s="25" t="s">
        <v>13</v>
      </c>
      <c r="CC626" s="25" t="s">
        <v>13</v>
      </c>
    </row>
    <row r="627" spans="1:81">
      <c r="A627" s="7" t="s">
        <v>574</v>
      </c>
      <c r="B627" s="25" t="s">
        <v>626</v>
      </c>
      <c r="C627" s="62">
        <v>66.597999999999999</v>
      </c>
      <c r="D627" s="62"/>
      <c r="F627" s="26">
        <f t="shared" si="197"/>
        <v>1054.8125538171021</v>
      </c>
      <c r="G627" s="25" t="s">
        <v>389</v>
      </c>
      <c r="H627" s="26">
        <f t="shared" si="199"/>
        <v>562.59771152450492</v>
      </c>
      <c r="I627" s="26">
        <f t="shared" si="199"/>
        <v>1547.0273961096991</v>
      </c>
      <c r="J627" s="91" t="s">
        <v>572</v>
      </c>
      <c r="K627" s="25" t="s">
        <v>575</v>
      </c>
      <c r="L627" s="26">
        <v>1054.8125538171021</v>
      </c>
      <c r="M627" s="26">
        <v>562.59771152450492</v>
      </c>
      <c r="N627" s="26">
        <v>1547.0273961096991</v>
      </c>
      <c r="O627" s="26">
        <v>1686.154080052868</v>
      </c>
      <c r="P627" s="26">
        <f t="shared" si="198"/>
        <v>1686.154080052868</v>
      </c>
      <c r="Q627" s="25" t="s">
        <v>590</v>
      </c>
      <c r="R627" s="26" t="s">
        <v>13</v>
      </c>
      <c r="T627" s="44"/>
      <c r="Y627" s="26"/>
      <c r="Z627" s="26"/>
      <c r="AA627" s="26"/>
      <c r="AC627" s="77"/>
      <c r="AF627" s="26"/>
      <c r="AG627" s="25" t="s">
        <v>13</v>
      </c>
      <c r="AQ627" s="29"/>
      <c r="BF627" s="26"/>
      <c r="BG627" s="26"/>
      <c r="BH627" s="83"/>
      <c r="BL627" s="26" t="s">
        <v>13</v>
      </c>
      <c r="BM627" s="25" t="s">
        <v>13</v>
      </c>
      <c r="CA627" s="25" t="s">
        <v>13</v>
      </c>
      <c r="CC627" s="25" t="s">
        <v>13</v>
      </c>
    </row>
    <row r="628" spans="1:81">
      <c r="A628" s="7" t="s">
        <v>574</v>
      </c>
      <c r="B628" s="25" t="s">
        <v>626</v>
      </c>
      <c r="C628" s="62">
        <v>66.918999999999997</v>
      </c>
      <c r="D628" s="62"/>
      <c r="F628" s="26">
        <f t="shared" si="197"/>
        <v>664.69624599425742</v>
      </c>
      <c r="G628" s="25" t="s">
        <v>389</v>
      </c>
      <c r="H628" s="26">
        <f t="shared" si="199"/>
        <v>347.65364400983549</v>
      </c>
      <c r="I628" s="26">
        <f t="shared" si="199"/>
        <v>981.73884797867936</v>
      </c>
      <c r="J628" s="91" t="s">
        <v>572</v>
      </c>
      <c r="K628" s="25" t="s">
        <v>575</v>
      </c>
      <c r="L628" s="26">
        <v>664.69624599425742</v>
      </c>
      <c r="M628" s="26">
        <v>347.65364400983549</v>
      </c>
      <c r="N628" s="26">
        <v>981.73884797867936</v>
      </c>
      <c r="O628" s="26">
        <v>1688.3410091447734</v>
      </c>
      <c r="P628" s="26">
        <f t="shared" si="198"/>
        <v>1688.3410091447734</v>
      </c>
      <c r="Q628" s="25" t="s">
        <v>591</v>
      </c>
      <c r="R628" s="26" t="s">
        <v>13</v>
      </c>
      <c r="T628" s="44"/>
      <c r="Y628" s="26"/>
      <c r="Z628" s="26"/>
      <c r="AA628" s="26"/>
      <c r="AC628" s="77"/>
      <c r="AF628" s="26"/>
      <c r="AG628" s="25" t="s">
        <v>13</v>
      </c>
      <c r="AQ628" s="29"/>
      <c r="BF628" s="26"/>
      <c r="BG628" s="26"/>
      <c r="BH628" s="83"/>
      <c r="BL628" s="26" t="s">
        <v>13</v>
      </c>
      <c r="BM628" s="25" t="s">
        <v>13</v>
      </c>
      <c r="CA628" s="25" t="s">
        <v>13</v>
      </c>
      <c r="CC628" s="25" t="s">
        <v>13</v>
      </c>
    </row>
    <row r="629" spans="1:81">
      <c r="A629" s="7" t="s">
        <v>574</v>
      </c>
      <c r="B629" s="25" t="s">
        <v>626</v>
      </c>
      <c r="C629" s="62">
        <v>67.242999999999995</v>
      </c>
      <c r="D629" s="62"/>
      <c r="F629" s="26">
        <f t="shared" si="197"/>
        <v>806.2576068061145</v>
      </c>
      <c r="G629" s="25" t="s">
        <v>389</v>
      </c>
      <c r="H629" s="26">
        <f t="shared" si="199"/>
        <v>525.48530748812834</v>
      </c>
      <c r="I629" s="26">
        <f t="shared" si="199"/>
        <v>1087.0299061241008</v>
      </c>
      <c r="J629" s="91" t="s">
        <v>572</v>
      </c>
      <c r="K629" s="25" t="s">
        <v>575</v>
      </c>
      <c r="L629" s="26">
        <v>806.2576068061145</v>
      </c>
      <c r="M629" s="26">
        <v>525.48530748812834</v>
      </c>
      <c r="N629" s="26">
        <v>1087.0299061241008</v>
      </c>
      <c r="O629" s="26">
        <v>2424.6306277903054</v>
      </c>
      <c r="P629" s="26">
        <f t="shared" si="198"/>
        <v>2424.6306277903054</v>
      </c>
      <c r="Q629" s="25" t="s">
        <v>592</v>
      </c>
      <c r="R629" s="26" t="s">
        <v>13</v>
      </c>
      <c r="T629" s="44"/>
      <c r="Y629" s="26"/>
      <c r="Z629" s="26"/>
      <c r="AA629" s="26"/>
      <c r="AC629" s="77"/>
      <c r="AF629" s="26"/>
      <c r="AG629" s="25" t="s">
        <v>13</v>
      </c>
      <c r="AQ629" s="29"/>
      <c r="BF629" s="26"/>
      <c r="BG629" s="26"/>
      <c r="BH629" s="83"/>
      <c r="BL629" s="26" t="s">
        <v>13</v>
      </c>
      <c r="BM629" s="25" t="s">
        <v>13</v>
      </c>
      <c r="CA629" s="25" t="s">
        <v>13</v>
      </c>
      <c r="CC629" s="25" t="s">
        <v>13</v>
      </c>
    </row>
    <row r="630" spans="1:81">
      <c r="A630" s="7" t="s">
        <v>574</v>
      </c>
      <c r="B630" s="25" t="s">
        <v>626</v>
      </c>
      <c r="C630" s="62">
        <v>67.393000000000001</v>
      </c>
      <c r="D630" s="62"/>
      <c r="F630" s="26">
        <f t="shared" si="197"/>
        <v>587.09324726831426</v>
      </c>
      <c r="G630" s="25" t="s">
        <v>389</v>
      </c>
      <c r="H630" s="26">
        <f t="shared" si="199"/>
        <v>110.86278185645813</v>
      </c>
      <c r="I630" s="26">
        <f t="shared" si="199"/>
        <v>1063.3237126801705</v>
      </c>
      <c r="J630" s="91" t="s">
        <v>572</v>
      </c>
      <c r="K630" s="25" t="s">
        <v>575</v>
      </c>
      <c r="L630" s="26">
        <v>587.09324726831426</v>
      </c>
      <c r="M630" s="26">
        <v>110.86278185645813</v>
      </c>
      <c r="N630" s="26">
        <v>1063.3237126801705</v>
      </c>
      <c r="O630" s="26">
        <v>955.60069785646363</v>
      </c>
      <c r="P630" s="26">
        <f t="shared" si="198"/>
        <v>955.60069785646363</v>
      </c>
      <c r="Q630" s="25" t="s">
        <v>593</v>
      </c>
      <c r="R630" s="26" t="s">
        <v>13</v>
      </c>
      <c r="T630" s="44"/>
      <c r="Y630" s="26"/>
      <c r="Z630" s="26"/>
      <c r="AA630" s="26"/>
      <c r="AC630" s="77"/>
      <c r="AF630" s="26"/>
      <c r="AG630" s="25" t="s">
        <v>13</v>
      </c>
      <c r="AQ630" s="29"/>
      <c r="BF630" s="26"/>
      <c r="BG630" s="26"/>
      <c r="BH630" s="83"/>
      <c r="BL630" s="26" t="s">
        <v>13</v>
      </c>
      <c r="BM630" s="25" t="s">
        <v>13</v>
      </c>
      <c r="CA630" s="25" t="s">
        <v>13</v>
      </c>
      <c r="CC630" s="25" t="s">
        <v>13</v>
      </c>
    </row>
    <row r="631" spans="1:81">
      <c r="A631" s="7" t="s">
        <v>574</v>
      </c>
      <c r="B631" s="25" t="s">
        <v>626</v>
      </c>
      <c r="C631" s="62">
        <v>68.003503290399991</v>
      </c>
      <c r="D631" s="62"/>
      <c r="F631" s="26">
        <f t="shared" si="197"/>
        <v>1228.2524814050432</v>
      </c>
      <c r="G631" s="25" t="s">
        <v>389</v>
      </c>
      <c r="H631" s="26">
        <f t="shared" si="199"/>
        <v>705.40071799405609</v>
      </c>
      <c r="I631" s="26">
        <f t="shared" si="199"/>
        <v>1751.1042448160304</v>
      </c>
      <c r="J631" s="91" t="s">
        <v>572</v>
      </c>
      <c r="K631" s="25" t="s">
        <v>575</v>
      </c>
      <c r="L631" s="26">
        <v>1228.2524814050432</v>
      </c>
      <c r="M631" s="26">
        <v>705.40071799405609</v>
      </c>
      <c r="N631" s="26">
        <v>1751.1042448160304</v>
      </c>
      <c r="O631" s="26">
        <v>1878.7175082078149</v>
      </c>
      <c r="P631" s="26">
        <f t="shared" si="198"/>
        <v>1878.7175082078149</v>
      </c>
      <c r="Q631" s="25" t="s">
        <v>594</v>
      </c>
      <c r="R631" s="26" t="s">
        <v>13</v>
      </c>
      <c r="T631" s="44"/>
      <c r="Y631" s="26"/>
      <c r="Z631" s="26"/>
      <c r="AA631" s="26"/>
      <c r="AC631" s="77"/>
      <c r="AF631" s="26"/>
      <c r="AG631" s="25" t="s">
        <v>13</v>
      </c>
      <c r="AQ631" s="29"/>
      <c r="BF631" s="26"/>
      <c r="BG631" s="26"/>
      <c r="BH631" s="83"/>
      <c r="BL631" s="26" t="s">
        <v>13</v>
      </c>
      <c r="BM631" s="25" t="s">
        <v>13</v>
      </c>
      <c r="CA631" s="25" t="s">
        <v>13</v>
      </c>
      <c r="CC631" s="25" t="s">
        <v>13</v>
      </c>
    </row>
    <row r="632" spans="1:81">
      <c r="A632" s="7" t="s">
        <v>574</v>
      </c>
      <c r="B632" s="25" t="s">
        <v>626</v>
      </c>
      <c r="C632" s="62">
        <v>68.120274988399999</v>
      </c>
      <c r="D632" s="62"/>
      <c r="F632" s="26">
        <f t="shared" si="197"/>
        <v>987.07502681953633</v>
      </c>
      <c r="G632" s="25" t="s">
        <v>389</v>
      </c>
      <c r="H632" s="26">
        <f t="shared" si="199"/>
        <v>600.5687609722653</v>
      </c>
      <c r="I632" s="26">
        <f t="shared" si="199"/>
        <v>1373.5812926668073</v>
      </c>
      <c r="J632" s="91" t="s">
        <v>572</v>
      </c>
      <c r="K632" s="25" t="s">
        <v>575</v>
      </c>
      <c r="L632" s="26">
        <v>987.07502681953633</v>
      </c>
      <c r="M632" s="26">
        <v>600.5687609722653</v>
      </c>
      <c r="N632" s="26">
        <v>1373.5812926668073</v>
      </c>
      <c r="O632" s="26">
        <v>2063.8691627882695</v>
      </c>
      <c r="P632" s="26">
        <f t="shared" si="198"/>
        <v>2063.8691627882695</v>
      </c>
      <c r="Q632" s="25" t="s">
        <v>595</v>
      </c>
      <c r="R632" s="26" t="s">
        <v>13</v>
      </c>
      <c r="T632" s="44"/>
      <c r="Y632" s="26"/>
      <c r="Z632" s="26"/>
      <c r="AA632" s="26"/>
      <c r="AC632" s="77"/>
      <c r="AF632" s="26"/>
      <c r="AG632" s="25" t="s">
        <v>13</v>
      </c>
      <c r="AQ632" s="29"/>
      <c r="BF632" s="26"/>
      <c r="BG632" s="26"/>
      <c r="BH632" s="83"/>
      <c r="BL632" s="26" t="s">
        <v>13</v>
      </c>
      <c r="BM632" s="25" t="s">
        <v>13</v>
      </c>
      <c r="CA632" s="25" t="s">
        <v>13</v>
      </c>
      <c r="CC632" s="25" t="s">
        <v>13</v>
      </c>
    </row>
    <row r="633" spans="1:81">
      <c r="A633" s="7" t="s">
        <v>574</v>
      </c>
      <c r="B633" s="25" t="s">
        <v>626</v>
      </c>
      <c r="C633" s="62">
        <v>68.448999999999998</v>
      </c>
      <c r="D633" s="62"/>
      <c r="F633" s="26">
        <f t="shared" si="197"/>
        <v>1332.8760125780311</v>
      </c>
      <c r="G633" s="25" t="s">
        <v>389</v>
      </c>
      <c r="H633" s="26">
        <f t="shared" si="199"/>
        <v>882.28373945110707</v>
      </c>
      <c r="I633" s="26">
        <f t="shared" si="199"/>
        <v>1783.4682857049552</v>
      </c>
      <c r="J633" s="91" t="s">
        <v>572</v>
      </c>
      <c r="K633" s="25" t="s">
        <v>575</v>
      </c>
      <c r="L633" s="26">
        <v>1332.8760125780311</v>
      </c>
      <c r="M633" s="26">
        <v>882.28373945110707</v>
      </c>
      <c r="N633" s="26">
        <v>1783.4682857049552</v>
      </c>
      <c r="O633" s="26">
        <v>2435.4459027841094</v>
      </c>
      <c r="P633" s="26">
        <f t="shared" si="198"/>
        <v>2435.4459027841094</v>
      </c>
      <c r="Q633" s="25" t="s">
        <v>596</v>
      </c>
      <c r="R633" s="26" t="s">
        <v>13</v>
      </c>
      <c r="T633" s="44"/>
      <c r="Y633" s="26"/>
      <c r="Z633" s="26"/>
      <c r="AA633" s="26"/>
      <c r="AC633" s="77"/>
      <c r="AF633" s="26"/>
      <c r="AG633" s="25" t="s">
        <v>13</v>
      </c>
      <c r="AQ633" s="29"/>
      <c r="BF633" s="26"/>
      <c r="BG633" s="26"/>
      <c r="BH633" s="83"/>
      <c r="BL633" s="26" t="s">
        <v>13</v>
      </c>
      <c r="BM633" s="25" t="s">
        <v>13</v>
      </c>
      <c r="CC633" s="25" t="s">
        <v>13</v>
      </c>
    </row>
    <row r="634" spans="1:81">
      <c r="A634" s="7" t="s">
        <v>574</v>
      </c>
      <c r="B634" s="25" t="s">
        <v>626</v>
      </c>
      <c r="C634" s="62">
        <v>68.504000000000005</v>
      </c>
      <c r="D634" s="62"/>
      <c r="F634" s="26">
        <f t="shared" si="197"/>
        <v>1685.6322380551767</v>
      </c>
      <c r="G634" s="25" t="s">
        <v>389</v>
      </c>
      <c r="H634" s="26">
        <f t="shared" si="199"/>
        <v>1263.2126556900148</v>
      </c>
      <c r="I634" s="26">
        <f t="shared" si="199"/>
        <v>2108.0518204203386</v>
      </c>
      <c r="J634" s="91" t="s">
        <v>572</v>
      </c>
      <c r="K634" s="25" t="s">
        <v>575</v>
      </c>
      <c r="L634" s="26">
        <v>1685.6322380551767</v>
      </c>
      <c r="M634" s="26">
        <v>1263.2126556900148</v>
      </c>
      <c r="N634" s="26">
        <v>2108.0518204203386</v>
      </c>
      <c r="O634" s="26">
        <v>3545.0546696280753</v>
      </c>
      <c r="P634" s="26">
        <f t="shared" si="198"/>
        <v>3545.0546696280753</v>
      </c>
      <c r="Q634" s="25" t="s">
        <v>597</v>
      </c>
      <c r="R634" s="26" t="s">
        <v>13</v>
      </c>
      <c r="T634" s="44"/>
      <c r="Y634" s="26"/>
      <c r="Z634" s="26"/>
      <c r="AA634" s="26"/>
      <c r="AC634" s="77"/>
      <c r="AF634" s="26"/>
      <c r="AG634" s="25" t="s">
        <v>13</v>
      </c>
      <c r="AQ634" s="29"/>
      <c r="BF634" s="26"/>
      <c r="BG634" s="26"/>
      <c r="BH634" s="83"/>
      <c r="BL634" s="26" t="s">
        <v>13</v>
      </c>
      <c r="BM634" s="25" t="s">
        <v>13</v>
      </c>
    </row>
    <row r="635" spans="1:81">
      <c r="A635" s="7" t="s">
        <v>574</v>
      </c>
      <c r="B635" s="25" t="s">
        <v>626</v>
      </c>
      <c r="C635" s="62">
        <v>68.605999999999995</v>
      </c>
      <c r="D635" s="62"/>
      <c r="F635" s="26">
        <f t="shared" si="197"/>
        <v>1373.0432262367792</v>
      </c>
      <c r="G635" s="25" t="s">
        <v>389</v>
      </c>
      <c r="H635" s="26">
        <f t="shared" si="199"/>
        <v>992.16517577189165</v>
      </c>
      <c r="I635" s="26">
        <f t="shared" si="199"/>
        <v>1753.9212767016668</v>
      </c>
      <c r="J635" s="91" t="s">
        <v>572</v>
      </c>
      <c r="K635" s="25" t="s">
        <v>575</v>
      </c>
      <c r="L635" s="26">
        <v>1373.0432262367792</v>
      </c>
      <c r="M635" s="26">
        <v>992.16517577189165</v>
      </c>
      <c r="N635" s="26">
        <v>1753.9212767016668</v>
      </c>
      <c r="O635" s="26">
        <v>3177.1994805067029</v>
      </c>
      <c r="P635" s="26">
        <f t="shared" si="198"/>
        <v>3177.1994805067029</v>
      </c>
      <c r="Q635" s="25" t="s">
        <v>598</v>
      </c>
      <c r="R635" s="26" t="s">
        <v>13</v>
      </c>
      <c r="T635" s="44"/>
      <c r="Y635" s="26"/>
      <c r="Z635" s="26"/>
      <c r="AA635" s="26"/>
      <c r="AC635" s="77"/>
      <c r="AF635" s="26"/>
      <c r="AG635" s="25" t="s">
        <v>13</v>
      </c>
      <c r="AQ635" s="29"/>
      <c r="BF635" s="26"/>
      <c r="BG635" s="26"/>
      <c r="BH635" s="83"/>
      <c r="BL635" s="26" t="s">
        <v>13</v>
      </c>
      <c r="BM635" s="25" t="s">
        <v>13</v>
      </c>
    </row>
    <row r="636" spans="1:81">
      <c r="A636" s="7" t="s">
        <v>574</v>
      </c>
      <c r="B636" s="25" t="s">
        <v>626</v>
      </c>
      <c r="C636" s="62">
        <v>68.605999999999995</v>
      </c>
      <c r="D636" s="62"/>
      <c r="F636" s="26">
        <f t="shared" si="197"/>
        <v>822.3063261299626</v>
      </c>
      <c r="G636" s="25" t="s">
        <v>389</v>
      </c>
      <c r="H636" s="26">
        <f t="shared" si="199"/>
        <v>390.46103508039602</v>
      </c>
      <c r="I636" s="26">
        <f t="shared" si="199"/>
        <v>1254.1516171795292</v>
      </c>
      <c r="J636" s="91" t="s">
        <v>572</v>
      </c>
      <c r="K636" s="25" t="s">
        <v>575</v>
      </c>
      <c r="L636" s="26">
        <v>822.3063261299626</v>
      </c>
      <c r="M636" s="26">
        <v>390.46103508039602</v>
      </c>
      <c r="N636" s="26">
        <v>1254.1516171795292</v>
      </c>
      <c r="O636" s="26">
        <v>2437.428200361931</v>
      </c>
      <c r="P636" s="26">
        <f t="shared" si="198"/>
        <v>2437.428200361931</v>
      </c>
      <c r="Q636" s="25" t="s">
        <v>599</v>
      </c>
      <c r="R636" s="26" t="s">
        <v>13</v>
      </c>
      <c r="T636" s="44"/>
      <c r="Y636" s="26"/>
      <c r="Z636" s="26"/>
      <c r="AA636" s="26"/>
      <c r="AC636" s="77"/>
      <c r="AF636" s="26"/>
      <c r="AG636" s="25" t="s">
        <v>13</v>
      </c>
      <c r="AQ636" s="29"/>
      <c r="BF636" s="26"/>
      <c r="BG636" s="26"/>
      <c r="BH636" s="83"/>
      <c r="BL636" s="26" t="s">
        <v>13</v>
      </c>
      <c r="BM636" s="25" t="s">
        <v>13</v>
      </c>
    </row>
    <row r="637" spans="1:81">
      <c r="A637" s="7" t="s">
        <v>574</v>
      </c>
      <c r="B637" s="25" t="s">
        <v>626</v>
      </c>
      <c r="C637" s="62">
        <v>68.619</v>
      </c>
      <c r="D637" s="62"/>
      <c r="F637" s="26">
        <f t="shared" si="197"/>
        <v>1212.2852056068486</v>
      </c>
      <c r="G637" s="25" t="s">
        <v>389</v>
      </c>
      <c r="H637" s="26">
        <f t="shared" si="199"/>
        <v>801.42352827616583</v>
      </c>
      <c r="I637" s="26">
        <f t="shared" si="199"/>
        <v>1623.1468829375315</v>
      </c>
      <c r="J637" s="91" t="s">
        <v>572</v>
      </c>
      <c r="K637" s="25" t="s">
        <v>575</v>
      </c>
      <c r="L637" s="26">
        <v>1212.2852056068486</v>
      </c>
      <c r="M637" s="26">
        <v>801.42352827616583</v>
      </c>
      <c r="N637" s="26">
        <v>1623.1468829375315</v>
      </c>
      <c r="O637" s="26">
        <v>2437.59773476994</v>
      </c>
      <c r="P637" s="26">
        <f t="shared" si="198"/>
        <v>2437.59773476994</v>
      </c>
      <c r="Q637" s="25" t="s">
        <v>600</v>
      </c>
      <c r="R637" s="26" t="s">
        <v>13</v>
      </c>
      <c r="T637" s="44"/>
      <c r="Y637" s="26"/>
      <c r="Z637" s="26"/>
      <c r="AA637" s="26"/>
      <c r="AC637" s="77"/>
      <c r="AF637" s="26"/>
      <c r="AG637" s="25" t="s">
        <v>13</v>
      </c>
      <c r="AQ637" s="29"/>
      <c r="BF637" s="26"/>
      <c r="BG637" s="26"/>
      <c r="BH637" s="83"/>
      <c r="BL637" s="26" t="s">
        <v>13</v>
      </c>
      <c r="BM637" s="25" t="s">
        <v>13</v>
      </c>
    </row>
    <row r="638" spans="1:81">
      <c r="A638" s="7" t="s">
        <v>574</v>
      </c>
      <c r="B638" s="25" t="s">
        <v>626</v>
      </c>
      <c r="C638" s="62">
        <v>68.869</v>
      </c>
      <c r="D638" s="62"/>
      <c r="F638" s="26">
        <f t="shared" si="197"/>
        <v>1609.4131106241284</v>
      </c>
      <c r="G638" s="25" t="s">
        <v>389</v>
      </c>
      <c r="H638" s="26">
        <f t="shared" si="199"/>
        <v>1093.6367612879158</v>
      </c>
      <c r="I638" s="26">
        <f t="shared" si="199"/>
        <v>2125.1894599603411</v>
      </c>
      <c r="J638" s="91" t="s">
        <v>572</v>
      </c>
      <c r="K638" s="25" t="s">
        <v>575</v>
      </c>
      <c r="L638" s="26">
        <v>1609.4131106241284</v>
      </c>
      <c r="M638" s="26">
        <v>1093.6367612879158</v>
      </c>
      <c r="N638" s="26">
        <v>2125.1894599603411</v>
      </c>
      <c r="O638" s="26">
        <v>2811.3761023279867</v>
      </c>
      <c r="P638" s="26">
        <f t="shared" si="198"/>
        <v>2811.3761023279867</v>
      </c>
      <c r="Q638" s="25" t="s">
        <v>601</v>
      </c>
      <c r="R638" s="26" t="s">
        <v>13</v>
      </c>
      <c r="T638" s="44"/>
      <c r="Y638" s="26"/>
      <c r="Z638" s="26"/>
      <c r="AA638" s="26"/>
      <c r="AC638" s="77"/>
      <c r="AF638" s="26"/>
      <c r="AG638" s="25" t="s">
        <v>13</v>
      </c>
      <c r="AQ638" s="29"/>
      <c r="BF638" s="26"/>
      <c r="BG638" s="26"/>
      <c r="BH638" s="83"/>
      <c r="BL638" s="26" t="s">
        <v>13</v>
      </c>
      <c r="BM638" s="25" t="s">
        <v>13</v>
      </c>
    </row>
    <row r="639" spans="1:81">
      <c r="A639" s="7" t="s">
        <v>574</v>
      </c>
      <c r="B639" s="25" t="s">
        <v>626</v>
      </c>
      <c r="C639" s="62">
        <v>68.933000000000007</v>
      </c>
      <c r="D639" s="62"/>
      <c r="F639" s="26">
        <f t="shared" si="197"/>
        <v>1849.9330365693286</v>
      </c>
      <c r="G639" s="25" t="s">
        <v>389</v>
      </c>
      <c r="H639" s="26">
        <f t="shared" si="199"/>
        <v>1350.960140119852</v>
      </c>
      <c r="I639" s="26">
        <f t="shared" si="199"/>
        <v>2348.9059330188052</v>
      </c>
      <c r="J639" s="91" t="s">
        <v>572</v>
      </c>
      <c r="K639" s="25" t="s">
        <v>575</v>
      </c>
      <c r="L639" s="26">
        <v>1849.9330365693286</v>
      </c>
      <c r="M639" s="26">
        <v>1350.960140119852</v>
      </c>
      <c r="N639" s="26">
        <v>2348.9059330188052</v>
      </c>
      <c r="O639" s="26">
        <v>3183.1210968182368</v>
      </c>
      <c r="P639" s="26">
        <f t="shared" si="198"/>
        <v>3183.1210968182368</v>
      </c>
      <c r="Q639" s="25" t="s">
        <v>602</v>
      </c>
      <c r="R639" s="26" t="s">
        <v>13</v>
      </c>
      <c r="T639" s="44"/>
      <c r="Y639" s="26"/>
      <c r="Z639" s="26"/>
      <c r="AA639" s="26"/>
      <c r="AC639" s="77"/>
      <c r="AF639" s="26"/>
      <c r="AG639" s="25" t="s">
        <v>13</v>
      </c>
      <c r="AQ639" s="29"/>
      <c r="BF639" s="26"/>
      <c r="BG639" s="26"/>
      <c r="BH639" s="83"/>
      <c r="BL639" s="26" t="s">
        <v>13</v>
      </c>
      <c r="BM639" s="25" t="s">
        <v>13</v>
      </c>
    </row>
    <row r="640" spans="1:81">
      <c r="A640" s="7" t="s">
        <v>574</v>
      </c>
      <c r="B640" s="25" t="s">
        <v>626</v>
      </c>
      <c r="C640" s="62">
        <v>69.39</v>
      </c>
      <c r="D640" s="62"/>
      <c r="F640" s="26">
        <f t="shared" si="197"/>
        <v>893.74324243259878</v>
      </c>
      <c r="G640" s="25" t="s">
        <v>389</v>
      </c>
      <c r="H640" s="26">
        <f t="shared" si="199"/>
        <v>585.07037992236474</v>
      </c>
      <c r="I640" s="26">
        <f t="shared" si="199"/>
        <v>1202.4161049428328</v>
      </c>
      <c r="J640" s="91" t="s">
        <v>572</v>
      </c>
      <c r="K640" s="25" t="s">
        <v>575</v>
      </c>
      <c r="L640" s="26">
        <v>893.74324243259878</v>
      </c>
      <c r="M640" s="26">
        <v>585.07037992236474</v>
      </c>
      <c r="N640" s="26">
        <v>1202.4161049428328</v>
      </c>
      <c r="O640" s="26">
        <v>2447.7340172755003</v>
      </c>
      <c r="P640" s="26">
        <f t="shared" si="198"/>
        <v>2447.7340172755003</v>
      </c>
      <c r="Q640" s="25" t="s">
        <v>603</v>
      </c>
      <c r="R640" s="26" t="s">
        <v>13</v>
      </c>
      <c r="T640" s="44"/>
      <c r="Y640" s="26"/>
      <c r="Z640" s="26"/>
      <c r="AA640" s="26"/>
      <c r="AC640" s="77"/>
      <c r="AF640" s="26"/>
      <c r="AG640" s="25" t="s">
        <v>13</v>
      </c>
      <c r="AQ640" s="29"/>
      <c r="BF640" s="26"/>
      <c r="BG640" s="26"/>
      <c r="BH640" s="83"/>
      <c r="BL640" s="26" t="s">
        <v>13</v>
      </c>
      <c r="BM640" s="25" t="s">
        <v>13</v>
      </c>
    </row>
    <row r="641" spans="1:65">
      <c r="A641" s="7" t="s">
        <v>574</v>
      </c>
      <c r="B641" s="25" t="s">
        <v>626</v>
      </c>
      <c r="C641" s="62">
        <v>69.637</v>
      </c>
      <c r="D641" s="62"/>
      <c r="F641" s="26">
        <f t="shared" si="197"/>
        <v>2174.6572171563903</v>
      </c>
      <c r="G641" s="25" t="s">
        <v>389</v>
      </c>
      <c r="H641" s="26">
        <f t="shared" si="199"/>
        <v>1640.3638625142989</v>
      </c>
      <c r="I641" s="26">
        <f t="shared" si="199"/>
        <v>2708.9505717984816</v>
      </c>
      <c r="J641" s="91" t="s">
        <v>572</v>
      </c>
      <c r="K641" s="25" t="s">
        <v>575</v>
      </c>
      <c r="L641" s="26">
        <v>2174.6572171563903</v>
      </c>
      <c r="M641" s="26">
        <v>1640.3638625142989</v>
      </c>
      <c r="N641" s="26">
        <v>2708.9505717984816</v>
      </c>
      <c r="O641" s="26">
        <v>3568.6297562539544</v>
      </c>
      <c r="P641" s="26">
        <f t="shared" si="198"/>
        <v>3568.6297562539544</v>
      </c>
      <c r="Q641" s="25" t="s">
        <v>604</v>
      </c>
      <c r="R641" s="26" t="s">
        <v>13</v>
      </c>
      <c r="T641" s="44"/>
      <c r="Y641" s="26"/>
      <c r="Z641" s="26"/>
      <c r="AA641" s="26"/>
      <c r="AC641" s="77"/>
      <c r="AF641" s="26"/>
      <c r="AG641" s="25" t="s">
        <v>13</v>
      </c>
      <c r="AQ641" s="29"/>
      <c r="BF641" s="26"/>
      <c r="BG641" s="26"/>
      <c r="BH641" s="83"/>
      <c r="BL641" s="26" t="s">
        <v>13</v>
      </c>
      <c r="BM641" s="25" t="s">
        <v>13</v>
      </c>
    </row>
    <row r="642" spans="1:65">
      <c r="A642" s="7" t="s">
        <v>574</v>
      </c>
      <c r="B642" s="25" t="s">
        <v>626</v>
      </c>
      <c r="C642" s="62">
        <v>69.881626079600011</v>
      </c>
      <c r="D642" s="62"/>
      <c r="F642" s="26">
        <f t="shared" si="197"/>
        <v>1855.723314150825</v>
      </c>
      <c r="G642" s="25" t="s">
        <v>389</v>
      </c>
      <c r="H642" s="26">
        <f t="shared" si="199"/>
        <v>1208.2878184734798</v>
      </c>
      <c r="I642" s="26">
        <f t="shared" si="199"/>
        <v>2503.15880982817</v>
      </c>
      <c r="J642" s="91" t="s">
        <v>572</v>
      </c>
      <c r="K642" s="25" t="s">
        <v>575</v>
      </c>
      <c r="L642" s="26">
        <v>1855.723314150825</v>
      </c>
      <c r="M642" s="26">
        <v>1208.2878184734798</v>
      </c>
      <c r="N642" s="26">
        <v>2503.15880982817</v>
      </c>
      <c r="O642" s="26">
        <v>2454.0030493713966</v>
      </c>
      <c r="P642" s="26">
        <f t="shared" si="198"/>
        <v>2454.0030493713966</v>
      </c>
      <c r="Q642" s="25" t="s">
        <v>605</v>
      </c>
      <c r="R642" s="26" t="s">
        <v>13</v>
      </c>
      <c r="T642" s="44"/>
      <c r="Y642" s="26"/>
      <c r="Z642" s="26"/>
      <c r="AA642" s="26"/>
      <c r="AC642" s="77"/>
      <c r="AF642" s="26"/>
      <c r="AG642" s="25" t="s">
        <v>13</v>
      </c>
      <c r="AQ642" s="29"/>
      <c r="BF642" s="26"/>
      <c r="BG642" s="26"/>
      <c r="BH642" s="83"/>
      <c r="BL642" s="26" t="s">
        <v>13</v>
      </c>
      <c r="BM642" s="25" t="s">
        <v>13</v>
      </c>
    </row>
    <row r="643" spans="1:65">
      <c r="A643" s="7" t="s">
        <v>574</v>
      </c>
      <c r="B643" s="25" t="s">
        <v>626</v>
      </c>
      <c r="C643" s="62">
        <v>70.082999999999998</v>
      </c>
      <c r="D643" s="62"/>
      <c r="F643" s="26">
        <f t="shared" si="197"/>
        <v>1263.5092945963311</v>
      </c>
      <c r="G643" s="25" t="s">
        <v>389</v>
      </c>
      <c r="H643" s="26">
        <f t="shared" si="199"/>
        <v>731.0417619180547</v>
      </c>
      <c r="I643" s="26">
        <f t="shared" si="199"/>
        <v>1795.9768272746073</v>
      </c>
      <c r="J643" s="91" t="s">
        <v>572</v>
      </c>
      <c r="K643" s="25" t="s">
        <v>575</v>
      </c>
      <c r="L643" s="26">
        <v>1263.5092945963311</v>
      </c>
      <c r="M643" s="26">
        <v>731.0417619180547</v>
      </c>
      <c r="N643" s="26">
        <v>1795.9768272746073</v>
      </c>
      <c r="O643" s="26">
        <v>1896.1973351723054</v>
      </c>
      <c r="P643" s="26">
        <f t="shared" si="198"/>
        <v>1896.1973351723054</v>
      </c>
      <c r="Q643" s="25" t="s">
        <v>606</v>
      </c>
      <c r="R643" s="26" t="s">
        <v>13</v>
      </c>
      <c r="T643" s="44"/>
      <c r="Y643" s="26"/>
      <c r="Z643" s="26"/>
      <c r="AA643" s="26"/>
      <c r="AC643" s="77"/>
      <c r="AF643" s="26"/>
      <c r="AG643" s="25" t="s">
        <v>13</v>
      </c>
      <c r="AQ643" s="29"/>
      <c r="BF643" s="26"/>
      <c r="BG643" s="26"/>
      <c r="BH643" s="83"/>
      <c r="BL643" s="26" t="s">
        <v>13</v>
      </c>
      <c r="BM643" s="25" t="s">
        <v>13</v>
      </c>
    </row>
    <row r="644" spans="1:65">
      <c r="A644" s="7" t="s">
        <v>574</v>
      </c>
      <c r="B644" s="25" t="s">
        <v>626</v>
      </c>
      <c r="C644" s="62">
        <v>70.361664254000004</v>
      </c>
      <c r="D644" s="62"/>
      <c r="F644" s="26">
        <f t="shared" si="197"/>
        <v>1247.9958128324222</v>
      </c>
      <c r="G644" s="25" t="s">
        <v>389</v>
      </c>
      <c r="H644" s="26">
        <f t="shared" si="199"/>
        <v>756.45188656302082</v>
      </c>
      <c r="I644" s="26">
        <f t="shared" si="199"/>
        <v>1739.5397391018237</v>
      </c>
      <c r="J644" s="91" t="s">
        <v>572</v>
      </c>
      <c r="K644" s="25" t="s">
        <v>575</v>
      </c>
      <c r="L644" s="26">
        <v>1247.9958128324222</v>
      </c>
      <c r="M644" s="26">
        <v>756.45188656302082</v>
      </c>
      <c r="N644" s="26">
        <v>1739.5397391018237</v>
      </c>
      <c r="O644" s="26">
        <v>2087.459289677106</v>
      </c>
      <c r="P644" s="26">
        <f t="shared" si="198"/>
        <v>2087.459289677106</v>
      </c>
      <c r="Q644" s="25" t="s">
        <v>607</v>
      </c>
      <c r="R644" s="26" t="s">
        <v>13</v>
      </c>
      <c r="T644" s="44"/>
      <c r="Y644" s="26"/>
      <c r="Z644" s="26"/>
      <c r="AA644" s="26"/>
      <c r="AC644" s="77"/>
      <c r="AF644" s="26"/>
      <c r="AG644" s="25" t="s">
        <v>13</v>
      </c>
      <c r="AQ644" s="29"/>
      <c r="BF644" s="26"/>
      <c r="BG644" s="26"/>
      <c r="BH644" s="83"/>
      <c r="BL644" s="26" t="s">
        <v>13</v>
      </c>
      <c r="BM644" s="25" t="s">
        <v>13</v>
      </c>
    </row>
    <row r="645" spans="1:65">
      <c r="A645" s="7" t="s">
        <v>574</v>
      </c>
      <c r="B645" s="25" t="s">
        <v>626</v>
      </c>
      <c r="C645" s="62">
        <v>71.052000000000007</v>
      </c>
      <c r="D645" s="62"/>
      <c r="F645" s="26">
        <f t="shared" si="197"/>
        <v>3459.9349892781856</v>
      </c>
      <c r="G645" s="25" t="s">
        <v>389</v>
      </c>
      <c r="H645" s="26">
        <f t="shared" si="199"/>
        <v>2740.8399819996466</v>
      </c>
      <c r="I645" s="26">
        <f t="shared" si="199"/>
        <v>4179.0299965567247</v>
      </c>
      <c r="J645" s="91" t="s">
        <v>572</v>
      </c>
      <c r="K645" s="25" t="s">
        <v>575</v>
      </c>
      <c r="L645" s="26">
        <v>3459.9349892781856</v>
      </c>
      <c r="M645" s="26">
        <v>2740.8399819996466</v>
      </c>
      <c r="N645" s="26">
        <v>4179.0299965567247</v>
      </c>
      <c r="O645" s="26">
        <v>4350.2555438438249</v>
      </c>
      <c r="P645" s="26">
        <f t="shared" si="198"/>
        <v>4350.2555438438249</v>
      </c>
      <c r="Q645" s="25" t="s">
        <v>608</v>
      </c>
      <c r="R645" s="26" t="s">
        <v>13</v>
      </c>
      <c r="T645" s="44"/>
      <c r="Y645" s="26"/>
      <c r="Z645" s="26"/>
      <c r="AA645" s="26"/>
      <c r="AC645" s="77"/>
      <c r="AF645" s="26"/>
      <c r="AG645" s="25" t="s">
        <v>13</v>
      </c>
      <c r="AQ645" s="29"/>
      <c r="BF645" s="26"/>
      <c r="BG645" s="26"/>
      <c r="BH645" s="83"/>
      <c r="BL645" s="26" t="s">
        <v>13</v>
      </c>
      <c r="BM645" s="25" t="s">
        <v>13</v>
      </c>
    </row>
    <row r="646" spans="1:65">
      <c r="A646" s="7" t="s">
        <v>574</v>
      </c>
      <c r="B646" s="25" t="s">
        <v>626</v>
      </c>
      <c r="C646" s="62">
        <v>71.433000000000007</v>
      </c>
      <c r="D646" s="62"/>
      <c r="F646" s="26">
        <f t="shared" si="197"/>
        <v>1553.2988396651897</v>
      </c>
      <c r="G646" s="25" t="s">
        <v>389</v>
      </c>
      <c r="H646" s="26">
        <f t="shared" si="199"/>
        <v>1098.8000529517453</v>
      </c>
      <c r="I646" s="26">
        <f t="shared" si="199"/>
        <v>2007.797626378634</v>
      </c>
      <c r="J646" s="91" t="s">
        <v>572</v>
      </c>
      <c r="K646" s="25" t="s">
        <v>575</v>
      </c>
      <c r="L646" s="26">
        <v>1553.2988396651897</v>
      </c>
      <c r="M646" s="26">
        <v>1098.8000529517453</v>
      </c>
      <c r="N646" s="26">
        <v>2007.797626378634</v>
      </c>
      <c r="O646" s="26">
        <v>2851.4440112255725</v>
      </c>
      <c r="P646" s="26">
        <f t="shared" si="198"/>
        <v>2851.4440112255725</v>
      </c>
      <c r="Q646" s="25" t="s">
        <v>609</v>
      </c>
      <c r="R646" s="26" t="s">
        <v>13</v>
      </c>
      <c r="T646" s="44"/>
      <c r="Y646" s="26"/>
      <c r="Z646" s="26"/>
      <c r="AA646" s="26"/>
      <c r="AC646" s="77"/>
      <c r="AF646" s="26"/>
      <c r="AG646" s="25" t="s">
        <v>13</v>
      </c>
      <c r="AQ646" s="29"/>
      <c r="BF646" s="26"/>
      <c r="BG646" s="26"/>
      <c r="BH646" s="83"/>
      <c r="BL646" s="26" t="s">
        <v>13</v>
      </c>
      <c r="BM646" s="25" t="s">
        <v>13</v>
      </c>
    </row>
    <row r="647" spans="1:65">
      <c r="A647" s="7" t="s">
        <v>574</v>
      </c>
      <c r="B647" s="25" t="s">
        <v>626</v>
      </c>
      <c r="C647" s="62">
        <v>65.689953274000004</v>
      </c>
      <c r="D647" s="62"/>
      <c r="F647" s="26">
        <f t="shared" si="197"/>
        <v>1048.0015139379072</v>
      </c>
      <c r="G647" s="25" t="s">
        <v>389</v>
      </c>
      <c r="H647" s="26">
        <f t="shared" si="199"/>
        <v>745.86876541163042</v>
      </c>
      <c r="I647" s="26">
        <f t="shared" si="199"/>
        <v>1350.1342624641841</v>
      </c>
      <c r="J647" s="91" t="s">
        <v>572</v>
      </c>
      <c r="K647" s="25" t="s">
        <v>575</v>
      </c>
      <c r="L647" s="26">
        <v>1048.0015139379072</v>
      </c>
      <c r="M647" s="26">
        <v>745.86876541163042</v>
      </c>
      <c r="N647" s="26">
        <v>1350.1342624641841</v>
      </c>
      <c r="O647" s="26">
        <v>3131.2038609911929</v>
      </c>
      <c r="P647" s="26">
        <f t="shared" si="198"/>
        <v>3131.2038609911929</v>
      </c>
      <c r="Q647" s="25" t="s">
        <v>610</v>
      </c>
      <c r="R647" s="26" t="s">
        <v>13</v>
      </c>
      <c r="T647" s="44"/>
      <c r="Y647" s="26"/>
      <c r="Z647" s="26"/>
      <c r="AA647" s="26"/>
      <c r="AC647" s="77"/>
      <c r="AF647" s="26"/>
      <c r="AG647" s="25" t="s">
        <v>13</v>
      </c>
      <c r="AQ647" s="29"/>
      <c r="BF647" s="26"/>
      <c r="BG647" s="26"/>
      <c r="BH647" s="83"/>
      <c r="BL647" s="26" t="s">
        <v>13</v>
      </c>
      <c r="BM647" s="25" t="s">
        <v>13</v>
      </c>
    </row>
    <row r="648" spans="1:65">
      <c r="A648" s="7" t="s">
        <v>574</v>
      </c>
      <c r="B648" s="25" t="s">
        <v>626</v>
      </c>
      <c r="C648" s="62">
        <v>66.105821521599992</v>
      </c>
      <c r="D648" s="62"/>
      <c r="F648" s="26">
        <f t="shared" si="197"/>
        <v>700.59569801867121</v>
      </c>
      <c r="G648" s="25" t="s">
        <v>389</v>
      </c>
      <c r="H648" s="26">
        <f t="shared" si="199"/>
        <v>371.5115807710464</v>
      </c>
      <c r="I648" s="26">
        <f t="shared" si="199"/>
        <v>1029.6798152662959</v>
      </c>
      <c r="J648" s="91" t="s">
        <v>572</v>
      </c>
      <c r="K648" s="25" t="s">
        <v>575</v>
      </c>
      <c r="L648" s="26">
        <v>700.59569801867121</v>
      </c>
      <c r="M648" s="26">
        <v>371.5115807710464</v>
      </c>
      <c r="N648" s="26">
        <v>1029.6798152662959</v>
      </c>
      <c r="O648" s="26">
        <v>1682.0698013350523</v>
      </c>
      <c r="P648" s="26">
        <f t="shared" si="198"/>
        <v>1682.0698013350523</v>
      </c>
      <c r="Q648" s="25" t="s">
        <v>611</v>
      </c>
      <c r="R648" s="26" t="s">
        <v>13</v>
      </c>
      <c r="T648" s="44"/>
      <c r="Y648" s="26"/>
      <c r="Z648" s="26"/>
      <c r="AA648" s="26"/>
      <c r="AC648" s="77"/>
      <c r="AF648" s="26"/>
      <c r="AG648" s="25" t="s">
        <v>13</v>
      </c>
      <c r="AQ648" s="29"/>
      <c r="BF648" s="26"/>
      <c r="BG648" s="26"/>
      <c r="BH648" s="83"/>
      <c r="BL648" s="26" t="s">
        <v>13</v>
      </c>
      <c r="BM648" s="25" t="s">
        <v>13</v>
      </c>
    </row>
    <row r="649" spans="1:65">
      <c r="A649" s="7" t="s">
        <v>574</v>
      </c>
      <c r="B649" s="25" t="s">
        <v>626</v>
      </c>
      <c r="C649" s="62">
        <v>66.385051140000002</v>
      </c>
      <c r="D649" s="62"/>
      <c r="F649" s="26">
        <f t="shared" si="197"/>
        <v>1464.9175310512153</v>
      </c>
      <c r="G649" s="25" t="s">
        <v>389</v>
      </c>
      <c r="H649" s="26">
        <f t="shared" si="199"/>
        <v>970.96631312091131</v>
      </c>
      <c r="I649" s="26">
        <f t="shared" si="199"/>
        <v>1958.8687489815193</v>
      </c>
      <c r="J649" s="91" t="s">
        <v>572</v>
      </c>
      <c r="K649" s="25" t="s">
        <v>575</v>
      </c>
      <c r="L649" s="26">
        <v>1464.9175310512153</v>
      </c>
      <c r="M649" s="26">
        <v>970.96631312091131</v>
      </c>
      <c r="N649" s="26">
        <v>1958.8687489815193</v>
      </c>
      <c r="O649" s="26">
        <v>2415.3148157012192</v>
      </c>
      <c r="P649" s="26">
        <f t="shared" si="198"/>
        <v>2415.3148157012192</v>
      </c>
      <c r="Q649" s="25" t="s">
        <v>612</v>
      </c>
      <c r="R649" s="26" t="s">
        <v>13</v>
      </c>
      <c r="T649" s="44"/>
      <c r="Y649" s="26"/>
      <c r="Z649" s="26"/>
      <c r="AA649" s="26"/>
      <c r="AC649" s="77"/>
      <c r="AF649" s="26"/>
      <c r="AG649" s="25" t="s">
        <v>13</v>
      </c>
      <c r="AQ649" s="29"/>
      <c r="BF649" s="26"/>
      <c r="BG649" s="26"/>
      <c r="BH649" s="83"/>
      <c r="BL649" s="26" t="s">
        <v>13</v>
      </c>
      <c r="BM649" s="25" t="s">
        <v>13</v>
      </c>
    </row>
    <row r="650" spans="1:65">
      <c r="A650" s="7" t="s">
        <v>574</v>
      </c>
      <c r="B650" s="25" t="s">
        <v>626</v>
      </c>
      <c r="C650" s="62">
        <v>66.385051140000002</v>
      </c>
      <c r="D650" s="62"/>
      <c r="F650" s="26">
        <f t="shared" si="197"/>
        <v>1170.8763377459561</v>
      </c>
      <c r="G650" s="25" t="s">
        <v>389</v>
      </c>
      <c r="H650" s="26">
        <f t="shared" si="199"/>
        <v>776.70677734041988</v>
      </c>
      <c r="I650" s="26">
        <f t="shared" si="199"/>
        <v>1565.0458981514923</v>
      </c>
      <c r="J650" s="91" t="s">
        <v>572</v>
      </c>
      <c r="K650" s="25" t="s">
        <v>575</v>
      </c>
      <c r="L650" s="26">
        <v>1170.8763377459561</v>
      </c>
      <c r="M650" s="26">
        <v>776.70677734041988</v>
      </c>
      <c r="N650" s="26">
        <v>1565.0458981514923</v>
      </c>
      <c r="O650" s="26">
        <v>2415.3148157012192</v>
      </c>
      <c r="P650" s="26">
        <f t="shared" si="198"/>
        <v>2415.3148157012192</v>
      </c>
      <c r="Q650" s="25" t="s">
        <v>613</v>
      </c>
      <c r="R650" s="26" t="s">
        <v>13</v>
      </c>
      <c r="T650" s="44"/>
      <c r="Y650" s="26"/>
      <c r="Z650" s="26"/>
      <c r="AA650" s="26"/>
      <c r="AC650" s="77"/>
      <c r="AF650" s="26"/>
      <c r="AG650" s="25" t="s">
        <v>13</v>
      </c>
      <c r="AQ650" s="29"/>
      <c r="BF650" s="26"/>
      <c r="BG650" s="26"/>
      <c r="BH650" s="83"/>
      <c r="BL650" s="26" t="s">
        <v>13</v>
      </c>
      <c r="BM650" s="25" t="s">
        <v>13</v>
      </c>
    </row>
    <row r="651" spans="1:65">
      <c r="A651" s="7" t="s">
        <v>574</v>
      </c>
      <c r="B651" s="25" t="s">
        <v>626</v>
      </c>
      <c r="C651" s="62">
        <v>66.599370836000006</v>
      </c>
      <c r="D651" s="62"/>
      <c r="F651" s="26">
        <f t="shared" si="197"/>
        <v>868.32550952217503</v>
      </c>
      <c r="G651" s="25" t="s">
        <v>389</v>
      </c>
      <c r="H651" s="26">
        <f t="shared" si="199"/>
        <v>462.54891470422592</v>
      </c>
      <c r="I651" s="26">
        <f t="shared" si="199"/>
        <v>1274.1021043401242</v>
      </c>
      <c r="J651" s="91" t="s">
        <v>572</v>
      </c>
      <c r="K651" s="25" t="s">
        <v>575</v>
      </c>
      <c r="L651" s="26">
        <v>868.32550952217503</v>
      </c>
      <c r="M651" s="26">
        <v>462.54891470422592</v>
      </c>
      <c r="N651" s="26">
        <v>1274.1021043401242</v>
      </c>
      <c r="O651" s="26">
        <v>1686.1644484421495</v>
      </c>
      <c r="P651" s="26">
        <f t="shared" si="198"/>
        <v>1686.1644484421495</v>
      </c>
      <c r="Q651" s="25" t="s">
        <v>614</v>
      </c>
      <c r="R651" s="26" t="s">
        <v>13</v>
      </c>
      <c r="T651" s="44"/>
      <c r="Y651" s="26"/>
      <c r="Z651" s="26"/>
      <c r="AA651" s="26"/>
      <c r="AC651" s="77"/>
      <c r="AF651" s="26"/>
      <c r="AG651" s="25" t="s">
        <v>13</v>
      </c>
      <c r="AQ651" s="29"/>
      <c r="BF651" s="26"/>
      <c r="BG651" s="26"/>
      <c r="BH651" s="83"/>
      <c r="BL651" s="26" t="s">
        <v>13</v>
      </c>
      <c r="BM651" s="25" t="s">
        <v>13</v>
      </c>
    </row>
    <row r="652" spans="1:65">
      <c r="A652" s="7" t="s">
        <v>574</v>
      </c>
      <c r="B652" s="25" t="s">
        <v>626</v>
      </c>
      <c r="C652" s="62">
        <v>66.601964707999997</v>
      </c>
      <c r="D652" s="62"/>
      <c r="F652" s="26">
        <f t="shared" si="197"/>
        <v>771.89664100694142</v>
      </c>
      <c r="G652" s="25" t="s">
        <v>389</v>
      </c>
      <c r="H652" s="26">
        <f t="shared" si="199"/>
        <v>410.24985475869397</v>
      </c>
      <c r="I652" s="26">
        <f t="shared" si="199"/>
        <v>1133.5434272551888</v>
      </c>
      <c r="J652" s="91" t="s">
        <v>572</v>
      </c>
      <c r="K652" s="25" t="s">
        <v>575</v>
      </c>
      <c r="L652" s="26">
        <v>771.89664100694142</v>
      </c>
      <c r="M652" s="26">
        <v>410.24985475869397</v>
      </c>
      <c r="N652" s="26">
        <v>1133.5434272551888</v>
      </c>
      <c r="O652" s="26">
        <v>1686.1851846919326</v>
      </c>
      <c r="P652" s="26">
        <f t="shared" si="198"/>
        <v>1686.1851846919326</v>
      </c>
      <c r="Q652" s="25" t="s">
        <v>615</v>
      </c>
      <c r="R652" s="26" t="s">
        <v>13</v>
      </c>
      <c r="T652" s="44"/>
      <c r="Y652" s="26"/>
      <c r="Z652" s="26"/>
      <c r="AA652" s="26"/>
      <c r="AC652" s="77"/>
      <c r="AF652" s="26"/>
      <c r="AG652" s="25" t="s">
        <v>13</v>
      </c>
      <c r="AQ652" s="29"/>
      <c r="BF652" s="26"/>
      <c r="BG652" s="26"/>
      <c r="BH652" s="83"/>
      <c r="BL652" s="26" t="s">
        <v>13</v>
      </c>
      <c r="BM652" s="25" t="s">
        <v>13</v>
      </c>
    </row>
    <row r="653" spans="1:65">
      <c r="A653" s="7" t="s">
        <v>574</v>
      </c>
      <c r="B653" s="25" t="s">
        <v>626</v>
      </c>
      <c r="C653" s="62">
        <v>66.781067100399994</v>
      </c>
      <c r="D653" s="62"/>
      <c r="F653" s="26">
        <f t="shared" si="197"/>
        <v>348.07412517005054</v>
      </c>
      <c r="G653" s="25" t="s">
        <v>389</v>
      </c>
      <c r="H653" s="26">
        <f t="shared" si="199"/>
        <v>159.36125702574893</v>
      </c>
      <c r="I653" s="26">
        <f t="shared" si="199"/>
        <v>536.78699331435212</v>
      </c>
      <c r="J653" s="91" t="s">
        <v>572</v>
      </c>
      <c r="K653" s="25" t="s">
        <v>575</v>
      </c>
      <c r="L653" s="26">
        <v>348.07412517005054</v>
      </c>
      <c r="M653" s="26">
        <v>159.36125702574893</v>
      </c>
      <c r="N653" s="26">
        <v>536.78699331435212</v>
      </c>
      <c r="O653" s="26">
        <v>1504.3219634227069</v>
      </c>
      <c r="P653" s="26">
        <f t="shared" si="198"/>
        <v>1504.3219634227069</v>
      </c>
      <c r="Q653" s="25" t="s">
        <v>616</v>
      </c>
      <c r="R653" s="26" t="s">
        <v>13</v>
      </c>
      <c r="T653" s="44"/>
      <c r="Y653" s="26"/>
      <c r="Z653" s="26"/>
      <c r="AA653" s="26"/>
      <c r="AC653" s="77"/>
      <c r="AF653" s="26"/>
      <c r="AG653" s="25" t="s">
        <v>13</v>
      </c>
      <c r="AQ653" s="29"/>
      <c r="BF653" s="26"/>
      <c r="BG653" s="26"/>
      <c r="BH653" s="83"/>
      <c r="BL653" s="26" t="s">
        <v>13</v>
      </c>
      <c r="BM653" s="25" t="s">
        <v>13</v>
      </c>
    </row>
    <row r="654" spans="1:65">
      <c r="A654" s="7" t="s">
        <v>574</v>
      </c>
      <c r="B654" s="25" t="s">
        <v>626</v>
      </c>
      <c r="C654" s="62">
        <v>69.179304213199998</v>
      </c>
      <c r="D654" s="62"/>
      <c r="F654" s="26">
        <f t="shared" si="197"/>
        <v>812.78490614422867</v>
      </c>
      <c r="G654" s="25" t="s">
        <v>389</v>
      </c>
      <c r="H654" s="26">
        <f t="shared" si="199"/>
        <v>496.46441778761385</v>
      </c>
      <c r="I654" s="26">
        <f t="shared" si="199"/>
        <v>1129.1053945008434</v>
      </c>
      <c r="J654" s="91" t="s">
        <v>572</v>
      </c>
      <c r="K654" s="25" t="s">
        <v>575</v>
      </c>
      <c r="L654" s="26">
        <v>812.78490614422867</v>
      </c>
      <c r="M654" s="26">
        <v>496.46441778761385</v>
      </c>
      <c r="N654" s="26">
        <v>1129.1053945008434</v>
      </c>
      <c r="O654" s="26">
        <v>2259.2668490396959</v>
      </c>
      <c r="P654" s="26">
        <f t="shared" si="198"/>
        <v>2259.2668490396959</v>
      </c>
      <c r="Q654" s="25" t="s">
        <v>617</v>
      </c>
      <c r="R654" s="26" t="s">
        <v>13</v>
      </c>
      <c r="T654" s="44"/>
      <c r="Y654" s="26"/>
      <c r="Z654" s="26"/>
      <c r="AA654" s="26"/>
      <c r="AC654" s="77"/>
      <c r="AF654" s="26"/>
      <c r="AG654" s="25" t="s">
        <v>13</v>
      </c>
      <c r="AQ654" s="29"/>
      <c r="BF654" s="26"/>
      <c r="BG654" s="26"/>
      <c r="BH654" s="83"/>
      <c r="BL654" s="26" t="s">
        <v>13</v>
      </c>
      <c r="BM654" s="25" t="s">
        <v>13</v>
      </c>
    </row>
    <row r="655" spans="1:65">
      <c r="A655" s="7" t="s">
        <v>574</v>
      </c>
      <c r="B655" s="25" t="s">
        <v>626</v>
      </c>
      <c r="C655" s="62">
        <v>72.105395659200013</v>
      </c>
      <c r="D655" s="62"/>
      <c r="F655" s="26">
        <f t="shared" si="197"/>
        <v>679.74246259962035</v>
      </c>
      <c r="G655" s="25" t="s">
        <v>389</v>
      </c>
      <c r="H655" s="26">
        <f t="shared" si="199"/>
        <v>442.57317002406421</v>
      </c>
      <c r="I655" s="26">
        <f t="shared" si="199"/>
        <v>916.91175517517649</v>
      </c>
      <c r="J655" s="91" t="s">
        <v>572</v>
      </c>
      <c r="K655" s="25" t="s">
        <v>575</v>
      </c>
      <c r="L655" s="26">
        <v>679.74246259962035</v>
      </c>
      <c r="M655" s="26">
        <v>442.57317002406421</v>
      </c>
      <c r="N655" s="26">
        <v>916.91175517517649</v>
      </c>
      <c r="O655" s="26">
        <v>2482.9955941865446</v>
      </c>
      <c r="P655" s="26">
        <f t="shared" si="198"/>
        <v>2482.9955941865446</v>
      </c>
      <c r="Q655" s="25" t="s">
        <v>618</v>
      </c>
      <c r="R655" s="26" t="s">
        <v>13</v>
      </c>
      <c r="T655" s="44"/>
      <c r="Y655" s="26"/>
      <c r="Z655" s="26"/>
      <c r="AA655" s="26"/>
      <c r="AC655" s="77"/>
      <c r="AF655" s="26"/>
      <c r="AG655" s="25" t="s">
        <v>13</v>
      </c>
      <c r="AQ655" s="29"/>
      <c r="BF655" s="26"/>
      <c r="BG655" s="26"/>
      <c r="BH655" s="83"/>
      <c r="BL655" s="26" t="s">
        <v>13</v>
      </c>
      <c r="BM655" s="25" t="s">
        <v>13</v>
      </c>
    </row>
    <row r="656" spans="1:65">
      <c r="A656" s="7" t="s">
        <v>574</v>
      </c>
      <c r="B656" s="25" t="s">
        <v>626</v>
      </c>
      <c r="C656" s="62">
        <v>72.275895462800008</v>
      </c>
      <c r="D656" s="62"/>
      <c r="F656" s="26">
        <f t="shared" si="197"/>
        <v>992.1347225203973</v>
      </c>
      <c r="G656" s="25" t="s">
        <v>389</v>
      </c>
      <c r="H656" s="26">
        <f t="shared" si="199"/>
        <v>701.02945910218614</v>
      </c>
      <c r="I656" s="26">
        <f t="shared" si="199"/>
        <v>1283.2399859386085</v>
      </c>
      <c r="J656" s="91" t="s">
        <v>572</v>
      </c>
      <c r="K656" s="25" t="s">
        <v>575</v>
      </c>
      <c r="L656" s="26">
        <v>992.1347225203973</v>
      </c>
      <c r="M656" s="26">
        <v>701.02945910218614</v>
      </c>
      <c r="N656" s="26">
        <v>1283.2399859386085</v>
      </c>
      <c r="O656" s="26">
        <v>3054.0158164386685</v>
      </c>
      <c r="P656" s="26">
        <f t="shared" si="198"/>
        <v>3054.0158164386685</v>
      </c>
      <c r="Q656" s="25" t="s">
        <v>619</v>
      </c>
      <c r="R656" s="26" t="s">
        <v>13</v>
      </c>
      <c r="T656" s="44"/>
      <c r="Y656" s="26"/>
      <c r="Z656" s="26"/>
      <c r="AA656" s="26"/>
      <c r="AC656" s="77"/>
      <c r="AF656" s="26"/>
      <c r="AG656" s="25" t="s">
        <v>13</v>
      </c>
      <c r="AQ656" s="29"/>
      <c r="BF656" s="26"/>
      <c r="BG656" s="26"/>
      <c r="BH656" s="83"/>
      <c r="BL656" s="26" t="s">
        <v>13</v>
      </c>
      <c r="BM656" s="25" t="s">
        <v>13</v>
      </c>
    </row>
    <row r="657" spans="1:65">
      <c r="A657" s="7" t="s">
        <v>574</v>
      </c>
      <c r="B657" s="25" t="s">
        <v>626</v>
      </c>
      <c r="C657" s="62">
        <v>72.551166512799995</v>
      </c>
      <c r="D657" s="62"/>
      <c r="F657" s="26">
        <f t="shared" si="197"/>
        <v>2454.498614153687</v>
      </c>
      <c r="G657" s="25" t="s">
        <v>389</v>
      </c>
      <c r="H657" s="26">
        <f t="shared" si="199"/>
        <v>1569.9678642750491</v>
      </c>
      <c r="I657" s="26">
        <f t="shared" si="199"/>
        <v>3339.0293640323248</v>
      </c>
      <c r="J657" s="91" t="s">
        <v>572</v>
      </c>
      <c r="K657" s="25" t="s">
        <v>575</v>
      </c>
      <c r="L657" s="26">
        <v>2454.498614153687</v>
      </c>
      <c r="M657" s="26">
        <v>1569.9678642750491</v>
      </c>
      <c r="N657" s="26">
        <v>3339.0293640323248</v>
      </c>
      <c r="O657" s="26">
        <v>2487.9129654127955</v>
      </c>
      <c r="P657" s="26">
        <f t="shared" si="198"/>
        <v>2487.9129654127955</v>
      </c>
      <c r="Q657" s="25" t="s">
        <v>620</v>
      </c>
      <c r="R657" s="26" t="s">
        <v>13</v>
      </c>
      <c r="T657" s="44"/>
      <c r="Y657" s="26"/>
      <c r="Z657" s="26"/>
      <c r="AA657" s="26"/>
      <c r="AC657" s="77"/>
      <c r="AF657" s="26"/>
      <c r="AG657" s="25" t="s">
        <v>13</v>
      </c>
      <c r="AQ657" s="29"/>
      <c r="BF657" s="26"/>
      <c r="BG657" s="26"/>
      <c r="BH657" s="83"/>
      <c r="BL657" s="26" t="s">
        <v>13</v>
      </c>
      <c r="BM657" s="25" t="s">
        <v>13</v>
      </c>
    </row>
    <row r="658" spans="1:65">
      <c r="A658" s="7" t="s">
        <v>574</v>
      </c>
      <c r="B658" s="25" t="s">
        <v>626</v>
      </c>
      <c r="C658" s="62">
        <v>72.979684636400009</v>
      </c>
      <c r="D658" s="62"/>
      <c r="F658" s="26">
        <f t="shared" si="197"/>
        <v>1472.5479650751213</v>
      </c>
      <c r="G658" s="25" t="s">
        <v>389</v>
      </c>
      <c r="H658" s="26">
        <f t="shared" si="199"/>
        <v>951.97581474259766</v>
      </c>
      <c r="I658" s="26">
        <f t="shared" si="199"/>
        <v>1993.1201154076448</v>
      </c>
      <c r="J658" s="91" t="s">
        <v>572</v>
      </c>
      <c r="K658" s="25" t="s">
        <v>575</v>
      </c>
      <c r="L658" s="26">
        <v>1472.5479650751213</v>
      </c>
      <c r="M658" s="26">
        <v>951.97581474259766</v>
      </c>
      <c r="N658" s="26">
        <v>1993.1201154076448</v>
      </c>
      <c r="O658" s="26">
        <v>2302.38064334623</v>
      </c>
      <c r="P658" s="26">
        <f t="shared" si="198"/>
        <v>2302.38064334623</v>
      </c>
      <c r="Q658" s="25" t="s">
        <v>621</v>
      </c>
      <c r="R658" s="26" t="s">
        <v>13</v>
      </c>
      <c r="T658" s="44"/>
      <c r="Y658" s="26"/>
      <c r="Z658" s="26"/>
      <c r="AA658" s="26"/>
      <c r="AC658" s="77"/>
      <c r="AF658" s="26"/>
      <c r="AG658" s="25" t="s">
        <v>13</v>
      </c>
      <c r="AQ658" s="29"/>
      <c r="BF658" s="26"/>
      <c r="BG658" s="26"/>
      <c r="BH658" s="83"/>
      <c r="BL658" s="26" t="s">
        <v>13</v>
      </c>
      <c r="BM658" s="25" t="s">
        <v>13</v>
      </c>
    </row>
    <row r="659" spans="1:65">
      <c r="A659" s="7" t="s">
        <v>574</v>
      </c>
      <c r="B659" s="25" t="s">
        <v>626</v>
      </c>
      <c r="C659" s="62">
        <v>73.828140006000012</v>
      </c>
      <c r="D659" s="62"/>
      <c r="F659" s="26">
        <f t="shared" si="197"/>
        <v>1659.5458194648872</v>
      </c>
      <c r="G659" s="25" t="s">
        <v>389</v>
      </c>
      <c r="H659" s="26">
        <f t="shared" si="199"/>
        <v>1050.7469411425939</v>
      </c>
      <c r="I659" s="26">
        <f t="shared" si="199"/>
        <v>2268.3446977871808</v>
      </c>
      <c r="J659" s="91" t="s">
        <v>572</v>
      </c>
      <c r="K659" s="25" t="s">
        <v>575</v>
      </c>
      <c r="L659" s="26">
        <v>1659.5458194648872</v>
      </c>
      <c r="M659" s="26">
        <v>1050.7469411425939</v>
      </c>
      <c r="N659" s="26">
        <v>2268.3446977871808</v>
      </c>
      <c r="O659" s="26">
        <v>2691.5943121807181</v>
      </c>
      <c r="P659" s="26">
        <f t="shared" si="198"/>
        <v>2691.5943121807181</v>
      </c>
      <c r="Q659" s="25" t="s">
        <v>622</v>
      </c>
      <c r="R659" s="26" t="s">
        <v>13</v>
      </c>
      <c r="T659" s="44"/>
      <c r="Y659" s="26"/>
      <c r="Z659" s="26"/>
      <c r="AA659" s="26"/>
      <c r="AC659" s="77"/>
      <c r="AF659" s="26"/>
      <c r="AG659" s="25" t="s">
        <v>13</v>
      </c>
      <c r="AQ659" s="29"/>
      <c r="BF659" s="26"/>
      <c r="BG659" s="26"/>
      <c r="BH659" s="83"/>
      <c r="BL659" s="26" t="s">
        <v>13</v>
      </c>
      <c r="BM659" s="25" t="s">
        <v>13</v>
      </c>
    </row>
    <row r="660" spans="1:65">
      <c r="A660" s="7" t="s">
        <v>574</v>
      </c>
      <c r="B660" s="25" t="s">
        <v>626</v>
      </c>
      <c r="C660" s="62">
        <v>74.225920737600006</v>
      </c>
      <c r="D660" s="62"/>
      <c r="F660" s="26">
        <f t="shared" si="197"/>
        <v>1395.6622546753149</v>
      </c>
      <c r="G660" s="25" t="s">
        <v>389</v>
      </c>
      <c r="H660" s="26">
        <f t="shared" si="199"/>
        <v>862.47563336407336</v>
      </c>
      <c r="I660" s="26">
        <f t="shared" si="199"/>
        <v>1928.8488759865563</v>
      </c>
      <c r="J660" s="91" t="s">
        <v>572</v>
      </c>
      <c r="K660" s="25" t="s">
        <v>575</v>
      </c>
      <c r="L660" s="26">
        <v>1395.6622546753149</v>
      </c>
      <c r="M660" s="26">
        <v>862.47563336407336</v>
      </c>
      <c r="N660" s="26">
        <v>1928.8488759865563</v>
      </c>
      <c r="O660" s="26">
        <v>2504.4082987410056</v>
      </c>
      <c r="P660" s="26">
        <f t="shared" si="198"/>
        <v>2504.4082987410056</v>
      </c>
      <c r="Q660" s="25" t="s">
        <v>623</v>
      </c>
      <c r="R660" s="26" t="s">
        <v>13</v>
      </c>
      <c r="T660" s="44"/>
      <c r="Y660" s="26"/>
      <c r="Z660" s="26"/>
      <c r="AA660" s="26"/>
      <c r="AC660" s="77"/>
      <c r="AF660" s="26"/>
      <c r="AG660" s="25" t="s">
        <v>13</v>
      </c>
      <c r="AQ660" s="29"/>
      <c r="BF660" s="26"/>
      <c r="BG660" s="26"/>
      <c r="BH660" s="83"/>
      <c r="BL660" s="26" t="s">
        <v>13</v>
      </c>
      <c r="BM660" s="25" t="s">
        <v>13</v>
      </c>
    </row>
    <row r="661" spans="1:65">
      <c r="A661" s="7" t="s">
        <v>574</v>
      </c>
      <c r="B661" s="25" t="s">
        <v>626</v>
      </c>
      <c r="C661" s="62">
        <v>75.357603475200008</v>
      </c>
      <c r="D661" s="62"/>
      <c r="F661" s="26">
        <f t="shared" si="197"/>
        <v>2203.3262717435473</v>
      </c>
      <c r="G661" s="25" t="s">
        <v>389</v>
      </c>
      <c r="H661" s="26">
        <f t="shared" si="199"/>
        <v>1428.603116968025</v>
      </c>
      <c r="I661" s="26">
        <f t="shared" si="199"/>
        <v>2978.0494265190696</v>
      </c>
      <c r="J661" s="91" t="s">
        <v>572</v>
      </c>
      <c r="K661" s="25" t="s">
        <v>575</v>
      </c>
      <c r="L661" s="26">
        <v>2203.3262717435473</v>
      </c>
      <c r="M661" s="26">
        <v>1428.603116968025</v>
      </c>
      <c r="N661" s="26">
        <v>2978.0494265190696</v>
      </c>
      <c r="O661" s="26">
        <v>2324.2367240137792</v>
      </c>
      <c r="P661" s="26">
        <f t="shared" si="198"/>
        <v>2324.2367240137792</v>
      </c>
      <c r="Q661" s="25" t="s">
        <v>624</v>
      </c>
      <c r="R661" s="26" t="s">
        <v>13</v>
      </c>
      <c r="T661" s="44"/>
      <c r="Y661" s="26"/>
      <c r="Z661" s="26"/>
      <c r="AA661" s="26"/>
      <c r="AC661" s="77"/>
      <c r="AF661" s="26"/>
      <c r="AG661" s="25" t="s">
        <v>13</v>
      </c>
      <c r="AQ661" s="29"/>
      <c r="BF661" s="26"/>
      <c r="BG661" s="26"/>
      <c r="BH661" s="83"/>
      <c r="BL661" s="26" t="s">
        <v>13</v>
      </c>
      <c r="BM661" s="25" t="s">
        <v>13</v>
      </c>
    </row>
    <row r="662" spans="1:65">
      <c r="A662" s="7" t="s">
        <v>574</v>
      </c>
      <c r="B662" s="25" t="s">
        <v>626</v>
      </c>
      <c r="C662" s="62">
        <v>75.772203071999996</v>
      </c>
      <c r="F662" s="26">
        <f t="shared" si="197"/>
        <v>1737.8665267649583</v>
      </c>
      <c r="G662" s="25" t="s">
        <v>389</v>
      </c>
      <c r="H662" s="26">
        <f t="shared" si="199"/>
        <v>1122.3118529575113</v>
      </c>
      <c r="I662" s="26">
        <f t="shared" si="199"/>
        <v>2353.4212005724053</v>
      </c>
      <c r="J662" s="91" t="s">
        <v>572</v>
      </c>
      <c r="K662" s="25" t="s">
        <v>575</v>
      </c>
      <c r="L662" s="26">
        <v>1737.8665267649583</v>
      </c>
      <c r="M662" s="26">
        <v>1122.3118529575113</v>
      </c>
      <c r="N662" s="26">
        <v>2353.4212005724053</v>
      </c>
      <c r="O662" s="26">
        <v>2522.2900174459414</v>
      </c>
      <c r="P662" s="26">
        <f t="shared" si="198"/>
        <v>2522.2900174459414</v>
      </c>
      <c r="Q662" s="25" t="s">
        <v>625</v>
      </c>
      <c r="R662" s="26" t="s">
        <v>13</v>
      </c>
      <c r="T662" s="44"/>
      <c r="Y662" s="26"/>
      <c r="Z662" s="26"/>
      <c r="AA662" s="26"/>
      <c r="AC662" s="77"/>
      <c r="AF662" s="26"/>
      <c r="AG662" s="25" t="s">
        <v>13</v>
      </c>
      <c r="AQ662" s="29"/>
      <c r="BF662" s="26"/>
      <c r="BG662" s="26"/>
      <c r="BH662" s="83"/>
      <c r="BL662" s="26" t="s">
        <v>13</v>
      </c>
      <c r="BM662" s="25" t="s">
        <v>13</v>
      </c>
    </row>
    <row r="663" spans="1:65">
      <c r="A663" s="7" t="s">
        <v>643</v>
      </c>
      <c r="B663" s="25" t="s">
        <v>645</v>
      </c>
      <c r="C663" s="62">
        <v>7.1425000000000001</v>
      </c>
      <c r="F663" s="26">
        <f t="shared" si="197"/>
        <v>225</v>
      </c>
      <c r="G663" s="25" t="s">
        <v>239</v>
      </c>
      <c r="H663" s="26">
        <f t="shared" si="199"/>
        <v>110.01082187385801</v>
      </c>
      <c r="I663" s="26">
        <f t="shared" si="199"/>
        <v>523.65841664411505</v>
      </c>
      <c r="J663" s="23" t="s">
        <v>644</v>
      </c>
      <c r="K663" s="23" t="s">
        <v>400</v>
      </c>
      <c r="L663" s="26">
        <v>225</v>
      </c>
      <c r="M663" s="26">
        <v>110.01082187385801</v>
      </c>
      <c r="N663" s="26">
        <v>523.65841664411505</v>
      </c>
      <c r="O663" s="25">
        <v>440</v>
      </c>
      <c r="P663" s="26">
        <f t="shared" si="198"/>
        <v>440</v>
      </c>
      <c r="Q663" s="92" t="s">
        <v>646</v>
      </c>
      <c r="R663" s="26" t="s">
        <v>13</v>
      </c>
      <c r="T663" s="44"/>
      <c r="Y663" s="26"/>
      <c r="Z663" s="26"/>
      <c r="AA663" s="26"/>
      <c r="AC663" s="77"/>
      <c r="AF663" s="26"/>
      <c r="AG663" s="25" t="s">
        <v>13</v>
      </c>
      <c r="AQ663" s="29"/>
      <c r="BF663" s="26"/>
      <c r="BG663" s="26"/>
      <c r="BH663" s="83"/>
      <c r="BL663" s="26" t="s">
        <v>13</v>
      </c>
      <c r="BM663" s="25" t="s">
        <v>13</v>
      </c>
    </row>
    <row r="664" spans="1:65">
      <c r="A664" s="7" t="s">
        <v>643</v>
      </c>
      <c r="B664" s="25" t="s">
        <v>645</v>
      </c>
      <c r="C664" s="62">
        <v>7.4276</v>
      </c>
      <c r="F664" s="26">
        <f t="shared" si="197"/>
        <v>92</v>
      </c>
      <c r="G664" s="25" t="s">
        <v>239</v>
      </c>
      <c r="H664" s="26">
        <f t="shared" si="199"/>
        <v>44.104022883341202</v>
      </c>
      <c r="I664" s="26">
        <f t="shared" si="199"/>
        <v>219.152516545602</v>
      </c>
      <c r="J664" s="23" t="s">
        <v>644</v>
      </c>
      <c r="K664" s="23" t="s">
        <v>400</v>
      </c>
      <c r="L664" s="26">
        <v>92</v>
      </c>
      <c r="M664" s="26">
        <v>44.104022883341202</v>
      </c>
      <c r="N664" s="26">
        <v>219.152516545602</v>
      </c>
      <c r="O664" s="25">
        <v>440</v>
      </c>
      <c r="P664" s="26">
        <f t="shared" si="198"/>
        <v>440</v>
      </c>
      <c r="Q664" s="92" t="s">
        <v>646</v>
      </c>
      <c r="R664" s="26" t="s">
        <v>13</v>
      </c>
      <c r="T664" s="44"/>
      <c r="Y664" s="26"/>
      <c r="Z664" s="26"/>
      <c r="AA664" s="26"/>
      <c r="AC664" s="77"/>
      <c r="AF664" s="26"/>
      <c r="AG664" s="25" t="s">
        <v>13</v>
      </c>
      <c r="AQ664" s="29"/>
      <c r="BF664" s="26"/>
      <c r="BG664" s="26"/>
      <c r="BH664" s="83"/>
      <c r="BL664" s="26" t="s">
        <v>13</v>
      </c>
      <c r="BM664" s="25" t="s">
        <v>13</v>
      </c>
    </row>
    <row r="665" spans="1:65">
      <c r="A665" s="7" t="s">
        <v>643</v>
      </c>
      <c r="B665" s="25" t="s">
        <v>645</v>
      </c>
      <c r="C665" s="62">
        <v>7.8322000000000003</v>
      </c>
      <c r="F665" s="26">
        <f t="shared" si="197"/>
        <v>238</v>
      </c>
      <c r="G665" s="25" t="s">
        <v>239</v>
      </c>
      <c r="H665" s="26">
        <f t="shared" si="199"/>
        <v>116.87940849284701</v>
      </c>
      <c r="I665" s="26">
        <f t="shared" si="199"/>
        <v>567.31080133851799</v>
      </c>
      <c r="J665" s="23" t="s">
        <v>644</v>
      </c>
      <c r="K665" s="23" t="s">
        <v>400</v>
      </c>
      <c r="L665" s="26">
        <v>238</v>
      </c>
      <c r="M665" s="26">
        <v>116.87940849284701</v>
      </c>
      <c r="N665" s="26">
        <v>567.31080133851799</v>
      </c>
      <c r="O665" s="25">
        <v>440</v>
      </c>
      <c r="P665" s="26">
        <f t="shared" si="198"/>
        <v>440</v>
      </c>
      <c r="Q665" s="92" t="s">
        <v>646</v>
      </c>
      <c r="R665" s="26" t="s">
        <v>13</v>
      </c>
      <c r="T665" s="44"/>
      <c r="Y665" s="26"/>
      <c r="Z665" s="26"/>
      <c r="AA665" s="26"/>
      <c r="AC665" s="77"/>
      <c r="AF665" s="26"/>
      <c r="AG665" s="25" t="s">
        <v>13</v>
      </c>
      <c r="AQ665" s="29"/>
      <c r="BF665" s="26"/>
      <c r="BG665" s="26"/>
      <c r="BH665" s="83"/>
      <c r="BL665" s="26" t="s">
        <v>13</v>
      </c>
      <c r="BM665" s="25" t="s">
        <v>13</v>
      </c>
    </row>
    <row r="666" spans="1:65">
      <c r="A666" s="7" t="s">
        <v>643</v>
      </c>
      <c r="B666" s="25" t="s">
        <v>645</v>
      </c>
      <c r="C666" s="62">
        <v>9.8542000000000005</v>
      </c>
      <c r="F666" s="26">
        <f t="shared" si="197"/>
        <v>192</v>
      </c>
      <c r="G666" s="25" t="s">
        <v>239</v>
      </c>
      <c r="H666" s="26">
        <f t="shared" si="199"/>
        <v>95.450065275234294</v>
      </c>
      <c r="I666" s="26">
        <f t="shared" si="199"/>
        <v>452.85002003484601</v>
      </c>
      <c r="J666" s="23" t="s">
        <v>644</v>
      </c>
      <c r="K666" s="23" t="s">
        <v>400</v>
      </c>
      <c r="L666" s="26">
        <v>192</v>
      </c>
      <c r="M666" s="26">
        <v>95.450065275234294</v>
      </c>
      <c r="N666" s="26">
        <v>452.85002003484601</v>
      </c>
      <c r="O666" s="25">
        <v>440</v>
      </c>
      <c r="P666" s="26">
        <f t="shared" si="198"/>
        <v>440</v>
      </c>
      <c r="Q666" s="92" t="s">
        <v>646</v>
      </c>
      <c r="R666" s="26" t="s">
        <v>13</v>
      </c>
      <c r="T666" s="44"/>
      <c r="Y666" s="26"/>
      <c r="Z666" s="26"/>
      <c r="AA666" s="26"/>
      <c r="AC666" s="77"/>
      <c r="AF666" s="26"/>
      <c r="AG666" s="25" t="s">
        <v>13</v>
      </c>
      <c r="AQ666" s="29"/>
      <c r="BF666" s="26"/>
      <c r="BG666" s="26"/>
      <c r="BH666" s="83"/>
      <c r="BL666" s="26" t="s">
        <v>13</v>
      </c>
      <c r="BM666" s="25" t="s">
        <v>13</v>
      </c>
    </row>
    <row r="667" spans="1:65">
      <c r="A667" s="7" t="s">
        <v>643</v>
      </c>
      <c r="B667" s="25" t="s">
        <v>645</v>
      </c>
      <c r="C667" s="62">
        <v>10.7272</v>
      </c>
      <c r="F667" s="26">
        <f t="shared" si="197"/>
        <v>208</v>
      </c>
      <c r="G667" s="25" t="s">
        <v>239</v>
      </c>
      <c r="H667" s="26">
        <f t="shared" si="199"/>
        <v>98.7527001354552</v>
      </c>
      <c r="I667" s="26">
        <f t="shared" si="199"/>
        <v>504.45639218034</v>
      </c>
      <c r="J667" s="23" t="s">
        <v>644</v>
      </c>
      <c r="K667" s="23" t="s">
        <v>400</v>
      </c>
      <c r="L667" s="26">
        <v>208</v>
      </c>
      <c r="M667" s="26">
        <v>98.7527001354552</v>
      </c>
      <c r="N667" s="26">
        <v>504.45639218034</v>
      </c>
      <c r="O667" s="25">
        <v>440</v>
      </c>
      <c r="P667" s="26">
        <f t="shared" si="198"/>
        <v>440</v>
      </c>
      <c r="Q667" s="92" t="s">
        <v>646</v>
      </c>
      <c r="R667" s="26" t="s">
        <v>13</v>
      </c>
      <c r="T667" s="44"/>
      <c r="Y667" s="26"/>
      <c r="Z667" s="26"/>
      <c r="AA667" s="26"/>
      <c r="AC667" s="77"/>
      <c r="AF667" s="26"/>
      <c r="AG667" s="25" t="s">
        <v>13</v>
      </c>
      <c r="AQ667" s="29"/>
      <c r="BF667" s="26"/>
      <c r="BG667" s="26"/>
      <c r="BH667" s="83"/>
      <c r="BL667" s="26" t="s">
        <v>13</v>
      </c>
      <c r="BM667" s="25" t="s">
        <v>13</v>
      </c>
    </row>
    <row r="668" spans="1:65">
      <c r="A668" s="7" t="s">
        <v>643</v>
      </c>
      <c r="B668" s="25" t="s">
        <v>645</v>
      </c>
      <c r="C668" s="62">
        <v>11.011900000000001</v>
      </c>
      <c r="F668" s="26">
        <f t="shared" si="197"/>
        <v>237</v>
      </c>
      <c r="G668" s="25" t="s">
        <v>239</v>
      </c>
      <c r="H668" s="26">
        <f t="shared" si="199"/>
        <v>98.855639223688399</v>
      </c>
      <c r="I668" s="26">
        <f t="shared" si="199"/>
        <v>580.775597648916</v>
      </c>
      <c r="J668" s="23" t="s">
        <v>644</v>
      </c>
      <c r="K668" s="23" t="s">
        <v>400</v>
      </c>
      <c r="L668" s="26">
        <v>237</v>
      </c>
      <c r="M668" s="26">
        <v>98.855639223688399</v>
      </c>
      <c r="N668" s="26">
        <v>580.775597648916</v>
      </c>
      <c r="O668" s="25">
        <v>440</v>
      </c>
      <c r="P668" s="26">
        <f t="shared" si="198"/>
        <v>440</v>
      </c>
      <c r="Q668" s="92" t="s">
        <v>646</v>
      </c>
      <c r="R668" s="26" t="s">
        <v>13</v>
      </c>
      <c r="T668" s="44"/>
      <c r="Y668" s="26"/>
      <c r="Z668" s="26"/>
      <c r="AA668" s="26"/>
      <c r="AC668" s="77"/>
      <c r="AF668" s="26"/>
      <c r="AG668" s="25" t="s">
        <v>13</v>
      </c>
      <c r="AQ668" s="29"/>
      <c r="BF668" s="26"/>
      <c r="BG668" s="26"/>
      <c r="BH668" s="83"/>
      <c r="BL668" s="26" t="s">
        <v>13</v>
      </c>
      <c r="BM668" s="25" t="s">
        <v>13</v>
      </c>
    </row>
    <row r="669" spans="1:65">
      <c r="A669" s="7" t="s">
        <v>643</v>
      </c>
      <c r="B669" s="25" t="s">
        <v>645</v>
      </c>
      <c r="C669" s="62">
        <v>11.796799999999999</v>
      </c>
      <c r="F669" s="26">
        <f t="shared" si="197"/>
        <v>144</v>
      </c>
      <c r="G669" s="25" t="s">
        <v>239</v>
      </c>
      <c r="H669" s="26">
        <f t="shared" si="199"/>
        <v>59.018435993595702</v>
      </c>
      <c r="I669" s="26">
        <f t="shared" si="199"/>
        <v>347.22686345625903</v>
      </c>
      <c r="J669" s="23" t="s">
        <v>644</v>
      </c>
      <c r="K669" s="23" t="s">
        <v>400</v>
      </c>
      <c r="L669" s="26">
        <v>144</v>
      </c>
      <c r="M669" s="26">
        <v>59.018435993595702</v>
      </c>
      <c r="N669" s="26">
        <v>347.22686345625903</v>
      </c>
      <c r="O669" s="25">
        <v>440</v>
      </c>
      <c r="P669" s="26">
        <f t="shared" si="198"/>
        <v>440</v>
      </c>
      <c r="Q669" s="92" t="s">
        <v>646</v>
      </c>
      <c r="R669" s="26" t="s">
        <v>13</v>
      </c>
      <c r="T669" s="44"/>
      <c r="Y669" s="26"/>
      <c r="Z669" s="26"/>
      <c r="AA669" s="26"/>
      <c r="AC669" s="77"/>
      <c r="AF669" s="26"/>
      <c r="AG669" s="25" t="s">
        <v>13</v>
      </c>
      <c r="AQ669" s="29"/>
      <c r="BF669" s="26"/>
      <c r="BG669" s="26"/>
      <c r="BH669" s="83"/>
      <c r="BL669" s="26" t="s">
        <v>13</v>
      </c>
      <c r="BM669" s="25" t="s">
        <v>13</v>
      </c>
    </row>
    <row r="670" spans="1:65">
      <c r="A670" s="7" t="s">
        <v>643</v>
      </c>
      <c r="B670" s="25" t="s">
        <v>645</v>
      </c>
      <c r="C670" s="62">
        <v>11.9244</v>
      </c>
      <c r="F670" s="26">
        <f t="shared" si="197"/>
        <v>138</v>
      </c>
      <c r="G670" s="25" t="s">
        <v>239</v>
      </c>
      <c r="H670" s="26">
        <f t="shared" si="199"/>
        <v>68.954392918345704</v>
      </c>
      <c r="I670" s="26">
        <f t="shared" si="199"/>
        <v>334.25837285491201</v>
      </c>
      <c r="J670" s="23" t="s">
        <v>644</v>
      </c>
      <c r="K670" s="23" t="s">
        <v>400</v>
      </c>
      <c r="L670" s="26">
        <v>138</v>
      </c>
      <c r="M670" s="26">
        <v>68.954392918345704</v>
      </c>
      <c r="N670" s="26">
        <v>334.25837285491201</v>
      </c>
      <c r="O670" s="25">
        <v>440</v>
      </c>
      <c r="P670" s="26">
        <f t="shared" si="198"/>
        <v>440</v>
      </c>
      <c r="Q670" s="92" t="s">
        <v>646</v>
      </c>
      <c r="R670" s="26" t="s">
        <v>13</v>
      </c>
      <c r="T670" s="44"/>
      <c r="Y670" s="26"/>
      <c r="Z670" s="26"/>
      <c r="AA670" s="26"/>
      <c r="AC670" s="77"/>
      <c r="AF670" s="26"/>
      <c r="AG670" s="25" t="s">
        <v>13</v>
      </c>
      <c r="AQ670" s="29"/>
      <c r="BF670" s="26"/>
      <c r="BG670" s="26"/>
      <c r="BH670" s="83"/>
      <c r="BL670" s="26" t="s">
        <v>13</v>
      </c>
      <c r="BM670" s="25" t="s">
        <v>13</v>
      </c>
    </row>
    <row r="671" spans="1:65">
      <c r="A671" s="7" t="s">
        <v>643</v>
      </c>
      <c r="B671" s="25" t="s">
        <v>645</v>
      </c>
      <c r="C671" s="62">
        <v>12.9087</v>
      </c>
      <c r="F671" s="26">
        <f t="shared" si="197"/>
        <v>258</v>
      </c>
      <c r="G671" s="25" t="s">
        <v>239</v>
      </c>
      <c r="H671" s="26">
        <f t="shared" si="199"/>
        <v>130.07698391344101</v>
      </c>
      <c r="I671" s="26">
        <f t="shared" si="199"/>
        <v>625.87956548717398</v>
      </c>
      <c r="J671" s="23" t="s">
        <v>644</v>
      </c>
      <c r="K671" s="23" t="s">
        <v>400</v>
      </c>
      <c r="L671" s="26">
        <v>258</v>
      </c>
      <c r="M671" s="26">
        <v>130.07698391344101</v>
      </c>
      <c r="N671" s="26">
        <v>625.87956548717398</v>
      </c>
      <c r="O671" s="25">
        <v>440</v>
      </c>
      <c r="P671" s="26">
        <f t="shared" si="198"/>
        <v>440</v>
      </c>
      <c r="Q671" s="92" t="s">
        <v>646</v>
      </c>
      <c r="R671" s="26" t="s">
        <v>13</v>
      </c>
      <c r="T671" s="44"/>
      <c r="Y671" s="26"/>
      <c r="Z671" s="26"/>
      <c r="AA671" s="26"/>
      <c r="AC671" s="77"/>
      <c r="AF671" s="26"/>
      <c r="AG671" s="25" t="s">
        <v>13</v>
      </c>
      <c r="AQ671" s="29"/>
      <c r="BF671" s="26"/>
      <c r="BG671" s="26"/>
      <c r="BH671" s="83"/>
      <c r="BL671" s="26" t="s">
        <v>13</v>
      </c>
      <c r="BM671" s="25" t="s">
        <v>13</v>
      </c>
    </row>
    <row r="672" spans="1:65">
      <c r="A672" s="7" t="s">
        <v>643</v>
      </c>
      <c r="B672" s="25" t="s">
        <v>645</v>
      </c>
      <c r="C672" s="62">
        <v>13.2295</v>
      </c>
      <c r="F672" s="26">
        <f t="shared" si="197"/>
        <v>312</v>
      </c>
      <c r="G672" s="25" t="s">
        <v>239</v>
      </c>
      <c r="H672" s="26">
        <f t="shared" si="199"/>
        <v>161.09025336284299</v>
      </c>
      <c r="I672" s="26">
        <f t="shared" si="199"/>
        <v>726.29766670407196</v>
      </c>
      <c r="J672" s="23" t="s">
        <v>644</v>
      </c>
      <c r="K672" s="23" t="s">
        <v>400</v>
      </c>
      <c r="L672" s="26">
        <v>312</v>
      </c>
      <c r="M672" s="26">
        <v>161.09025336284299</v>
      </c>
      <c r="N672" s="26">
        <v>726.29766670407196</v>
      </c>
      <c r="O672" s="25">
        <v>440</v>
      </c>
      <c r="P672" s="26">
        <f t="shared" si="198"/>
        <v>440</v>
      </c>
      <c r="Q672" s="92" t="s">
        <v>646</v>
      </c>
      <c r="R672" s="26" t="s">
        <v>13</v>
      </c>
      <c r="T672" s="44"/>
      <c r="Y672" s="26"/>
      <c r="Z672" s="26"/>
      <c r="AA672" s="26"/>
      <c r="AC672" s="77"/>
      <c r="AF672" s="26"/>
      <c r="AG672" s="25" t="s">
        <v>13</v>
      </c>
      <c r="AQ672" s="29"/>
      <c r="BF672" s="26"/>
      <c r="BG672" s="26"/>
      <c r="BH672" s="83"/>
      <c r="BL672" s="26" t="s">
        <v>13</v>
      </c>
      <c r="BM672" s="25" t="s">
        <v>13</v>
      </c>
    </row>
    <row r="673" spans="1:65">
      <c r="A673" s="7" t="s">
        <v>643</v>
      </c>
      <c r="B673" s="25" t="s">
        <v>645</v>
      </c>
      <c r="C673" s="62">
        <v>13.571400000000001</v>
      </c>
      <c r="F673" s="26">
        <f t="shared" si="197"/>
        <v>224</v>
      </c>
      <c r="G673" s="25" t="s">
        <v>239</v>
      </c>
      <c r="H673" s="26">
        <f t="shared" si="199"/>
        <v>97.742203675958905</v>
      </c>
      <c r="I673" s="26">
        <f t="shared" si="199"/>
        <v>538.90062914391103</v>
      </c>
      <c r="J673" s="23" t="s">
        <v>644</v>
      </c>
      <c r="K673" s="23" t="s">
        <v>400</v>
      </c>
      <c r="L673" s="26">
        <v>224</v>
      </c>
      <c r="M673" s="26">
        <v>97.742203675958905</v>
      </c>
      <c r="N673" s="26">
        <v>538.90062914391103</v>
      </c>
      <c r="O673" s="25">
        <v>440</v>
      </c>
      <c r="P673" s="26">
        <f t="shared" si="198"/>
        <v>440</v>
      </c>
      <c r="Q673" s="92" t="s">
        <v>646</v>
      </c>
      <c r="R673" s="26" t="s">
        <v>13</v>
      </c>
      <c r="T673" s="44"/>
      <c r="Y673" s="26"/>
      <c r="Z673" s="26"/>
      <c r="AA673" s="26"/>
      <c r="AC673" s="77"/>
      <c r="AF673" s="26"/>
      <c r="AG673" s="25" t="s">
        <v>13</v>
      </c>
      <c r="AQ673" s="29"/>
      <c r="BF673" s="26"/>
      <c r="BG673" s="26"/>
      <c r="BH673" s="83"/>
      <c r="BL673" s="26" t="s">
        <v>13</v>
      </c>
      <c r="BM673" s="25" t="s">
        <v>13</v>
      </c>
    </row>
    <row r="674" spans="1:65">
      <c r="A674" s="7" t="s">
        <v>643</v>
      </c>
      <c r="B674" s="25" t="s">
        <v>645</v>
      </c>
      <c r="C674" s="62">
        <v>13.980600000000001</v>
      </c>
      <c r="F674" s="26">
        <f t="shared" si="197"/>
        <v>353</v>
      </c>
      <c r="G674" s="25" t="s">
        <v>239</v>
      </c>
      <c r="H674" s="26">
        <f t="shared" ref="H674:I696" si="200">M674</f>
        <v>190.11365661358201</v>
      </c>
      <c r="I674" s="26">
        <f t="shared" si="200"/>
        <v>851.14299038364004</v>
      </c>
      <c r="J674" s="23" t="s">
        <v>644</v>
      </c>
      <c r="K674" s="23" t="s">
        <v>400</v>
      </c>
      <c r="L674" s="26">
        <v>353</v>
      </c>
      <c r="M674" s="26">
        <v>190.11365661358201</v>
      </c>
      <c r="N674" s="26">
        <v>851.14299038364004</v>
      </c>
      <c r="O674" s="25">
        <v>440</v>
      </c>
      <c r="P674" s="26">
        <f t="shared" si="198"/>
        <v>440</v>
      </c>
      <c r="Q674" s="92" t="s">
        <v>646</v>
      </c>
      <c r="R674" s="26" t="s">
        <v>13</v>
      </c>
      <c r="T674" s="44"/>
      <c r="Y674" s="26"/>
      <c r="Z674" s="26"/>
      <c r="AA674" s="26"/>
      <c r="AC674" s="77"/>
      <c r="AF674" s="26"/>
      <c r="AG674" s="25" t="s">
        <v>13</v>
      </c>
      <c r="AQ674" s="29"/>
      <c r="BF674" s="26"/>
      <c r="BG674" s="26"/>
      <c r="BH674" s="83"/>
      <c r="BL674" s="26" t="s">
        <v>13</v>
      </c>
      <c r="BM674" s="25" t="s">
        <v>13</v>
      </c>
    </row>
    <row r="675" spans="1:65">
      <c r="A675" s="7" t="s">
        <v>643</v>
      </c>
      <c r="B675" s="25" t="s">
        <v>645</v>
      </c>
      <c r="C675" s="62">
        <v>14.24</v>
      </c>
      <c r="F675" s="26">
        <f t="shared" si="197"/>
        <v>371</v>
      </c>
      <c r="G675" s="25" t="s">
        <v>239</v>
      </c>
      <c r="H675" s="26">
        <f t="shared" si="200"/>
        <v>191.05177314298999</v>
      </c>
      <c r="I675" s="26">
        <f t="shared" si="200"/>
        <v>889.32468571086497</v>
      </c>
      <c r="J675" s="23" t="s">
        <v>644</v>
      </c>
      <c r="K675" s="23" t="s">
        <v>400</v>
      </c>
      <c r="L675" s="26">
        <v>371</v>
      </c>
      <c r="M675" s="26">
        <v>191.05177314298999</v>
      </c>
      <c r="N675" s="26">
        <v>889.32468571086497</v>
      </c>
      <c r="O675" s="25">
        <v>440</v>
      </c>
      <c r="P675" s="26">
        <f t="shared" si="198"/>
        <v>440</v>
      </c>
      <c r="Q675" s="92" t="s">
        <v>646</v>
      </c>
      <c r="R675" s="26" t="s">
        <v>13</v>
      </c>
      <c r="T675" s="44"/>
      <c r="Y675" s="26"/>
      <c r="Z675" s="26"/>
      <c r="AA675" s="26"/>
      <c r="AC675" s="77"/>
      <c r="AF675" s="26"/>
      <c r="AG675" s="25" t="s">
        <v>13</v>
      </c>
      <c r="AQ675" s="29"/>
      <c r="BF675" s="26"/>
      <c r="BG675" s="26"/>
      <c r="BH675" s="83"/>
      <c r="BL675" s="26" t="s">
        <v>13</v>
      </c>
      <c r="BM675" s="25" t="s">
        <v>13</v>
      </c>
    </row>
    <row r="676" spans="1:65">
      <c r="A676" s="7" t="s">
        <v>643</v>
      </c>
      <c r="B676" s="25" t="s">
        <v>645</v>
      </c>
      <c r="C676" s="62">
        <v>14.636200000000001</v>
      </c>
      <c r="F676" s="26">
        <f t="shared" si="197"/>
        <v>374</v>
      </c>
      <c r="G676" s="25" t="s">
        <v>239</v>
      </c>
      <c r="H676" s="26">
        <f t="shared" si="200"/>
        <v>198.390061086873</v>
      </c>
      <c r="I676" s="26">
        <f t="shared" si="200"/>
        <v>869.98411066159099</v>
      </c>
      <c r="J676" s="23" t="s">
        <v>644</v>
      </c>
      <c r="K676" s="23" t="s">
        <v>400</v>
      </c>
      <c r="L676" s="26">
        <v>374</v>
      </c>
      <c r="M676" s="26">
        <v>198.390061086873</v>
      </c>
      <c r="N676" s="26">
        <v>869.98411066159099</v>
      </c>
      <c r="O676" s="25">
        <v>440</v>
      </c>
      <c r="P676" s="26">
        <f t="shared" si="198"/>
        <v>440</v>
      </c>
      <c r="Q676" s="92" t="s">
        <v>646</v>
      </c>
      <c r="R676" s="26" t="s">
        <v>13</v>
      </c>
      <c r="T676" s="44"/>
      <c r="Y676" s="26"/>
      <c r="Z676" s="26"/>
      <c r="AA676" s="26"/>
      <c r="AC676" s="77"/>
      <c r="AF676" s="26"/>
      <c r="AG676" s="25" t="s">
        <v>13</v>
      </c>
      <c r="AQ676" s="29"/>
      <c r="BF676" s="26"/>
      <c r="BG676" s="26"/>
      <c r="BH676" s="83"/>
      <c r="BL676" s="26" t="s">
        <v>13</v>
      </c>
      <c r="BM676" s="25" t="s">
        <v>13</v>
      </c>
    </row>
    <row r="677" spans="1:65">
      <c r="A677" s="7" t="s">
        <v>643</v>
      </c>
      <c r="B677" s="25" t="s">
        <v>645</v>
      </c>
      <c r="C677" s="62">
        <v>14.7575</v>
      </c>
      <c r="F677" s="26">
        <f t="shared" si="197"/>
        <v>255</v>
      </c>
      <c r="G677" s="25" t="s">
        <v>239</v>
      </c>
      <c r="H677" s="26">
        <f t="shared" si="200"/>
        <v>96.127042461368404</v>
      </c>
      <c r="I677" s="26">
        <f t="shared" si="200"/>
        <v>638.40296210665895</v>
      </c>
      <c r="J677" s="23" t="s">
        <v>644</v>
      </c>
      <c r="K677" s="23" t="s">
        <v>400</v>
      </c>
      <c r="L677" s="26">
        <v>255</v>
      </c>
      <c r="M677" s="26">
        <v>96.127042461368404</v>
      </c>
      <c r="N677" s="26">
        <v>638.40296210665895</v>
      </c>
      <c r="O677" s="25">
        <v>440</v>
      </c>
      <c r="P677" s="26">
        <f t="shared" si="198"/>
        <v>440</v>
      </c>
      <c r="Q677" s="92" t="s">
        <v>646</v>
      </c>
      <c r="R677" s="26" t="s">
        <v>13</v>
      </c>
      <c r="T677" s="44"/>
      <c r="Y677" s="26"/>
      <c r="Z677" s="26"/>
      <c r="AA677" s="26"/>
      <c r="AC677" s="77"/>
      <c r="AF677" s="26"/>
      <c r="AG677" s="25" t="s">
        <v>13</v>
      </c>
      <c r="AQ677" s="29"/>
      <c r="BF677" s="26"/>
      <c r="BG677" s="26"/>
      <c r="BH677" s="83"/>
      <c r="BL677" s="26" t="s">
        <v>13</v>
      </c>
      <c r="BM677" s="25" t="s">
        <v>13</v>
      </c>
    </row>
    <row r="678" spans="1:65">
      <c r="A678" s="7" t="s">
        <v>643</v>
      </c>
      <c r="B678" s="25" t="s">
        <v>645</v>
      </c>
      <c r="C678" s="62">
        <v>14.8817</v>
      </c>
      <c r="F678" s="26">
        <f>L678</f>
        <v>342</v>
      </c>
      <c r="G678" s="25" t="s">
        <v>239</v>
      </c>
      <c r="H678" s="26">
        <f t="shared" si="200"/>
        <v>178.44103431612501</v>
      </c>
      <c r="I678" s="26">
        <f t="shared" si="200"/>
        <v>809.48126310481598</v>
      </c>
      <c r="J678" s="23" t="s">
        <v>644</v>
      </c>
      <c r="K678" s="23" t="s">
        <v>400</v>
      </c>
      <c r="L678" s="26">
        <v>342</v>
      </c>
      <c r="M678" s="26">
        <v>178.44103431612501</v>
      </c>
      <c r="N678" s="26">
        <v>809.48126310481598</v>
      </c>
      <c r="O678" s="25">
        <v>440</v>
      </c>
      <c r="P678" s="26">
        <f>O678</f>
        <v>440</v>
      </c>
      <c r="Q678" s="92" t="s">
        <v>646</v>
      </c>
      <c r="R678" s="26" t="s">
        <v>13</v>
      </c>
      <c r="T678" s="44"/>
      <c r="Y678" s="26"/>
      <c r="Z678" s="26"/>
      <c r="AA678" s="26"/>
      <c r="AC678" s="77"/>
      <c r="AF678" s="26"/>
      <c r="AG678" s="25" t="s">
        <v>13</v>
      </c>
      <c r="AQ678" s="29"/>
      <c r="BF678" s="26"/>
      <c r="BG678" s="26"/>
      <c r="BH678" s="83"/>
      <c r="BL678" s="26" t="s">
        <v>13</v>
      </c>
      <c r="BM678" s="25" t="s">
        <v>13</v>
      </c>
    </row>
    <row r="679" spans="1:65">
      <c r="A679" s="7" t="s">
        <v>643</v>
      </c>
      <c r="B679" s="25" t="s">
        <v>645</v>
      </c>
      <c r="C679" s="62">
        <v>15.034000000000001</v>
      </c>
      <c r="F679" s="26">
        <f>L679</f>
        <v>264</v>
      </c>
      <c r="G679" s="25" t="s">
        <v>239</v>
      </c>
      <c r="H679" s="26">
        <f t="shared" si="200"/>
        <v>127.798647993971</v>
      </c>
      <c r="I679" s="26">
        <f t="shared" si="200"/>
        <v>607.39225175480703</v>
      </c>
      <c r="J679" s="23" t="s">
        <v>644</v>
      </c>
      <c r="K679" s="23" t="s">
        <v>400</v>
      </c>
      <c r="L679" s="26">
        <v>264</v>
      </c>
      <c r="M679" s="26">
        <v>127.798647993971</v>
      </c>
      <c r="N679" s="26">
        <v>607.39225175480703</v>
      </c>
      <c r="O679" s="25">
        <v>440</v>
      </c>
      <c r="P679" s="26">
        <f>O679</f>
        <v>440</v>
      </c>
      <c r="Q679" s="92" t="s">
        <v>646</v>
      </c>
      <c r="R679" s="26" t="s">
        <v>13</v>
      </c>
      <c r="T679" s="44"/>
      <c r="Y679" s="26"/>
      <c r="Z679" s="26"/>
      <c r="AA679" s="26"/>
      <c r="AC679" s="77"/>
      <c r="AF679" s="26"/>
      <c r="AG679" s="25" t="s">
        <v>13</v>
      </c>
      <c r="AQ679" s="29"/>
      <c r="BF679" s="26"/>
      <c r="BG679" s="26"/>
      <c r="BH679" s="83"/>
      <c r="BL679" s="26" t="s">
        <v>13</v>
      </c>
      <c r="BM679" s="25" t="s">
        <v>13</v>
      </c>
    </row>
    <row r="680" spans="1:65">
      <c r="A680" s="7" t="s">
        <v>643</v>
      </c>
      <c r="B680" s="25" t="s">
        <v>645</v>
      </c>
      <c r="C680" s="62">
        <v>15.184200000000001</v>
      </c>
      <c r="F680" s="26">
        <f>L680</f>
        <v>380</v>
      </c>
      <c r="G680" s="25" t="s">
        <v>239</v>
      </c>
      <c r="H680" s="26">
        <f t="shared" si="200"/>
        <v>201.59734580582901</v>
      </c>
      <c r="I680" s="26">
        <f t="shared" si="200"/>
        <v>894.86759722010504</v>
      </c>
      <c r="J680" s="23" t="s">
        <v>644</v>
      </c>
      <c r="K680" s="23" t="s">
        <v>400</v>
      </c>
      <c r="L680" s="26">
        <v>380</v>
      </c>
      <c r="M680" s="26">
        <v>201.59734580582901</v>
      </c>
      <c r="N680" s="26">
        <v>894.86759722010504</v>
      </c>
      <c r="O680" s="25">
        <v>440</v>
      </c>
      <c r="P680" s="26">
        <f>O680</f>
        <v>440</v>
      </c>
      <c r="Q680" s="92" t="s">
        <v>646</v>
      </c>
      <c r="R680" s="26" t="s">
        <v>13</v>
      </c>
      <c r="T680" s="44"/>
      <c r="Y680" s="26"/>
      <c r="Z680" s="26"/>
      <c r="AA680" s="26"/>
      <c r="AC680" s="77"/>
      <c r="AF680" s="26"/>
      <c r="AG680" s="25" t="s">
        <v>13</v>
      </c>
      <c r="AQ680" s="29"/>
      <c r="BF680" s="26"/>
      <c r="BG680" s="26"/>
      <c r="BH680" s="83"/>
      <c r="BL680" s="26" t="s">
        <v>13</v>
      </c>
      <c r="BM680" s="25" t="s">
        <v>13</v>
      </c>
    </row>
    <row r="681" spans="1:65">
      <c r="A681" s="7" t="s">
        <v>643</v>
      </c>
      <c r="B681" s="25" t="s">
        <v>645</v>
      </c>
      <c r="C681" s="62">
        <v>16.7624</v>
      </c>
      <c r="F681" s="26">
        <f>L681</f>
        <v>251</v>
      </c>
      <c r="G681" s="25" t="s">
        <v>239</v>
      </c>
      <c r="H681" s="26">
        <f t="shared" si="200"/>
        <v>134.87709661350601</v>
      </c>
      <c r="I681" s="26">
        <f t="shared" si="200"/>
        <v>607.60951586867895</v>
      </c>
      <c r="J681" s="23" t="s">
        <v>644</v>
      </c>
      <c r="K681" s="23" t="s">
        <v>400</v>
      </c>
      <c r="L681" s="26">
        <v>251</v>
      </c>
      <c r="M681" s="26">
        <v>134.87709661350601</v>
      </c>
      <c r="N681" s="26">
        <v>607.60951586867895</v>
      </c>
      <c r="O681" s="25">
        <v>440</v>
      </c>
      <c r="P681" s="26">
        <f>O681</f>
        <v>440</v>
      </c>
      <c r="Q681" s="92" t="s">
        <v>646</v>
      </c>
      <c r="R681" s="26" t="s">
        <v>13</v>
      </c>
      <c r="T681" s="44"/>
      <c r="Y681" s="26"/>
      <c r="Z681" s="26"/>
      <c r="AA681" s="26"/>
      <c r="AC681" s="77"/>
      <c r="AF681" s="26"/>
      <c r="AG681" s="25" t="s">
        <v>13</v>
      </c>
      <c r="BF681" s="26"/>
      <c r="BG681" s="26"/>
      <c r="BH681" s="83"/>
      <c r="BL681" s="26" t="s">
        <v>13</v>
      </c>
      <c r="BM681" s="25" t="s">
        <v>13</v>
      </c>
    </row>
    <row r="682" spans="1:65">
      <c r="A682" s="7" t="s">
        <v>714</v>
      </c>
      <c r="B682" s="25" t="s">
        <v>715</v>
      </c>
      <c r="C682" s="25">
        <v>252.3</v>
      </c>
      <c r="D682" s="25">
        <v>253.3</v>
      </c>
      <c r="E682" s="25">
        <v>251.3</v>
      </c>
      <c r="F682" s="26">
        <f>AVERAGE(H682:I682)</f>
        <v>988.5</v>
      </c>
      <c r="G682" s="25" t="s">
        <v>389</v>
      </c>
      <c r="H682" s="26">
        <f t="shared" si="200"/>
        <v>730</v>
      </c>
      <c r="I682" s="26">
        <f t="shared" si="200"/>
        <v>1247</v>
      </c>
      <c r="J682" s="91" t="s">
        <v>717</v>
      </c>
      <c r="K682" s="25" t="s">
        <v>718</v>
      </c>
      <c r="M682" s="25">
        <v>730</v>
      </c>
      <c r="N682" s="25">
        <v>1247</v>
      </c>
      <c r="O682" s="25" t="s">
        <v>716</v>
      </c>
      <c r="P682" s="25" t="s">
        <v>716</v>
      </c>
      <c r="Q682" s="25" t="s">
        <v>719</v>
      </c>
      <c r="R682" s="26" t="s">
        <v>13</v>
      </c>
      <c r="T682" s="44"/>
      <c r="Y682" s="26"/>
      <c r="Z682" s="26"/>
      <c r="AA682" s="26"/>
      <c r="AC682" s="77"/>
      <c r="AF682" s="26"/>
      <c r="AG682" s="25" t="s">
        <v>13</v>
      </c>
      <c r="BF682" s="26"/>
      <c r="BG682" s="26"/>
      <c r="BH682" s="83"/>
      <c r="BL682" s="26" t="s">
        <v>13</v>
      </c>
      <c r="BM682" s="25" t="s">
        <v>13</v>
      </c>
    </row>
    <row r="683" spans="1:65">
      <c r="A683" s="7" t="s">
        <v>714</v>
      </c>
      <c r="B683" s="25" t="s">
        <v>715</v>
      </c>
      <c r="C683" s="25">
        <v>252.3</v>
      </c>
      <c r="D683" s="25">
        <v>253.3</v>
      </c>
      <c r="E683" s="25">
        <v>251.3</v>
      </c>
      <c r="F683" s="26">
        <f>AVERAGE(H683:I683)</f>
        <v>1702.5</v>
      </c>
      <c r="G683" s="25" t="s">
        <v>389</v>
      </c>
      <c r="H683" s="26">
        <f t="shared" si="200"/>
        <v>1230</v>
      </c>
      <c r="I683" s="26">
        <f t="shared" si="200"/>
        <v>2175</v>
      </c>
      <c r="J683" s="91" t="s">
        <v>717</v>
      </c>
      <c r="K683" s="25" t="s">
        <v>718</v>
      </c>
      <c r="M683" s="25">
        <v>1230</v>
      </c>
      <c r="N683" s="25">
        <v>2175</v>
      </c>
      <c r="O683" s="25" t="s">
        <v>716</v>
      </c>
      <c r="P683" s="25" t="s">
        <v>716</v>
      </c>
      <c r="Q683" s="25" t="s">
        <v>720</v>
      </c>
      <c r="R683" s="26" t="s">
        <v>13</v>
      </c>
      <c r="T683" s="44"/>
      <c r="Y683" s="26"/>
      <c r="Z683" s="26"/>
      <c r="AA683" s="26"/>
      <c r="AC683" s="77"/>
      <c r="AF683" s="26"/>
      <c r="AG683" s="25" t="s">
        <v>13</v>
      </c>
      <c r="BF683" s="26"/>
      <c r="BG683" s="26"/>
      <c r="BH683" s="83"/>
      <c r="BL683" s="26" t="s">
        <v>13</v>
      </c>
      <c r="BM683" s="25" t="s">
        <v>13</v>
      </c>
    </row>
    <row r="684" spans="1:65">
      <c r="A684" s="7" t="s">
        <v>714</v>
      </c>
      <c r="B684" s="25" t="s">
        <v>715</v>
      </c>
      <c r="C684" s="25">
        <v>252.3</v>
      </c>
      <c r="D684" s="25">
        <v>253.3</v>
      </c>
      <c r="E684" s="25">
        <v>251.3</v>
      </c>
      <c r="F684" s="26">
        <f>AVERAGE(H684:I684)</f>
        <v>1181.5</v>
      </c>
      <c r="G684" s="25" t="s">
        <v>389</v>
      </c>
      <c r="H684" s="26">
        <f t="shared" si="200"/>
        <v>877</v>
      </c>
      <c r="I684" s="26">
        <f t="shared" si="200"/>
        <v>1486</v>
      </c>
      <c r="J684" s="91" t="s">
        <v>717</v>
      </c>
      <c r="K684" s="25" t="s">
        <v>718</v>
      </c>
      <c r="M684" s="25">
        <v>877</v>
      </c>
      <c r="N684" s="25">
        <v>1486</v>
      </c>
      <c r="O684" s="25" t="s">
        <v>716</v>
      </c>
      <c r="P684" s="25" t="s">
        <v>716</v>
      </c>
      <c r="Q684" s="25" t="s">
        <v>721</v>
      </c>
      <c r="R684" s="26" t="s">
        <v>13</v>
      </c>
      <c r="Y684" s="26"/>
      <c r="Z684" s="26"/>
      <c r="AA684" s="26"/>
      <c r="AC684" s="77"/>
      <c r="BF684" s="26"/>
      <c r="BG684" s="26"/>
      <c r="BH684" s="83"/>
      <c r="BL684" s="26" t="s">
        <v>13</v>
      </c>
      <c r="BM684" s="25" t="s">
        <v>13</v>
      </c>
    </row>
    <row r="685" spans="1:65">
      <c r="A685" s="7" t="s">
        <v>714</v>
      </c>
      <c r="B685" s="25" t="s">
        <v>715</v>
      </c>
      <c r="C685" s="25">
        <v>252.3</v>
      </c>
      <c r="D685" s="25">
        <v>253.3</v>
      </c>
      <c r="E685" s="25">
        <v>251.3</v>
      </c>
      <c r="F685" s="26">
        <f>AVERAGE(H685:I685)</f>
        <v>644.5</v>
      </c>
      <c r="G685" s="25" t="s">
        <v>389</v>
      </c>
      <c r="H685" s="26">
        <f t="shared" si="200"/>
        <v>468</v>
      </c>
      <c r="I685" s="26">
        <f t="shared" si="200"/>
        <v>821</v>
      </c>
      <c r="J685" s="91" t="s">
        <v>717</v>
      </c>
      <c r="K685" s="25" t="s">
        <v>718</v>
      </c>
      <c r="M685" s="25">
        <v>468</v>
      </c>
      <c r="N685" s="25">
        <v>821</v>
      </c>
      <c r="O685" s="25" t="s">
        <v>716</v>
      </c>
      <c r="P685" s="25" t="s">
        <v>716</v>
      </c>
      <c r="Q685" s="25" t="s">
        <v>722</v>
      </c>
      <c r="R685" s="26" t="s">
        <v>13</v>
      </c>
      <c r="Y685" s="26"/>
      <c r="Z685" s="26"/>
      <c r="AA685" s="26"/>
      <c r="AC685" s="77"/>
      <c r="BF685" s="26"/>
      <c r="BG685" s="26"/>
      <c r="BH685" s="83"/>
      <c r="BL685" s="26" t="s">
        <v>13</v>
      </c>
      <c r="BM685" s="25" t="s">
        <v>13</v>
      </c>
    </row>
    <row r="686" spans="1:65">
      <c r="A686" s="7" t="s">
        <v>871</v>
      </c>
      <c r="B686" s="25" t="s">
        <v>872</v>
      </c>
      <c r="C686" s="62">
        <v>277.14</v>
      </c>
      <c r="D686" s="62">
        <f>C686+2.53</f>
        <v>279.66999999999996</v>
      </c>
      <c r="E686" s="62">
        <f>C686-2.53</f>
        <v>274.61</v>
      </c>
      <c r="F686" s="26">
        <f>L686</f>
        <v>767.5</v>
      </c>
      <c r="G686" s="25" t="s">
        <v>239</v>
      </c>
      <c r="H686" s="26">
        <f t="shared" si="200"/>
        <v>218</v>
      </c>
      <c r="I686" s="26">
        <f t="shared" si="200"/>
        <v>2871</v>
      </c>
      <c r="J686" s="23" t="s">
        <v>644</v>
      </c>
      <c r="K686" s="23" t="s">
        <v>400</v>
      </c>
      <c r="L686" s="26">
        <f>AVERAGE(1005,530)</f>
        <v>767.5</v>
      </c>
      <c r="M686" s="26">
        <f>218</f>
        <v>218</v>
      </c>
      <c r="N686" s="26">
        <v>2871</v>
      </c>
      <c r="P686" s="26"/>
      <c r="Q686" s="92" t="s">
        <v>873</v>
      </c>
      <c r="R686" s="26" t="s">
        <v>13</v>
      </c>
      <c r="Y686" s="26"/>
      <c r="Z686" s="26"/>
      <c r="AA686" s="26"/>
      <c r="AC686" s="77"/>
      <c r="BF686" s="26"/>
      <c r="BG686" s="26"/>
      <c r="BH686" s="83"/>
      <c r="BL686" s="26" t="s">
        <v>13</v>
      </c>
      <c r="BM686" s="25" t="s">
        <v>13</v>
      </c>
    </row>
    <row r="687" spans="1:65">
      <c r="A687" s="7" t="s">
        <v>871</v>
      </c>
      <c r="B687" s="25" t="s">
        <v>872</v>
      </c>
      <c r="C687" s="62">
        <v>282.44</v>
      </c>
      <c r="D687" s="62">
        <f>C687+0.999</f>
        <v>283.43900000000002</v>
      </c>
      <c r="E687" s="62">
        <f>C687-0.999</f>
        <v>281.44099999999997</v>
      </c>
      <c r="F687" s="26">
        <f t="shared" ref="F687:F740" si="201">L687</f>
        <v>699</v>
      </c>
      <c r="G687" s="25" t="s">
        <v>239</v>
      </c>
      <c r="H687" s="26">
        <f t="shared" si="200"/>
        <v>195</v>
      </c>
      <c r="I687" s="26">
        <f t="shared" si="200"/>
        <v>2572</v>
      </c>
      <c r="J687" s="23" t="s">
        <v>644</v>
      </c>
      <c r="K687" s="23" t="s">
        <v>400</v>
      </c>
      <c r="L687" s="26">
        <f>AVERAGE(904,494)</f>
        <v>699</v>
      </c>
      <c r="M687" s="26">
        <v>195</v>
      </c>
      <c r="N687" s="26">
        <v>2572</v>
      </c>
      <c r="P687" s="26"/>
      <c r="Q687" s="92" t="s">
        <v>873</v>
      </c>
      <c r="R687" s="26" t="s">
        <v>13</v>
      </c>
      <c r="Y687" s="26"/>
      <c r="Z687" s="26"/>
      <c r="AA687" s="26"/>
      <c r="AC687" s="77"/>
      <c r="BF687" s="26"/>
      <c r="BG687" s="26"/>
      <c r="BH687" s="83"/>
      <c r="BL687" s="26" t="s">
        <v>13</v>
      </c>
      <c r="BM687" s="25" t="s">
        <v>13</v>
      </c>
    </row>
    <row r="688" spans="1:65">
      <c r="A688" s="7" t="s">
        <v>871</v>
      </c>
      <c r="B688" s="25" t="s">
        <v>872</v>
      </c>
      <c r="C688" s="62">
        <v>284.44</v>
      </c>
      <c r="D688" s="62">
        <f>C688+0.999</f>
        <v>285.43900000000002</v>
      </c>
      <c r="E688" s="62">
        <f>C688-0.999</f>
        <v>283.44099999999997</v>
      </c>
      <c r="F688" s="26">
        <f t="shared" si="201"/>
        <v>495.5</v>
      </c>
      <c r="G688" s="25" t="s">
        <v>239</v>
      </c>
      <c r="H688" s="26">
        <f t="shared" si="200"/>
        <v>136</v>
      </c>
      <c r="I688" s="26">
        <f t="shared" si="200"/>
        <v>1823</v>
      </c>
      <c r="J688" s="23" t="s">
        <v>644</v>
      </c>
      <c r="K688" s="23" t="s">
        <v>400</v>
      </c>
      <c r="L688" s="26">
        <f>AVERAGE(643,348)</f>
        <v>495.5</v>
      </c>
      <c r="M688" s="26">
        <v>136</v>
      </c>
      <c r="N688" s="26">
        <v>1823</v>
      </c>
      <c r="P688" s="26"/>
      <c r="Q688" s="92" t="s">
        <v>873</v>
      </c>
      <c r="R688" s="26" t="s">
        <v>13</v>
      </c>
      <c r="Y688" s="26"/>
      <c r="Z688" s="26"/>
      <c r="AA688" s="26"/>
      <c r="AC688" s="77"/>
      <c r="BF688" s="26"/>
      <c r="BG688" s="26"/>
      <c r="BH688" s="83"/>
      <c r="BL688" s="26" t="s">
        <v>13</v>
      </c>
      <c r="BM688" s="25" t="s">
        <v>13</v>
      </c>
    </row>
    <row r="689" spans="1:65">
      <c r="A689" s="7" t="s">
        <v>871</v>
      </c>
      <c r="B689" s="25" t="s">
        <v>872</v>
      </c>
      <c r="C689" s="62">
        <v>286.27</v>
      </c>
      <c r="D689" s="62">
        <f>C689+0.274</f>
        <v>286.54399999999998</v>
      </c>
      <c r="E689" s="62">
        <f>C689-0.274</f>
        <v>285.99599999999998</v>
      </c>
      <c r="F689" s="26">
        <f t="shared" si="201"/>
        <v>511</v>
      </c>
      <c r="G689" s="25" t="s">
        <v>239</v>
      </c>
      <c r="H689" s="26">
        <f t="shared" si="200"/>
        <v>147</v>
      </c>
      <c r="I689" s="26">
        <f t="shared" si="200"/>
        <v>1896</v>
      </c>
      <c r="J689" s="23" t="s">
        <v>644</v>
      </c>
      <c r="K689" s="23" t="s">
        <v>400</v>
      </c>
      <c r="L689" s="26">
        <f>AVERAGE(660,362)</f>
        <v>511</v>
      </c>
      <c r="M689" s="26">
        <f>147</f>
        <v>147</v>
      </c>
      <c r="N689" s="26">
        <v>1896</v>
      </c>
      <c r="P689" s="26"/>
      <c r="Q689" s="92" t="s">
        <v>873</v>
      </c>
      <c r="R689" s="26" t="s">
        <v>13</v>
      </c>
      <c r="Y689" s="26"/>
      <c r="Z689" s="26"/>
      <c r="AA689" s="26"/>
      <c r="AC689" s="77"/>
      <c r="BF689" s="26"/>
      <c r="BG689" s="26"/>
      <c r="BH689" s="83"/>
      <c r="BL689" s="26" t="s">
        <v>13</v>
      </c>
      <c r="BM689" s="25" t="s">
        <v>13</v>
      </c>
    </row>
    <row r="690" spans="1:65">
      <c r="A690" s="7" t="s">
        <v>871</v>
      </c>
      <c r="B690" s="25" t="s">
        <v>872</v>
      </c>
      <c r="C690" s="62">
        <v>286.82</v>
      </c>
      <c r="D690" s="62">
        <f>C690+0.274</f>
        <v>287.09399999999999</v>
      </c>
      <c r="E690" s="62">
        <f>C690-0.274</f>
        <v>286.54599999999999</v>
      </c>
      <c r="F690" s="26">
        <f t="shared" si="201"/>
        <v>601.5</v>
      </c>
      <c r="G690" s="25" t="s">
        <v>239</v>
      </c>
      <c r="H690" s="26">
        <f t="shared" si="200"/>
        <v>155</v>
      </c>
      <c r="I690" s="26">
        <f t="shared" si="200"/>
        <v>2231</v>
      </c>
      <c r="J690" s="23" t="s">
        <v>644</v>
      </c>
      <c r="K690" s="23" t="s">
        <v>400</v>
      </c>
      <c r="L690" s="26">
        <f>AVERAGE(782,421)</f>
        <v>601.5</v>
      </c>
      <c r="M690" s="26">
        <v>155</v>
      </c>
      <c r="N690" s="26">
        <v>2231</v>
      </c>
      <c r="P690" s="26"/>
      <c r="Q690" s="92" t="s">
        <v>873</v>
      </c>
      <c r="R690" s="26" t="s">
        <v>13</v>
      </c>
      <c r="Y690" s="26"/>
      <c r="Z690" s="26"/>
      <c r="AA690" s="26"/>
      <c r="AC690" s="77"/>
      <c r="BF690" s="26"/>
      <c r="BG690" s="26"/>
      <c r="BH690" s="83"/>
      <c r="BL690" s="26" t="s">
        <v>13</v>
      </c>
      <c r="BM690" s="25" t="s">
        <v>13</v>
      </c>
    </row>
    <row r="691" spans="1:65">
      <c r="A691" s="7" t="s">
        <v>871</v>
      </c>
      <c r="B691" s="25" t="s">
        <v>872</v>
      </c>
      <c r="C691" s="62">
        <v>287.73</v>
      </c>
      <c r="D691" s="62">
        <f>C691+0.474</f>
        <v>288.20400000000001</v>
      </c>
      <c r="E691" s="62">
        <f>C691-0.474</f>
        <v>287.25600000000003</v>
      </c>
      <c r="F691" s="26">
        <f t="shared" si="201"/>
        <v>877</v>
      </c>
      <c r="G691" s="25" t="s">
        <v>239</v>
      </c>
      <c r="H691" s="26">
        <f t="shared" si="200"/>
        <v>258</v>
      </c>
      <c r="I691" s="26">
        <f t="shared" si="200"/>
        <v>3249</v>
      </c>
      <c r="J691" s="23" t="s">
        <v>644</v>
      </c>
      <c r="K691" s="23" t="s">
        <v>400</v>
      </c>
      <c r="L691" s="26">
        <f>AVERAGE(1150,604)</f>
        <v>877</v>
      </c>
      <c r="M691" s="26">
        <v>258</v>
      </c>
      <c r="N691" s="26">
        <v>3249</v>
      </c>
      <c r="P691" s="26"/>
      <c r="Q691" s="92" t="s">
        <v>873</v>
      </c>
      <c r="R691" s="26" t="s">
        <v>13</v>
      </c>
      <c r="Y691" s="26"/>
      <c r="Z691" s="26"/>
      <c r="AA691" s="26"/>
      <c r="AC691" s="77"/>
      <c r="BF691" s="26"/>
      <c r="BG691" s="26"/>
      <c r="BH691" s="83"/>
      <c r="BL691" s="26" t="s">
        <v>13</v>
      </c>
      <c r="BM691" s="25" t="s">
        <v>13</v>
      </c>
    </row>
    <row r="692" spans="1:65">
      <c r="A692" s="7" t="s">
        <v>871</v>
      </c>
      <c r="B692" s="25" t="s">
        <v>872</v>
      </c>
      <c r="C692" s="62">
        <v>288.27999999999997</v>
      </c>
      <c r="D692" s="62">
        <f>C692+0.089</f>
        <v>288.36899999999997</v>
      </c>
      <c r="E692" s="62">
        <f>C692-0.089</f>
        <v>288.19099999999997</v>
      </c>
      <c r="F692" s="26">
        <f t="shared" si="201"/>
        <v>417</v>
      </c>
      <c r="G692" s="25" t="s">
        <v>239</v>
      </c>
      <c r="H692" s="26">
        <f t="shared" si="200"/>
        <v>104</v>
      </c>
      <c r="I692" s="26">
        <f t="shared" si="200"/>
        <v>1196</v>
      </c>
      <c r="J692" s="23" t="s">
        <v>644</v>
      </c>
      <c r="K692" s="23" t="s">
        <v>400</v>
      </c>
      <c r="L692" s="26">
        <v>417</v>
      </c>
      <c r="M692" s="26">
        <v>104</v>
      </c>
      <c r="N692" s="26">
        <v>1196</v>
      </c>
      <c r="P692" s="26"/>
      <c r="Q692" s="92" t="s">
        <v>559</v>
      </c>
      <c r="R692" s="26" t="s">
        <v>13</v>
      </c>
      <c r="Y692" s="26"/>
      <c r="Z692" s="26"/>
      <c r="AA692" s="26"/>
      <c r="AC692" s="77"/>
      <c r="BF692" s="26"/>
      <c r="BG692" s="26"/>
      <c r="BH692" s="83"/>
      <c r="BL692" s="26" t="s">
        <v>13</v>
      </c>
      <c r="BM692" s="25" t="s">
        <v>13</v>
      </c>
    </row>
    <row r="693" spans="1:65">
      <c r="A693" s="7" t="s">
        <v>871</v>
      </c>
      <c r="B693" s="25" t="s">
        <v>872</v>
      </c>
      <c r="C693" s="62">
        <v>288.45999999999998</v>
      </c>
      <c r="D693" s="62">
        <f>C693+0.089</f>
        <v>288.54899999999998</v>
      </c>
      <c r="E693" s="62">
        <f>C693-0.089</f>
        <v>288.37099999999998</v>
      </c>
      <c r="F693" s="26">
        <f t="shared" si="201"/>
        <v>630</v>
      </c>
      <c r="G693" s="25" t="s">
        <v>239</v>
      </c>
      <c r="H693" s="26">
        <f t="shared" si="200"/>
        <v>186</v>
      </c>
      <c r="I693" s="26">
        <f t="shared" si="200"/>
        <v>2313</v>
      </c>
      <c r="J693" s="23" t="s">
        <v>644</v>
      </c>
      <c r="K693" s="23" t="s">
        <v>400</v>
      </c>
      <c r="L693" s="26">
        <f>AVERAGE(818,442)</f>
        <v>630</v>
      </c>
      <c r="M693" s="26">
        <v>186</v>
      </c>
      <c r="N693" s="26">
        <v>2313</v>
      </c>
      <c r="P693" s="26"/>
      <c r="Q693" s="92" t="s">
        <v>873</v>
      </c>
      <c r="R693" s="26" t="s">
        <v>13</v>
      </c>
      <c r="Y693" s="26"/>
      <c r="Z693" s="26"/>
      <c r="AA693" s="26"/>
      <c r="AC693" s="77"/>
      <c r="BF693" s="26"/>
      <c r="BG693" s="26"/>
      <c r="BH693" s="83"/>
      <c r="BL693" s="26" t="s">
        <v>13</v>
      </c>
      <c r="BM693" s="25" t="s">
        <v>13</v>
      </c>
    </row>
    <row r="694" spans="1:65">
      <c r="A694" s="7" t="s">
        <v>871</v>
      </c>
      <c r="B694" s="25" t="s">
        <v>872</v>
      </c>
      <c r="C694" s="62">
        <v>289.92</v>
      </c>
      <c r="D694" s="62">
        <f>C694+1.089</f>
        <v>291.00900000000001</v>
      </c>
      <c r="E694" s="62">
        <f>C694-1.089</f>
        <v>288.83100000000002</v>
      </c>
      <c r="F694" s="26">
        <f t="shared" si="201"/>
        <v>505</v>
      </c>
      <c r="G694" s="25" t="s">
        <v>239</v>
      </c>
      <c r="H694" s="26">
        <f t="shared" si="200"/>
        <v>139</v>
      </c>
      <c r="I694" s="26">
        <f t="shared" si="200"/>
        <v>1906</v>
      </c>
      <c r="J694" s="23" t="s">
        <v>644</v>
      </c>
      <c r="K694" s="23" t="s">
        <v>400</v>
      </c>
      <c r="L694" s="26">
        <f>AVERAGE(659,351)</f>
        <v>505</v>
      </c>
      <c r="M694" s="26">
        <v>139</v>
      </c>
      <c r="N694" s="26">
        <v>1906</v>
      </c>
      <c r="P694" s="26"/>
      <c r="Q694" s="92" t="s">
        <v>873</v>
      </c>
      <c r="R694" s="26" t="s">
        <v>13</v>
      </c>
      <c r="Y694" s="26"/>
      <c r="Z694" s="26"/>
      <c r="AA694" s="26"/>
      <c r="AC694" s="77"/>
      <c r="BF694" s="26"/>
      <c r="BG694" s="26"/>
      <c r="BH694" s="83"/>
      <c r="BL694" s="26" t="s">
        <v>13</v>
      </c>
      <c r="BM694" s="25" t="s">
        <v>13</v>
      </c>
    </row>
    <row r="695" spans="1:65">
      <c r="A695" s="7" t="s">
        <v>871</v>
      </c>
      <c r="B695" s="25" t="s">
        <v>872</v>
      </c>
      <c r="C695" s="62">
        <v>291.10000000000002</v>
      </c>
      <c r="D695" s="62">
        <f>C695+0.089</f>
        <v>291.18900000000002</v>
      </c>
      <c r="E695" s="62">
        <f>C695-0.089</f>
        <v>291.01100000000002</v>
      </c>
      <c r="F695" s="26">
        <f t="shared" si="201"/>
        <v>401</v>
      </c>
      <c r="G695" s="25" t="s">
        <v>239</v>
      </c>
      <c r="H695" s="26">
        <f t="shared" si="200"/>
        <v>152</v>
      </c>
      <c r="I695" s="26">
        <f t="shared" si="200"/>
        <v>833</v>
      </c>
      <c r="J695" s="23" t="s">
        <v>644</v>
      </c>
      <c r="K695" s="23" t="s">
        <v>400</v>
      </c>
      <c r="L695" s="26">
        <v>401</v>
      </c>
      <c r="M695" s="26">
        <v>152</v>
      </c>
      <c r="N695" s="26">
        <v>833</v>
      </c>
      <c r="P695" s="26"/>
      <c r="Q695" s="92" t="s">
        <v>874</v>
      </c>
      <c r="R695" s="26" t="s">
        <v>13</v>
      </c>
      <c r="Y695" s="26"/>
      <c r="Z695" s="26"/>
      <c r="AA695" s="26"/>
      <c r="AC695" s="77"/>
      <c r="BF695" s="26"/>
      <c r="BG695" s="26"/>
      <c r="BH695" s="83"/>
      <c r="BL695" s="26" t="s">
        <v>13</v>
      </c>
      <c r="BM695" s="25" t="s">
        <v>13</v>
      </c>
    </row>
    <row r="696" spans="1:65">
      <c r="A696" s="7" t="s">
        <v>871</v>
      </c>
      <c r="B696" s="25" t="s">
        <v>872</v>
      </c>
      <c r="C696" s="62">
        <v>291.27999999999997</v>
      </c>
      <c r="D696" s="62">
        <f>C696+0.089</f>
        <v>291.36899999999997</v>
      </c>
      <c r="E696" s="62">
        <f>C696-0.089</f>
        <v>291.19099999999997</v>
      </c>
      <c r="F696" s="26">
        <f t="shared" si="201"/>
        <v>236.5</v>
      </c>
      <c r="G696" s="25" t="s">
        <v>239</v>
      </c>
      <c r="H696" s="26">
        <f t="shared" si="200"/>
        <v>65</v>
      </c>
      <c r="I696" s="26">
        <f t="shared" si="200"/>
        <v>441</v>
      </c>
      <c r="J696" s="23" t="s">
        <v>644</v>
      </c>
      <c r="K696" s="23" t="s">
        <v>400</v>
      </c>
      <c r="L696" s="26">
        <f>AVERAGE(264,209)</f>
        <v>236.5</v>
      </c>
      <c r="M696" s="26">
        <v>65</v>
      </c>
      <c r="N696" s="26">
        <v>441</v>
      </c>
      <c r="P696" s="26"/>
      <c r="Q696" s="92" t="s">
        <v>873</v>
      </c>
      <c r="R696" s="26" t="s">
        <v>13</v>
      </c>
      <c r="Y696" s="26"/>
      <c r="Z696" s="26"/>
      <c r="AA696" s="26"/>
      <c r="AC696" s="77"/>
      <c r="BF696" s="26"/>
      <c r="BG696" s="26"/>
      <c r="BH696" s="83"/>
      <c r="BL696" s="26" t="s">
        <v>13</v>
      </c>
      <c r="BM696" s="25" t="s">
        <v>13</v>
      </c>
    </row>
    <row r="697" spans="1:65">
      <c r="A697" s="7" t="s">
        <v>871</v>
      </c>
      <c r="B697" s="25" t="s">
        <v>872</v>
      </c>
      <c r="C697" s="62">
        <v>292.45999999999998</v>
      </c>
      <c r="D697" s="62">
        <f>C697+0.224</f>
        <v>292.68399999999997</v>
      </c>
      <c r="E697" s="62">
        <f>C697-0.224</f>
        <v>292.23599999999999</v>
      </c>
      <c r="F697" s="26">
        <f t="shared" si="201"/>
        <v>247</v>
      </c>
      <c r="G697" s="25" t="s">
        <v>239</v>
      </c>
      <c r="H697" s="26">
        <f t="shared" ref="H697:I740" si="202">M697</f>
        <v>69</v>
      </c>
      <c r="I697" s="26">
        <f t="shared" si="202"/>
        <v>918</v>
      </c>
      <c r="J697" s="23" t="s">
        <v>644</v>
      </c>
      <c r="K697" s="23" t="s">
        <v>400</v>
      </c>
      <c r="L697" s="26">
        <f>AVERAGE(319,175)</f>
        <v>247</v>
      </c>
      <c r="M697" s="26">
        <v>69</v>
      </c>
      <c r="N697" s="26">
        <v>918</v>
      </c>
      <c r="P697" s="26"/>
      <c r="Q697" s="92" t="s">
        <v>873</v>
      </c>
      <c r="R697" s="26" t="s">
        <v>13</v>
      </c>
      <c r="Y697" s="26"/>
      <c r="Z697" s="26"/>
      <c r="AA697" s="26"/>
      <c r="AC697" s="77"/>
      <c r="BF697" s="26"/>
      <c r="BG697" s="26"/>
      <c r="BH697" s="83"/>
      <c r="BL697" s="26" t="s">
        <v>13</v>
      </c>
      <c r="BM697" s="25" t="s">
        <v>13</v>
      </c>
    </row>
    <row r="698" spans="1:65">
      <c r="A698" s="7" t="s">
        <v>871</v>
      </c>
      <c r="B698" s="25" t="s">
        <v>872</v>
      </c>
      <c r="C698" s="62">
        <v>292.91000000000003</v>
      </c>
      <c r="D698" s="62">
        <f>C698+0.224</f>
        <v>293.13400000000001</v>
      </c>
      <c r="E698" s="62">
        <f>C698-0.224</f>
        <v>292.68600000000004</v>
      </c>
      <c r="F698" s="26">
        <f t="shared" si="201"/>
        <v>220</v>
      </c>
      <c r="G698" s="25" t="s">
        <v>239</v>
      </c>
      <c r="H698" s="26">
        <f t="shared" si="202"/>
        <v>90</v>
      </c>
      <c r="I698" s="26">
        <f t="shared" si="202"/>
        <v>450</v>
      </c>
      <c r="J698" s="23" t="s">
        <v>644</v>
      </c>
      <c r="K698" s="23" t="s">
        <v>400</v>
      </c>
      <c r="L698" s="26">
        <v>220</v>
      </c>
      <c r="M698" s="26">
        <v>90</v>
      </c>
      <c r="N698" s="26">
        <v>450</v>
      </c>
      <c r="P698" s="26"/>
      <c r="Q698" s="92" t="s">
        <v>874</v>
      </c>
      <c r="R698" s="26" t="s">
        <v>13</v>
      </c>
      <c r="Y698" s="26"/>
      <c r="Z698" s="26"/>
      <c r="AA698" s="26"/>
      <c r="AC698" s="77"/>
      <c r="BF698" s="26"/>
      <c r="BG698" s="26"/>
      <c r="BH698" s="83"/>
      <c r="BL698" s="26" t="s">
        <v>13</v>
      </c>
      <c r="BM698" s="25" t="s">
        <v>13</v>
      </c>
    </row>
    <row r="699" spans="1:65">
      <c r="A699" s="7" t="s">
        <v>871</v>
      </c>
      <c r="B699" s="25" t="s">
        <v>872</v>
      </c>
      <c r="C699" s="62">
        <v>293.49</v>
      </c>
      <c r="D699" s="62">
        <f>C699+0.029</f>
        <v>293.51900000000001</v>
      </c>
      <c r="E699" s="62">
        <f>C699-0.029</f>
        <v>293.46100000000001</v>
      </c>
      <c r="F699" s="26">
        <f t="shared" si="201"/>
        <v>45</v>
      </c>
      <c r="G699" s="25" t="s">
        <v>239</v>
      </c>
      <c r="H699" s="26">
        <f t="shared" si="202"/>
        <v>1</v>
      </c>
      <c r="I699" s="26">
        <f t="shared" si="202"/>
        <v>187</v>
      </c>
      <c r="J699" s="23" t="s">
        <v>644</v>
      </c>
      <c r="K699" s="23" t="s">
        <v>400</v>
      </c>
      <c r="L699" s="26">
        <v>45</v>
      </c>
      <c r="M699" s="26">
        <v>1</v>
      </c>
      <c r="N699" s="26">
        <v>187</v>
      </c>
      <c r="P699" s="26"/>
      <c r="Q699" s="92" t="s">
        <v>559</v>
      </c>
      <c r="R699" s="26" t="s">
        <v>13</v>
      </c>
      <c r="Y699" s="26"/>
      <c r="Z699" s="26"/>
      <c r="AA699" s="26"/>
      <c r="AC699" s="77"/>
      <c r="BF699" s="26"/>
      <c r="BG699" s="26"/>
      <c r="BH699" s="83"/>
      <c r="BL699" s="26" t="s">
        <v>13</v>
      </c>
      <c r="BM699" s="25" t="s">
        <v>13</v>
      </c>
    </row>
    <row r="700" spans="1:65">
      <c r="A700" s="7" t="s">
        <v>871</v>
      </c>
      <c r="B700" s="25" t="s">
        <v>872</v>
      </c>
      <c r="C700" s="62">
        <v>283.55</v>
      </c>
      <c r="D700" s="62">
        <f>C700+0.029</f>
        <v>283.57900000000001</v>
      </c>
      <c r="E700" s="62">
        <f>C700-0.029</f>
        <v>283.52100000000002</v>
      </c>
      <c r="F700" s="26">
        <f t="shared" si="201"/>
        <v>293</v>
      </c>
      <c r="G700" s="25" t="s">
        <v>239</v>
      </c>
      <c r="H700" s="26">
        <f t="shared" si="202"/>
        <v>116</v>
      </c>
      <c r="I700" s="26">
        <f t="shared" si="202"/>
        <v>607</v>
      </c>
      <c r="J700" s="23" t="s">
        <v>644</v>
      </c>
      <c r="K700" s="23" t="s">
        <v>400</v>
      </c>
      <c r="L700" s="26">
        <v>293</v>
      </c>
      <c r="M700" s="26">
        <v>116</v>
      </c>
      <c r="N700" s="26">
        <v>607</v>
      </c>
      <c r="P700" s="26"/>
      <c r="Q700" s="92" t="s">
        <v>874</v>
      </c>
      <c r="R700" s="26" t="s">
        <v>13</v>
      </c>
      <c r="Y700" s="26"/>
      <c r="Z700" s="26"/>
      <c r="AA700" s="26"/>
      <c r="AC700" s="77"/>
      <c r="BF700" s="26"/>
      <c r="BG700" s="26"/>
      <c r="BH700" s="83"/>
      <c r="BL700" s="26" t="s">
        <v>13</v>
      </c>
      <c r="BM700" s="25" t="s">
        <v>13</v>
      </c>
    </row>
    <row r="701" spans="1:65">
      <c r="A701" s="7" t="s">
        <v>871</v>
      </c>
      <c r="B701" s="25" t="s">
        <v>872</v>
      </c>
      <c r="C701" s="62">
        <v>293.89999999999998</v>
      </c>
      <c r="D701" s="62">
        <f>C701+0.32</f>
        <v>294.21999999999997</v>
      </c>
      <c r="E701" s="62">
        <f>C701-0.32</f>
        <v>293.58</v>
      </c>
      <c r="F701" s="26">
        <f t="shared" si="201"/>
        <v>483.66666666666669</v>
      </c>
      <c r="G701" s="25" t="s">
        <v>239</v>
      </c>
      <c r="H701" s="26">
        <f t="shared" si="202"/>
        <v>141</v>
      </c>
      <c r="I701" s="26">
        <f t="shared" si="202"/>
        <v>1896</v>
      </c>
      <c r="J701" s="23" t="s">
        <v>644</v>
      </c>
      <c r="K701" s="23" t="s">
        <v>400</v>
      </c>
      <c r="L701" s="26">
        <f>AVERAGE(656,360,435)</f>
        <v>483.66666666666669</v>
      </c>
      <c r="M701" s="26">
        <v>141</v>
      </c>
      <c r="N701" s="26">
        <v>1896</v>
      </c>
      <c r="P701" s="26"/>
      <c r="Q701" s="92" t="s">
        <v>875</v>
      </c>
      <c r="R701" s="26" t="s">
        <v>13</v>
      </c>
      <c r="Y701" s="26"/>
      <c r="Z701" s="26"/>
      <c r="AA701" s="26"/>
      <c r="AC701" s="77"/>
      <c r="BF701" s="26"/>
      <c r="BG701" s="26"/>
      <c r="BH701" s="83"/>
      <c r="BL701" s="26" t="s">
        <v>13</v>
      </c>
      <c r="BM701" s="25" t="s">
        <v>13</v>
      </c>
    </row>
    <row r="702" spans="1:65">
      <c r="A702" s="7" t="s">
        <v>871</v>
      </c>
      <c r="B702" s="25" t="s">
        <v>872</v>
      </c>
      <c r="C702" s="62">
        <v>294.55</v>
      </c>
      <c r="D702" s="62">
        <f>C702+0.249</f>
        <v>294.79900000000004</v>
      </c>
      <c r="E702" s="62">
        <f>C702-0.249</f>
        <v>294.30099999999999</v>
      </c>
      <c r="F702" s="26">
        <f t="shared" si="201"/>
        <v>210</v>
      </c>
      <c r="G702" s="25" t="s">
        <v>239</v>
      </c>
      <c r="H702" s="26">
        <f t="shared" si="202"/>
        <v>15</v>
      </c>
      <c r="I702" s="26">
        <f t="shared" si="202"/>
        <v>673</v>
      </c>
      <c r="J702" s="23" t="s">
        <v>644</v>
      </c>
      <c r="K702" s="23" t="s">
        <v>400</v>
      </c>
      <c r="L702" s="26">
        <v>210</v>
      </c>
      <c r="M702" s="26">
        <v>15</v>
      </c>
      <c r="N702" s="26">
        <v>673</v>
      </c>
      <c r="P702" s="26"/>
      <c r="Q702" s="92" t="s">
        <v>559</v>
      </c>
      <c r="R702" s="26" t="s">
        <v>13</v>
      </c>
      <c r="Y702" s="26"/>
      <c r="Z702" s="26"/>
      <c r="AA702" s="26"/>
      <c r="AC702" s="77"/>
      <c r="BF702" s="26"/>
      <c r="BG702" s="26"/>
      <c r="BH702" s="83"/>
      <c r="BL702" s="26" t="s">
        <v>13</v>
      </c>
      <c r="BM702" s="25" t="s">
        <v>13</v>
      </c>
    </row>
    <row r="703" spans="1:65">
      <c r="A703" s="7" t="s">
        <v>871</v>
      </c>
      <c r="B703" s="25" t="s">
        <v>872</v>
      </c>
      <c r="C703" s="62">
        <v>295.05</v>
      </c>
      <c r="D703" s="62">
        <f>C703+0.249</f>
        <v>295.29900000000004</v>
      </c>
      <c r="E703" s="62">
        <f>C703-0.249</f>
        <v>294.80099999999999</v>
      </c>
      <c r="F703" s="26">
        <f t="shared" si="201"/>
        <v>125</v>
      </c>
      <c r="G703" s="25" t="s">
        <v>239</v>
      </c>
      <c r="H703" s="26">
        <f t="shared" si="202"/>
        <v>1</v>
      </c>
      <c r="I703" s="26">
        <f t="shared" si="202"/>
        <v>450</v>
      </c>
      <c r="J703" s="23" t="s">
        <v>644</v>
      </c>
      <c r="K703" s="23" t="s">
        <v>400</v>
      </c>
      <c r="L703" s="26">
        <v>125</v>
      </c>
      <c r="M703" s="26">
        <v>1</v>
      </c>
      <c r="N703" s="26">
        <v>450</v>
      </c>
      <c r="P703" s="26"/>
      <c r="Q703" s="92" t="s">
        <v>559</v>
      </c>
      <c r="R703" s="26" t="s">
        <v>13</v>
      </c>
      <c r="Y703" s="26"/>
      <c r="Z703" s="26"/>
      <c r="AA703" s="26"/>
      <c r="AC703" s="77"/>
      <c r="BF703" s="26"/>
      <c r="BG703" s="26"/>
      <c r="BH703" s="83"/>
      <c r="BL703" s="26" t="s">
        <v>13</v>
      </c>
      <c r="BM703" s="25" t="s">
        <v>13</v>
      </c>
    </row>
    <row r="704" spans="1:65">
      <c r="A704" s="7" t="s">
        <v>871</v>
      </c>
      <c r="B704" s="25" t="s">
        <v>872</v>
      </c>
      <c r="C704" s="62">
        <v>296.07</v>
      </c>
      <c r="D704" s="62">
        <f>C704+0.034</f>
        <v>296.10399999999998</v>
      </c>
      <c r="E704" s="62">
        <f>C704-0.034</f>
        <v>296.036</v>
      </c>
      <c r="F704" s="26">
        <f t="shared" si="201"/>
        <v>239</v>
      </c>
      <c r="G704" s="25" t="s">
        <v>239</v>
      </c>
      <c r="H704" s="26">
        <f t="shared" si="202"/>
        <v>89</v>
      </c>
      <c r="I704" s="26">
        <f t="shared" si="202"/>
        <v>417</v>
      </c>
      <c r="J704" s="23" t="s">
        <v>644</v>
      </c>
      <c r="K704" s="23" t="s">
        <v>400</v>
      </c>
      <c r="L704" s="26">
        <v>239</v>
      </c>
      <c r="M704" s="26">
        <v>89</v>
      </c>
      <c r="N704" s="26">
        <v>417</v>
      </c>
      <c r="P704" s="26"/>
      <c r="Q704" s="92" t="s">
        <v>876</v>
      </c>
      <c r="R704" s="26" t="s">
        <v>13</v>
      </c>
      <c r="Y704" s="26"/>
      <c r="Z704" s="26"/>
      <c r="AA704" s="26"/>
      <c r="AC704" s="77"/>
      <c r="BF704" s="26"/>
      <c r="BG704" s="26"/>
      <c r="BH704" s="83"/>
      <c r="BL704" s="26" t="s">
        <v>13</v>
      </c>
      <c r="BM704" s="25" t="s">
        <v>13</v>
      </c>
    </row>
    <row r="705" spans="1:65">
      <c r="A705" s="7" t="s">
        <v>871</v>
      </c>
      <c r="B705" s="25" t="s">
        <v>872</v>
      </c>
      <c r="C705" s="62">
        <v>296.66000000000003</v>
      </c>
      <c r="D705" s="62">
        <f>C705+0.009</f>
        <v>296.66900000000004</v>
      </c>
      <c r="E705" s="62">
        <f>C705-0.009</f>
        <v>296.65100000000001</v>
      </c>
      <c r="F705" s="26">
        <f t="shared" si="201"/>
        <v>291.25</v>
      </c>
      <c r="G705" s="25" t="s">
        <v>239</v>
      </c>
      <c r="H705" s="26">
        <f t="shared" si="202"/>
        <v>45</v>
      </c>
      <c r="I705" s="26">
        <f t="shared" si="202"/>
        <v>1545</v>
      </c>
      <c r="J705" s="23" t="s">
        <v>644</v>
      </c>
      <c r="K705" s="23" t="s">
        <v>400</v>
      </c>
      <c r="L705" s="26">
        <f>AVERAGE(110,206,301,548)</f>
        <v>291.25</v>
      </c>
      <c r="M705" s="26">
        <v>45</v>
      </c>
      <c r="N705" s="26">
        <v>1545</v>
      </c>
      <c r="P705" s="26"/>
      <c r="Q705" s="92" t="s">
        <v>873</v>
      </c>
      <c r="R705" s="26" t="s">
        <v>13</v>
      </c>
      <c r="Y705" s="26"/>
      <c r="Z705" s="26"/>
      <c r="AA705" s="26"/>
      <c r="AC705" s="77"/>
      <c r="BF705" s="26"/>
      <c r="BG705" s="26"/>
      <c r="BH705" s="83"/>
      <c r="BL705" s="26" t="s">
        <v>13</v>
      </c>
      <c r="BM705" s="25" t="s">
        <v>13</v>
      </c>
    </row>
    <row r="706" spans="1:65">
      <c r="A706" s="7" t="s">
        <v>871</v>
      </c>
      <c r="B706" s="25" t="s">
        <v>872</v>
      </c>
      <c r="C706" s="62">
        <v>296.68</v>
      </c>
      <c r="D706" s="62">
        <f>C706+0.009</f>
        <v>296.68900000000002</v>
      </c>
      <c r="E706" s="62">
        <f>C706-0.009</f>
        <v>296.67099999999999</v>
      </c>
      <c r="F706" s="26">
        <f t="shared" si="201"/>
        <v>679.04909599999996</v>
      </c>
      <c r="G706" s="25" t="s">
        <v>239</v>
      </c>
      <c r="H706" s="26">
        <f t="shared" si="202"/>
        <v>172.06075499999997</v>
      </c>
      <c r="I706" s="26">
        <f t="shared" si="202"/>
        <v>1989.4203010000001</v>
      </c>
      <c r="J706" s="23" t="s">
        <v>644</v>
      </c>
      <c r="K706" s="23" t="s">
        <v>400</v>
      </c>
      <c r="L706" s="26">
        <v>679.04909599999996</v>
      </c>
      <c r="M706" s="26">
        <v>172.06075499999997</v>
      </c>
      <c r="N706" s="26">
        <v>1989.4203010000001</v>
      </c>
      <c r="P706" s="26"/>
      <c r="Q706" s="92" t="s">
        <v>559</v>
      </c>
      <c r="R706" s="26" t="s">
        <v>13</v>
      </c>
      <c r="Y706" s="26"/>
      <c r="Z706" s="26"/>
      <c r="AA706" s="26"/>
      <c r="AC706" s="77"/>
      <c r="BF706" s="26"/>
      <c r="BG706" s="26"/>
      <c r="BH706" s="83"/>
      <c r="BL706" s="26" t="s">
        <v>13</v>
      </c>
      <c r="BM706" s="25" t="s">
        <v>13</v>
      </c>
    </row>
    <row r="707" spans="1:65">
      <c r="A707" s="7" t="s">
        <v>871</v>
      </c>
      <c r="B707" s="25" t="s">
        <v>872</v>
      </c>
      <c r="C707" s="62">
        <v>296.7</v>
      </c>
      <c r="D707" s="62">
        <f>C707+0.009</f>
        <v>296.709</v>
      </c>
      <c r="E707" s="62">
        <f>C707-0.009</f>
        <v>296.69099999999997</v>
      </c>
      <c r="F707" s="26">
        <f t="shared" si="201"/>
        <v>349.22</v>
      </c>
      <c r="G707" s="25" t="s">
        <v>239</v>
      </c>
      <c r="H707" s="26">
        <f t="shared" si="202"/>
        <v>87.07</v>
      </c>
      <c r="I707" s="26">
        <f t="shared" si="202"/>
        <v>1007.38</v>
      </c>
      <c r="J707" s="23" t="s">
        <v>644</v>
      </c>
      <c r="K707" s="23" t="s">
        <v>400</v>
      </c>
      <c r="L707" s="26">
        <v>349.22</v>
      </c>
      <c r="M707" s="26">
        <v>87.07</v>
      </c>
      <c r="N707" s="26">
        <v>1007.38</v>
      </c>
      <c r="P707" s="26"/>
      <c r="Q707" s="92" t="s">
        <v>559</v>
      </c>
      <c r="R707" s="26" t="s">
        <v>13</v>
      </c>
      <c r="Y707" s="26"/>
      <c r="Z707" s="26"/>
      <c r="AA707" s="26"/>
      <c r="AC707" s="77"/>
      <c r="BF707" s="26"/>
      <c r="BG707" s="26"/>
      <c r="BH707" s="83"/>
      <c r="BL707" s="26" t="s">
        <v>13</v>
      </c>
      <c r="BM707" s="25" t="s">
        <v>13</v>
      </c>
    </row>
    <row r="708" spans="1:65">
      <c r="A708" s="7" t="s">
        <v>871</v>
      </c>
      <c r="B708" s="25" t="s">
        <v>872</v>
      </c>
      <c r="C708" s="62">
        <v>296.7</v>
      </c>
      <c r="D708" s="62">
        <f>C708+0.009</f>
        <v>296.709</v>
      </c>
      <c r="E708" s="62">
        <f>C708-0.009</f>
        <v>296.69099999999997</v>
      </c>
      <c r="F708" s="26">
        <f t="shared" si="201"/>
        <v>913.83333700000003</v>
      </c>
      <c r="G708" s="25" t="s">
        <v>239</v>
      </c>
      <c r="H708" s="26">
        <f t="shared" si="202"/>
        <v>228.975865</v>
      </c>
      <c r="I708" s="26">
        <f t="shared" si="202"/>
        <v>2590.5191580000001</v>
      </c>
      <c r="J708" s="23" t="s">
        <v>644</v>
      </c>
      <c r="K708" s="23" t="s">
        <v>400</v>
      </c>
      <c r="L708" s="26">
        <v>913.83333700000003</v>
      </c>
      <c r="M708" s="26">
        <v>228.975865</v>
      </c>
      <c r="N708" s="26">
        <v>2590.5191580000001</v>
      </c>
      <c r="P708" s="26"/>
      <c r="Q708" s="92" t="s">
        <v>559</v>
      </c>
      <c r="R708" s="26" t="s">
        <v>13</v>
      </c>
      <c r="Y708" s="26"/>
      <c r="Z708" s="26"/>
      <c r="AA708" s="26"/>
      <c r="AC708" s="77"/>
      <c r="BF708" s="26"/>
      <c r="BG708" s="26"/>
      <c r="BH708" s="83"/>
      <c r="BL708" s="26" t="s">
        <v>13</v>
      </c>
      <c r="BM708" s="25" t="s">
        <v>13</v>
      </c>
    </row>
    <row r="709" spans="1:65">
      <c r="A709" s="7" t="s">
        <v>871</v>
      </c>
      <c r="B709" s="25" t="s">
        <v>872</v>
      </c>
      <c r="C709" s="62">
        <v>297.5</v>
      </c>
      <c r="D709" s="62">
        <f>C709+0.049</f>
        <v>297.54899999999998</v>
      </c>
      <c r="E709" s="62">
        <f>C709-0.049</f>
        <v>297.45100000000002</v>
      </c>
      <c r="F709" s="26">
        <f t="shared" si="201"/>
        <v>365.70007600000002</v>
      </c>
      <c r="G709" s="25" t="s">
        <v>239</v>
      </c>
      <c r="H709" s="26">
        <f t="shared" si="202"/>
        <v>146.04082399999999</v>
      </c>
      <c r="I709" s="26">
        <f t="shared" si="202"/>
        <v>761.31322999999998</v>
      </c>
      <c r="J709" s="23" t="s">
        <v>644</v>
      </c>
      <c r="K709" s="23" t="s">
        <v>400</v>
      </c>
      <c r="L709" s="26">
        <v>365.70007600000002</v>
      </c>
      <c r="M709" s="26">
        <v>146.04082399999999</v>
      </c>
      <c r="N709" s="26">
        <v>761.31322999999998</v>
      </c>
      <c r="Q709" s="92" t="s">
        <v>874</v>
      </c>
      <c r="R709" s="26" t="s">
        <v>13</v>
      </c>
      <c r="Y709" s="26"/>
      <c r="Z709" s="26"/>
      <c r="AA709" s="26"/>
      <c r="AC709" s="77"/>
      <c r="BF709" s="26"/>
      <c r="BG709" s="26"/>
      <c r="BH709" s="83"/>
      <c r="BL709" s="26" t="s">
        <v>13</v>
      </c>
      <c r="BM709" s="25" t="s">
        <v>13</v>
      </c>
    </row>
    <row r="710" spans="1:65">
      <c r="A710" s="7" t="s">
        <v>871</v>
      </c>
      <c r="B710" s="25" t="s">
        <v>872</v>
      </c>
      <c r="C710" s="62">
        <v>297.60000000000002</v>
      </c>
      <c r="D710" s="62">
        <f>C710+0.049</f>
        <v>297.649</v>
      </c>
      <c r="E710" s="62">
        <f>C710-0.049</f>
        <v>297.55100000000004</v>
      </c>
      <c r="F710" s="26">
        <f t="shared" si="201"/>
        <v>282.04713400000003</v>
      </c>
      <c r="G710" s="25" t="s">
        <v>239</v>
      </c>
      <c r="H710" s="26">
        <f t="shared" si="202"/>
        <v>104.51120700000001</v>
      </c>
      <c r="I710" s="26">
        <f t="shared" si="202"/>
        <v>592.33982509999998</v>
      </c>
      <c r="J710" s="23" t="s">
        <v>644</v>
      </c>
      <c r="K710" s="23" t="s">
        <v>400</v>
      </c>
      <c r="L710" s="26">
        <v>282.04713400000003</v>
      </c>
      <c r="M710" s="26">
        <v>104.51120700000001</v>
      </c>
      <c r="N710" s="26">
        <v>592.33982509999998</v>
      </c>
      <c r="Q710" s="92" t="s">
        <v>874</v>
      </c>
      <c r="R710" s="26" t="s">
        <v>13</v>
      </c>
      <c r="Y710" s="26"/>
      <c r="Z710" s="26"/>
      <c r="AA710" s="26"/>
      <c r="AC710" s="77"/>
      <c r="BF710" s="26"/>
      <c r="BG710" s="26"/>
      <c r="BH710" s="83"/>
      <c r="BL710" s="26" t="s">
        <v>13</v>
      </c>
      <c r="BM710" s="25" t="s">
        <v>13</v>
      </c>
    </row>
    <row r="711" spans="1:65">
      <c r="A711" s="7" t="s">
        <v>871</v>
      </c>
      <c r="B711" s="25" t="s">
        <v>872</v>
      </c>
      <c r="C711" s="62">
        <v>299.5</v>
      </c>
      <c r="D711" s="62">
        <f>C711+0.099</f>
        <v>299.59899999999999</v>
      </c>
      <c r="E711" s="62">
        <f>C711-0.099</f>
        <v>299.40100000000001</v>
      </c>
      <c r="F711" s="26">
        <f t="shared" si="201"/>
        <v>753.530393</v>
      </c>
      <c r="G711" s="25" t="s">
        <v>239</v>
      </c>
      <c r="H711" s="26">
        <f t="shared" si="202"/>
        <v>329.55981600000001</v>
      </c>
      <c r="I711" s="26">
        <f t="shared" si="202"/>
        <v>1492.0462199999999</v>
      </c>
      <c r="J711" s="23" t="s">
        <v>644</v>
      </c>
      <c r="K711" s="23" t="s">
        <v>400</v>
      </c>
      <c r="L711" s="26">
        <v>753.530393</v>
      </c>
      <c r="M711" s="26">
        <v>329.55981600000001</v>
      </c>
      <c r="N711" s="26">
        <v>1492.0462199999999</v>
      </c>
      <c r="Q711" s="92" t="s">
        <v>874</v>
      </c>
      <c r="R711" s="26" t="s">
        <v>13</v>
      </c>
      <c r="Y711" s="26"/>
      <c r="Z711" s="26"/>
      <c r="AA711" s="26"/>
      <c r="AC711" s="77"/>
      <c r="BF711" s="26"/>
      <c r="BG711" s="26"/>
      <c r="BH711" s="83"/>
      <c r="BL711" s="26" t="s">
        <v>13</v>
      </c>
      <c r="BM711" s="25" t="s">
        <v>13</v>
      </c>
    </row>
    <row r="712" spans="1:65">
      <c r="A712" s="7" t="s">
        <v>871</v>
      </c>
      <c r="B712" s="25" t="s">
        <v>872</v>
      </c>
      <c r="C712" s="62">
        <v>299.7</v>
      </c>
      <c r="D712" s="62">
        <f>C712+0.099</f>
        <v>299.79899999999998</v>
      </c>
      <c r="E712" s="62">
        <f>C712-0.099</f>
        <v>299.601</v>
      </c>
      <c r="F712" s="26">
        <f t="shared" si="201"/>
        <v>111.81</v>
      </c>
      <c r="G712" s="25" t="s">
        <v>239</v>
      </c>
      <c r="H712" s="26">
        <f t="shared" si="202"/>
        <v>31.560000000000002</v>
      </c>
      <c r="I712" s="26">
        <f t="shared" si="202"/>
        <v>245.21</v>
      </c>
      <c r="J712" s="23" t="s">
        <v>644</v>
      </c>
      <c r="K712" s="23" t="s">
        <v>400</v>
      </c>
      <c r="L712" s="26">
        <v>111.81</v>
      </c>
      <c r="M712" s="26">
        <v>31.560000000000002</v>
      </c>
      <c r="N712" s="26">
        <v>245.21</v>
      </c>
      <c r="Q712" s="92" t="s">
        <v>874</v>
      </c>
      <c r="R712" s="26" t="s">
        <v>13</v>
      </c>
      <c r="Y712" s="26"/>
      <c r="Z712" s="26"/>
      <c r="AA712" s="26"/>
      <c r="AC712" s="77"/>
      <c r="BF712" s="26"/>
      <c r="BG712" s="26"/>
      <c r="BH712" s="83"/>
      <c r="BL712" s="26" t="s">
        <v>13</v>
      </c>
      <c r="BM712" s="25" t="s">
        <v>13</v>
      </c>
    </row>
    <row r="713" spans="1:65">
      <c r="A713" s="7" t="s">
        <v>871</v>
      </c>
      <c r="B713" s="25" t="s">
        <v>872</v>
      </c>
      <c r="C713" s="62">
        <v>299.89999999999998</v>
      </c>
      <c r="D713" s="62">
        <f>C713+0.099</f>
        <v>299.99899999999997</v>
      </c>
      <c r="E713" s="62">
        <f>C713-0.099</f>
        <v>299.80099999999999</v>
      </c>
      <c r="F713" s="26">
        <f t="shared" si="201"/>
        <v>506.95387599999998</v>
      </c>
      <c r="G713" s="25" t="s">
        <v>239</v>
      </c>
      <c r="H713" s="26">
        <f t="shared" si="202"/>
        <v>190.97261599999996</v>
      </c>
      <c r="I713" s="26">
        <f t="shared" si="202"/>
        <v>1035.2550879999999</v>
      </c>
      <c r="J713" s="23" t="s">
        <v>644</v>
      </c>
      <c r="K713" s="23" t="s">
        <v>400</v>
      </c>
      <c r="L713" s="26">
        <v>506.95387599999998</v>
      </c>
      <c r="M713" s="26">
        <v>190.97261599999996</v>
      </c>
      <c r="N713" s="26">
        <v>1035.2550879999999</v>
      </c>
      <c r="Q713" s="92" t="s">
        <v>874</v>
      </c>
      <c r="R713" s="26" t="s">
        <v>13</v>
      </c>
      <c r="Y713" s="26"/>
      <c r="Z713" s="26"/>
      <c r="AA713" s="26"/>
      <c r="AC713" s="77"/>
      <c r="BF713" s="26"/>
      <c r="BG713" s="26"/>
      <c r="BH713" s="83"/>
      <c r="BL713" s="26" t="s">
        <v>13</v>
      </c>
      <c r="BM713" s="25" t="s">
        <v>13</v>
      </c>
    </row>
    <row r="714" spans="1:65">
      <c r="A714" s="7" t="s">
        <v>871</v>
      </c>
      <c r="B714" s="25" t="s">
        <v>872</v>
      </c>
      <c r="C714" s="62">
        <v>300.2</v>
      </c>
      <c r="D714" s="62">
        <f>C714+0.099</f>
        <v>300.29899999999998</v>
      </c>
      <c r="E714" s="62">
        <f>C714-0.099</f>
        <v>300.101</v>
      </c>
      <c r="F714" s="26">
        <f t="shared" si="201"/>
        <v>316.83999999999997</v>
      </c>
      <c r="G714" s="25" t="s">
        <v>239</v>
      </c>
      <c r="H714" s="26">
        <f t="shared" si="202"/>
        <v>121.06</v>
      </c>
      <c r="I714" s="26">
        <f t="shared" si="202"/>
        <v>646.58000000000004</v>
      </c>
      <c r="J714" s="23" t="s">
        <v>644</v>
      </c>
      <c r="K714" s="23" t="s">
        <v>400</v>
      </c>
      <c r="L714" s="26">
        <v>316.83999999999997</v>
      </c>
      <c r="M714" s="26">
        <v>121.06</v>
      </c>
      <c r="N714" s="26">
        <v>646.58000000000004</v>
      </c>
      <c r="Q714" s="92" t="s">
        <v>874</v>
      </c>
      <c r="R714" s="26" t="s">
        <v>13</v>
      </c>
      <c r="Y714" s="26"/>
      <c r="Z714" s="26"/>
      <c r="AA714" s="26"/>
      <c r="AC714" s="77"/>
      <c r="BF714" s="26"/>
      <c r="BG714" s="26"/>
      <c r="BH714" s="83"/>
      <c r="BL714" s="26" t="s">
        <v>13</v>
      </c>
      <c r="BM714" s="25" t="s">
        <v>13</v>
      </c>
    </row>
    <row r="715" spans="1:65">
      <c r="A715" s="7" t="s">
        <v>1096</v>
      </c>
      <c r="B715" s="25" t="s">
        <v>1097</v>
      </c>
      <c r="C715" s="62">
        <v>198.78</v>
      </c>
      <c r="F715" s="26">
        <f t="shared" si="201"/>
        <v>1315.8713391477222</v>
      </c>
      <c r="G715" s="25" t="s">
        <v>389</v>
      </c>
      <c r="H715" s="26">
        <f t="shared" si="202"/>
        <v>802.84531605433131</v>
      </c>
      <c r="I715" s="26">
        <f t="shared" si="202"/>
        <v>1828.8973622411131</v>
      </c>
      <c r="J715" s="91" t="s">
        <v>572</v>
      </c>
      <c r="K715" s="25" t="s">
        <v>575</v>
      </c>
      <c r="L715" s="26">
        <v>1315.8713391477222</v>
      </c>
      <c r="M715" s="26">
        <v>802.84531605433131</v>
      </c>
      <c r="N715" s="26">
        <v>1828.8973622411131</v>
      </c>
      <c r="O715" s="25">
        <v>2000</v>
      </c>
      <c r="P715" s="25">
        <v>2000</v>
      </c>
      <c r="Q715" s="92" t="s">
        <v>1098</v>
      </c>
      <c r="R715" s="26" t="s">
        <v>13</v>
      </c>
      <c r="Y715" s="26"/>
      <c r="Z715" s="26"/>
      <c r="AA715" s="26"/>
      <c r="AC715" s="77"/>
      <c r="BF715" s="26"/>
      <c r="BG715" s="26"/>
      <c r="BH715" s="83"/>
      <c r="BL715" s="26" t="s">
        <v>13</v>
      </c>
      <c r="BM715" s="25" t="s">
        <v>13</v>
      </c>
    </row>
    <row r="716" spans="1:65">
      <c r="A716" s="7" t="s">
        <v>1096</v>
      </c>
      <c r="B716" s="25" t="s">
        <v>1097</v>
      </c>
      <c r="C716" s="62">
        <v>198.55</v>
      </c>
      <c r="F716" s="26">
        <f t="shared" si="201"/>
        <v>1227.9587723249638</v>
      </c>
      <c r="G716" s="25" t="s">
        <v>389</v>
      </c>
      <c r="H716" s="26">
        <f t="shared" si="202"/>
        <v>748.94496983625595</v>
      </c>
      <c r="I716" s="26">
        <f t="shared" si="202"/>
        <v>1706.9725748136716</v>
      </c>
      <c r="J716" s="91" t="s">
        <v>572</v>
      </c>
      <c r="K716" s="25" t="s">
        <v>575</v>
      </c>
      <c r="L716" s="26">
        <v>1227.9587723249638</v>
      </c>
      <c r="M716" s="26">
        <v>748.94496983625595</v>
      </c>
      <c r="N716" s="26">
        <v>1706.9725748136716</v>
      </c>
      <c r="O716" s="25">
        <v>2000</v>
      </c>
      <c r="P716" s="25">
        <v>2000</v>
      </c>
      <c r="Q716" s="92" t="s">
        <v>1099</v>
      </c>
      <c r="R716" s="26" t="s">
        <v>13</v>
      </c>
      <c r="Y716" s="26"/>
      <c r="Z716" s="26"/>
      <c r="AA716" s="26"/>
      <c r="AC716" s="77"/>
      <c r="BF716" s="26"/>
      <c r="BG716" s="26"/>
      <c r="BH716" s="83"/>
      <c r="BL716" s="26" t="s">
        <v>13</v>
      </c>
      <c r="BM716" s="25" t="s">
        <v>13</v>
      </c>
    </row>
    <row r="717" spans="1:65">
      <c r="A717" s="7" t="s">
        <v>1096</v>
      </c>
      <c r="B717" s="25" t="s">
        <v>1097</v>
      </c>
      <c r="C717" s="62">
        <v>198.45</v>
      </c>
      <c r="F717" s="26">
        <f t="shared" si="201"/>
        <v>1409.6534149165313</v>
      </c>
      <c r="G717" s="25" t="s">
        <v>389</v>
      </c>
      <c r="H717" s="26">
        <f t="shared" si="202"/>
        <v>860.34978083677947</v>
      </c>
      <c r="I717" s="26">
        <f t="shared" si="202"/>
        <v>1958.9570489962832</v>
      </c>
      <c r="J717" s="91" t="s">
        <v>572</v>
      </c>
      <c r="K717" s="25" t="s">
        <v>575</v>
      </c>
      <c r="L717" s="26">
        <v>1409.6534149165313</v>
      </c>
      <c r="M717" s="26">
        <v>860.34978083677947</v>
      </c>
      <c r="N717" s="26">
        <v>1958.9570489962832</v>
      </c>
      <c r="O717" s="25">
        <v>2000</v>
      </c>
      <c r="P717" s="25">
        <v>2000</v>
      </c>
      <c r="Q717" s="92" t="s">
        <v>1100</v>
      </c>
      <c r="R717" s="26" t="s">
        <v>13</v>
      </c>
      <c r="Y717" s="26"/>
      <c r="Z717" s="26"/>
      <c r="AA717" s="26"/>
      <c r="AC717" s="77"/>
      <c r="BF717" s="26"/>
      <c r="BG717" s="26"/>
      <c r="BH717" s="83"/>
      <c r="BL717" s="26" t="s">
        <v>13</v>
      </c>
      <c r="BM717" s="25" t="s">
        <v>13</v>
      </c>
    </row>
    <row r="718" spans="1:65">
      <c r="A718" s="7" t="s">
        <v>1096</v>
      </c>
      <c r="B718" s="25" t="s">
        <v>1097</v>
      </c>
      <c r="C718" s="62">
        <v>198.16</v>
      </c>
      <c r="F718" s="26">
        <f t="shared" si="201"/>
        <v>1769.1963371310965</v>
      </c>
      <c r="G718" s="25" t="s">
        <v>389</v>
      </c>
      <c r="H718" s="26">
        <f t="shared" si="202"/>
        <v>1080.4723418756812</v>
      </c>
      <c r="I718" s="26">
        <f t="shared" si="202"/>
        <v>2457.9203323865117</v>
      </c>
      <c r="J718" s="91" t="s">
        <v>572</v>
      </c>
      <c r="K718" s="25" t="s">
        <v>575</v>
      </c>
      <c r="L718" s="26">
        <v>1769.1963371310965</v>
      </c>
      <c r="M718" s="26">
        <v>1080.4723418756812</v>
      </c>
      <c r="N718" s="26">
        <v>2457.9203323865117</v>
      </c>
      <c r="O718" s="25">
        <v>2000</v>
      </c>
      <c r="P718" s="25">
        <v>2000</v>
      </c>
      <c r="Q718" s="92" t="s">
        <v>1101</v>
      </c>
      <c r="R718" s="26" t="s">
        <v>13</v>
      </c>
      <c r="Y718" s="26"/>
      <c r="Z718" s="26"/>
      <c r="AA718" s="26"/>
      <c r="AC718" s="77"/>
      <c r="BF718" s="26"/>
      <c r="BG718" s="26"/>
      <c r="BH718" s="83"/>
      <c r="BL718" s="26" t="s">
        <v>13</v>
      </c>
      <c r="BM718" s="25" t="s">
        <v>13</v>
      </c>
    </row>
    <row r="719" spans="1:65">
      <c r="A719" s="7" t="s">
        <v>1096</v>
      </c>
      <c r="B719" s="25" t="s">
        <v>1097</v>
      </c>
      <c r="C719" s="62">
        <v>197.83</v>
      </c>
      <c r="F719" s="26">
        <f t="shared" si="201"/>
        <v>1711.3383207782952</v>
      </c>
      <c r="G719" s="25" t="s">
        <v>389</v>
      </c>
      <c r="H719" s="26">
        <f t="shared" si="202"/>
        <v>1045.0733895587007</v>
      </c>
      <c r="I719" s="26">
        <f t="shared" si="202"/>
        <v>2377.6032519978899</v>
      </c>
      <c r="J719" s="91" t="s">
        <v>572</v>
      </c>
      <c r="K719" s="25" t="s">
        <v>575</v>
      </c>
      <c r="L719" s="26">
        <v>1711.3383207782952</v>
      </c>
      <c r="M719" s="26">
        <v>1045.0733895587007</v>
      </c>
      <c r="N719" s="26">
        <v>2377.6032519978899</v>
      </c>
      <c r="O719" s="25">
        <v>2000</v>
      </c>
      <c r="P719" s="25">
        <v>2000</v>
      </c>
      <c r="Q719" s="92" t="s">
        <v>1102</v>
      </c>
      <c r="R719" s="26" t="s">
        <v>13</v>
      </c>
      <c r="Y719" s="26"/>
      <c r="Z719" s="26"/>
      <c r="AA719" s="26"/>
      <c r="AC719" s="77"/>
      <c r="BF719" s="26"/>
      <c r="BG719" s="26"/>
      <c r="BH719" s="83"/>
      <c r="BL719" s="26" t="s">
        <v>13</v>
      </c>
      <c r="BM719" s="25" t="s">
        <v>13</v>
      </c>
    </row>
    <row r="720" spans="1:65">
      <c r="A720" s="7" t="s">
        <v>1096</v>
      </c>
      <c r="B720" s="25" t="s">
        <v>1097</v>
      </c>
      <c r="C720" s="62">
        <v>197.41</v>
      </c>
      <c r="F720" s="26">
        <f t="shared" si="201"/>
        <v>1877.9462274790587</v>
      </c>
      <c r="G720" s="25" t="s">
        <v>389</v>
      </c>
      <c r="H720" s="26">
        <f t="shared" si="202"/>
        <v>1146.9092337638806</v>
      </c>
      <c r="I720" s="26">
        <f t="shared" si="202"/>
        <v>2608.9832211942366</v>
      </c>
      <c r="J720" s="91" t="s">
        <v>572</v>
      </c>
      <c r="K720" s="25" t="s">
        <v>575</v>
      </c>
      <c r="L720" s="26">
        <v>1877.9462274790587</v>
      </c>
      <c r="M720" s="26">
        <v>1146.9092337638806</v>
      </c>
      <c r="N720" s="26">
        <v>2608.9832211942366</v>
      </c>
      <c r="O720" s="25">
        <v>2000</v>
      </c>
      <c r="P720" s="25">
        <v>2000</v>
      </c>
      <c r="Q720" s="92" t="s">
        <v>1103</v>
      </c>
      <c r="R720" s="26" t="s">
        <v>13</v>
      </c>
      <c r="Y720" s="26"/>
      <c r="Z720" s="26"/>
      <c r="AA720" s="26"/>
      <c r="AC720" s="77"/>
      <c r="BF720" s="26"/>
      <c r="BG720" s="26"/>
      <c r="BH720" s="83"/>
      <c r="BL720" s="26" t="s">
        <v>13</v>
      </c>
      <c r="BM720" s="25" t="s">
        <v>13</v>
      </c>
    </row>
    <row r="721" spans="1:65">
      <c r="A721" s="7" t="s">
        <v>1096</v>
      </c>
      <c r="B721" s="25" t="s">
        <v>1097</v>
      </c>
      <c r="C721" s="62">
        <v>195.63</v>
      </c>
      <c r="F721" s="26">
        <f t="shared" si="201"/>
        <v>1869.1963824471761</v>
      </c>
      <c r="G721" s="25" t="s">
        <v>389</v>
      </c>
      <c r="H721" s="26">
        <f t="shared" si="202"/>
        <v>1141.4515535333626</v>
      </c>
      <c r="I721" s="26">
        <f t="shared" si="202"/>
        <v>2596.9412113609897</v>
      </c>
      <c r="J721" s="91" t="s">
        <v>572</v>
      </c>
      <c r="K721" s="25" t="s">
        <v>575</v>
      </c>
      <c r="L721" s="26">
        <v>1869.1963824471761</v>
      </c>
      <c r="M721" s="26">
        <v>1141.4515535333626</v>
      </c>
      <c r="N721" s="26">
        <v>2596.9412113609897</v>
      </c>
      <c r="O721" s="25">
        <v>2000</v>
      </c>
      <c r="P721" s="25">
        <v>2000</v>
      </c>
      <c r="Q721" s="92" t="s">
        <v>1104</v>
      </c>
      <c r="R721" s="26" t="s">
        <v>13</v>
      </c>
      <c r="Y721" s="26"/>
      <c r="Z721" s="26"/>
      <c r="AA721" s="26"/>
      <c r="AC721" s="77"/>
      <c r="BF721" s="26"/>
      <c r="BG721" s="26"/>
      <c r="BH721" s="83"/>
      <c r="BL721" s="26" t="s">
        <v>13</v>
      </c>
      <c r="BM721" s="25" t="s">
        <v>13</v>
      </c>
    </row>
    <row r="722" spans="1:65">
      <c r="A722" s="7" t="s">
        <v>1096</v>
      </c>
      <c r="B722" s="25" t="s">
        <v>1097</v>
      </c>
      <c r="C722" s="62">
        <v>194.71</v>
      </c>
      <c r="F722" s="26">
        <f t="shared" si="201"/>
        <v>1994.2862780263908</v>
      </c>
      <c r="G722" s="25" t="s">
        <v>389</v>
      </c>
      <c r="H722" s="26">
        <f t="shared" si="202"/>
        <v>1217.8290249846837</v>
      </c>
      <c r="I722" s="26">
        <f t="shared" si="202"/>
        <v>2770.743531068098</v>
      </c>
      <c r="J722" s="91" t="s">
        <v>572</v>
      </c>
      <c r="K722" s="25" t="s">
        <v>575</v>
      </c>
      <c r="L722" s="26">
        <v>1994.2862780263908</v>
      </c>
      <c r="M722" s="26">
        <v>1217.8290249846837</v>
      </c>
      <c r="N722" s="26">
        <v>2770.743531068098</v>
      </c>
      <c r="O722" s="25">
        <v>2000</v>
      </c>
      <c r="P722" s="25">
        <v>2000</v>
      </c>
      <c r="Q722" s="92" t="s">
        <v>1105</v>
      </c>
      <c r="R722" s="26" t="s">
        <v>13</v>
      </c>
      <c r="Y722" s="26"/>
      <c r="Z722" s="26"/>
      <c r="AA722" s="26"/>
      <c r="AC722" s="77"/>
      <c r="BF722" s="26"/>
      <c r="BG722" s="26"/>
      <c r="BH722" s="83"/>
      <c r="BL722" s="26" t="s">
        <v>13</v>
      </c>
      <c r="BM722" s="25" t="s">
        <v>13</v>
      </c>
    </row>
    <row r="723" spans="1:65">
      <c r="A723" s="7" t="s">
        <v>1096</v>
      </c>
      <c r="B723" s="25" t="s">
        <v>1097</v>
      </c>
      <c r="C723" s="62">
        <v>194.03</v>
      </c>
      <c r="F723" s="26">
        <f t="shared" si="201"/>
        <v>1759.773337268188</v>
      </c>
      <c r="G723" s="25" t="s">
        <v>389</v>
      </c>
      <c r="H723" s="26">
        <f t="shared" si="202"/>
        <v>1074.4640151472929</v>
      </c>
      <c r="I723" s="26">
        <f t="shared" si="202"/>
        <v>2445.0826593890833</v>
      </c>
      <c r="J723" s="91" t="s">
        <v>572</v>
      </c>
      <c r="K723" s="25" t="s">
        <v>575</v>
      </c>
      <c r="L723" s="26">
        <v>1759.773337268188</v>
      </c>
      <c r="M723" s="26">
        <v>1074.4640151472929</v>
      </c>
      <c r="N723" s="26">
        <v>2445.0826593890833</v>
      </c>
      <c r="O723" s="25">
        <v>2000</v>
      </c>
      <c r="P723" s="25">
        <v>2000</v>
      </c>
      <c r="Q723" s="92" t="s">
        <v>1106</v>
      </c>
      <c r="R723" s="26" t="s">
        <v>13</v>
      </c>
      <c r="Y723" s="26"/>
      <c r="Z723" s="26"/>
      <c r="AA723" s="26"/>
      <c r="AC723" s="77"/>
      <c r="BF723" s="26"/>
      <c r="BG723" s="26"/>
      <c r="BH723" s="83"/>
      <c r="BL723" s="26" t="s">
        <v>13</v>
      </c>
      <c r="BM723" s="25" t="s">
        <v>13</v>
      </c>
    </row>
    <row r="724" spans="1:65">
      <c r="A724" s="7" t="s">
        <v>1096</v>
      </c>
      <c r="B724" s="25" t="s">
        <v>1097</v>
      </c>
      <c r="C724" s="62">
        <v>192.73</v>
      </c>
      <c r="F724" s="26">
        <f t="shared" si="201"/>
        <v>1520.4062861246703</v>
      </c>
      <c r="G724" s="25" t="s">
        <v>389</v>
      </c>
      <c r="H724" s="26">
        <f t="shared" si="202"/>
        <v>928.02068561532963</v>
      </c>
      <c r="I724" s="26">
        <f t="shared" si="202"/>
        <v>2112.791886634011</v>
      </c>
      <c r="J724" s="91" t="s">
        <v>572</v>
      </c>
      <c r="K724" s="25" t="s">
        <v>575</v>
      </c>
      <c r="L724" s="26">
        <v>1520.4062861246703</v>
      </c>
      <c r="M724" s="26">
        <v>928.02068561532963</v>
      </c>
      <c r="N724" s="26">
        <v>2112.791886634011</v>
      </c>
      <c r="O724" s="25">
        <v>2000</v>
      </c>
      <c r="P724" s="25">
        <v>2000</v>
      </c>
      <c r="Q724" s="92" t="s">
        <v>1107</v>
      </c>
      <c r="R724" s="26" t="s">
        <v>13</v>
      </c>
      <c r="Y724" s="26"/>
      <c r="Z724" s="26"/>
      <c r="AA724" s="26"/>
      <c r="AC724" s="77"/>
      <c r="BF724" s="26"/>
      <c r="BG724" s="26"/>
      <c r="BH724" s="83"/>
      <c r="BL724" s="26" t="s">
        <v>13</v>
      </c>
      <c r="BM724" s="25" t="s">
        <v>13</v>
      </c>
    </row>
    <row r="725" spans="1:65">
      <c r="A725" s="7" t="s">
        <v>1096</v>
      </c>
      <c r="B725" s="25" t="s">
        <v>1097</v>
      </c>
      <c r="C725" s="62">
        <v>191.21</v>
      </c>
      <c r="F725" s="26">
        <f t="shared" si="201"/>
        <v>1891.0743962089853</v>
      </c>
      <c r="G725" s="25" t="s">
        <v>389</v>
      </c>
      <c r="H725" s="26">
        <f t="shared" si="202"/>
        <v>1154.797877897563</v>
      </c>
      <c r="I725" s="26">
        <f t="shared" si="202"/>
        <v>2627.3509145204075</v>
      </c>
      <c r="J725" s="91" t="s">
        <v>572</v>
      </c>
      <c r="K725" s="25" t="s">
        <v>575</v>
      </c>
      <c r="L725" s="26">
        <v>1891.0743962089853</v>
      </c>
      <c r="M725" s="26">
        <v>1154.797877897563</v>
      </c>
      <c r="N725" s="26">
        <v>2627.3509145204075</v>
      </c>
      <c r="O725" s="25">
        <v>2000</v>
      </c>
      <c r="P725" s="25">
        <v>2000</v>
      </c>
      <c r="Q725" s="92" t="s">
        <v>1108</v>
      </c>
      <c r="R725" s="26" t="s">
        <v>13</v>
      </c>
      <c r="Y725" s="26"/>
      <c r="Z725" s="26"/>
      <c r="AA725" s="26"/>
      <c r="AC725" s="77"/>
      <c r="BF725" s="26"/>
      <c r="BG725" s="26"/>
      <c r="BH725" s="83"/>
      <c r="BL725" s="26" t="s">
        <v>13</v>
      </c>
      <c r="BM725" s="25" t="s">
        <v>13</v>
      </c>
    </row>
    <row r="726" spans="1:65">
      <c r="A726" s="7" t="s">
        <v>1096</v>
      </c>
      <c r="B726" s="25" t="s">
        <v>1109</v>
      </c>
      <c r="C726" s="62">
        <v>190.31</v>
      </c>
      <c r="F726" s="26">
        <f t="shared" si="201"/>
        <v>2373.8824598308474</v>
      </c>
      <c r="G726" s="25" t="s">
        <v>389</v>
      </c>
      <c r="H726" s="26">
        <f t="shared" si="202"/>
        <v>1449.5976571946003</v>
      </c>
      <c r="I726" s="26">
        <f t="shared" si="202"/>
        <v>3298.1672624670946</v>
      </c>
      <c r="J726" s="91" t="s">
        <v>572</v>
      </c>
      <c r="K726" s="25" t="s">
        <v>575</v>
      </c>
      <c r="L726" s="26">
        <v>2373.8824598308474</v>
      </c>
      <c r="M726" s="26">
        <v>1449.5976571946003</v>
      </c>
      <c r="N726" s="26">
        <v>3298.1672624670946</v>
      </c>
      <c r="O726" s="25">
        <v>2000</v>
      </c>
      <c r="P726" s="25">
        <v>2000</v>
      </c>
      <c r="Q726" s="92" t="s">
        <v>1110</v>
      </c>
      <c r="R726" s="26" t="s">
        <v>13</v>
      </c>
      <c r="Y726" s="26"/>
      <c r="Z726" s="26"/>
      <c r="AA726" s="26"/>
      <c r="AC726" s="77"/>
      <c r="BF726" s="26"/>
      <c r="BG726" s="26"/>
      <c r="BH726" s="83"/>
      <c r="BL726" s="26" t="s">
        <v>13</v>
      </c>
      <c r="BM726" s="25" t="s">
        <v>13</v>
      </c>
    </row>
    <row r="727" spans="1:65">
      <c r="A727" s="7" t="s">
        <v>1096</v>
      </c>
      <c r="B727" s="25" t="s">
        <v>1111</v>
      </c>
      <c r="C727" s="62">
        <v>190.06</v>
      </c>
      <c r="F727" s="26">
        <f t="shared" si="201"/>
        <v>1754.0925155679545</v>
      </c>
      <c r="G727" s="25" t="s">
        <v>389</v>
      </c>
      <c r="H727" s="26">
        <f t="shared" si="202"/>
        <v>1071.2009364118694</v>
      </c>
      <c r="I727" s="26">
        <f t="shared" si="202"/>
        <v>2436.9840947240396</v>
      </c>
      <c r="J727" s="91" t="s">
        <v>572</v>
      </c>
      <c r="K727" s="25" t="s">
        <v>575</v>
      </c>
      <c r="L727" s="26">
        <v>1754.0925155679545</v>
      </c>
      <c r="M727" s="26">
        <v>1071.2009364118694</v>
      </c>
      <c r="N727" s="26">
        <v>2436.9840947240396</v>
      </c>
      <c r="O727" s="25">
        <v>2000</v>
      </c>
      <c r="P727" s="25">
        <v>2000</v>
      </c>
      <c r="Q727" s="92" t="s">
        <v>1112</v>
      </c>
      <c r="R727" s="26" t="s">
        <v>13</v>
      </c>
      <c r="Y727" s="26"/>
      <c r="Z727" s="26"/>
      <c r="AA727" s="26"/>
      <c r="AC727" s="77"/>
      <c r="BF727" s="26"/>
      <c r="BG727" s="26"/>
      <c r="BH727" s="83"/>
      <c r="BL727" s="26" t="s">
        <v>13</v>
      </c>
      <c r="BM727" s="25" t="s">
        <v>13</v>
      </c>
    </row>
    <row r="728" spans="1:65">
      <c r="A728" s="7" t="s">
        <v>1096</v>
      </c>
      <c r="B728" s="25" t="s">
        <v>1111</v>
      </c>
      <c r="C728" s="62">
        <v>189.81</v>
      </c>
      <c r="F728" s="26">
        <f t="shared" si="201"/>
        <v>1350.8575878475388</v>
      </c>
      <c r="G728" s="25" t="s">
        <v>389</v>
      </c>
      <c r="H728" s="26">
        <f t="shared" si="202"/>
        <v>824.30870035189946</v>
      </c>
      <c r="I728" s="26">
        <f t="shared" si="202"/>
        <v>1877.406475343178</v>
      </c>
      <c r="J728" s="91" t="s">
        <v>572</v>
      </c>
      <c r="K728" s="25" t="s">
        <v>575</v>
      </c>
      <c r="L728" s="26">
        <v>1350.8575878475388</v>
      </c>
      <c r="M728" s="26">
        <v>824.30870035189946</v>
      </c>
      <c r="N728" s="26">
        <v>1877.406475343178</v>
      </c>
      <c r="O728" s="25">
        <v>2000</v>
      </c>
      <c r="P728" s="25">
        <v>2000</v>
      </c>
      <c r="Q728" s="92" t="s">
        <v>1113</v>
      </c>
      <c r="R728" s="26" t="s">
        <v>13</v>
      </c>
      <c r="Y728" s="26"/>
      <c r="Z728" s="26"/>
      <c r="AA728" s="26"/>
      <c r="AC728" s="77"/>
      <c r="BF728" s="26"/>
      <c r="BG728" s="26"/>
      <c r="BH728" s="83"/>
      <c r="BL728" s="26" t="s">
        <v>13</v>
      </c>
      <c r="BM728" s="25" t="s">
        <v>13</v>
      </c>
    </row>
    <row r="729" spans="1:65">
      <c r="A729" s="7" t="s">
        <v>1096</v>
      </c>
      <c r="B729" s="25" t="s">
        <v>1111</v>
      </c>
      <c r="C729" s="62">
        <v>189.18</v>
      </c>
      <c r="F729" s="26">
        <f t="shared" si="201"/>
        <v>1368.845630086209</v>
      </c>
      <c r="G729" s="25" t="s">
        <v>389</v>
      </c>
      <c r="H729" s="26">
        <f t="shared" si="202"/>
        <v>835.23731977713453</v>
      </c>
      <c r="I729" s="26">
        <f t="shared" si="202"/>
        <v>1902.4539403952836</v>
      </c>
      <c r="J729" s="91" t="s">
        <v>572</v>
      </c>
      <c r="K729" s="25" t="s">
        <v>575</v>
      </c>
      <c r="L729" s="26">
        <v>1368.845630086209</v>
      </c>
      <c r="M729" s="26">
        <v>835.23731977713453</v>
      </c>
      <c r="N729" s="26">
        <v>1902.4539403952836</v>
      </c>
      <c r="O729" s="25">
        <v>2000</v>
      </c>
      <c r="P729" s="25">
        <v>2000</v>
      </c>
      <c r="Q729" s="92" t="s">
        <v>1114</v>
      </c>
      <c r="R729" s="26" t="s">
        <v>13</v>
      </c>
      <c r="Y729" s="26"/>
      <c r="Z729" s="26"/>
      <c r="AA729" s="26"/>
      <c r="AC729" s="77"/>
      <c r="BF729" s="26"/>
      <c r="BG729" s="26"/>
      <c r="BH729" s="83"/>
      <c r="BL729" s="26" t="s">
        <v>13</v>
      </c>
      <c r="BM729" s="25" t="s">
        <v>13</v>
      </c>
    </row>
    <row r="730" spans="1:65">
      <c r="A730" s="7" t="s">
        <v>1096</v>
      </c>
      <c r="B730" s="25" t="s">
        <v>1111</v>
      </c>
      <c r="C730" s="62">
        <v>188.92</v>
      </c>
      <c r="F730" s="26">
        <f t="shared" si="201"/>
        <v>1075.2804467848221</v>
      </c>
      <c r="G730" s="25" t="s">
        <v>389</v>
      </c>
      <c r="H730" s="26">
        <f t="shared" si="202"/>
        <v>655.1351593804701</v>
      </c>
      <c r="I730" s="26">
        <f t="shared" si="202"/>
        <v>1495.4257341891739</v>
      </c>
      <c r="J730" s="91" t="s">
        <v>572</v>
      </c>
      <c r="K730" s="25" t="s">
        <v>575</v>
      </c>
      <c r="L730" s="26">
        <v>1075.2804467848221</v>
      </c>
      <c r="M730" s="26">
        <v>655.1351593804701</v>
      </c>
      <c r="N730" s="26">
        <v>1495.4257341891739</v>
      </c>
      <c r="O730" s="25">
        <v>2000</v>
      </c>
      <c r="P730" s="25">
        <v>2000</v>
      </c>
      <c r="Q730" s="92" t="s">
        <v>1115</v>
      </c>
      <c r="R730" s="26" t="s">
        <v>13</v>
      </c>
      <c r="Y730" s="26"/>
      <c r="Z730" s="26"/>
      <c r="AA730" s="26"/>
      <c r="AC730" s="77"/>
      <c r="BF730" s="26"/>
      <c r="BG730" s="26"/>
      <c r="BH730" s="83"/>
      <c r="BL730" s="26" t="s">
        <v>13</v>
      </c>
      <c r="BM730" s="25" t="s">
        <v>13</v>
      </c>
    </row>
    <row r="731" spans="1:65">
      <c r="A731" s="7" t="s">
        <v>1096</v>
      </c>
      <c r="B731" s="25" t="s">
        <v>1111</v>
      </c>
      <c r="C731" s="62">
        <v>187.01</v>
      </c>
      <c r="F731" s="26">
        <f t="shared" si="201"/>
        <v>980.77058995173468</v>
      </c>
      <c r="G731" s="25" t="s">
        <v>389</v>
      </c>
      <c r="H731" s="26">
        <f t="shared" si="202"/>
        <v>597.10394430131385</v>
      </c>
      <c r="I731" s="26">
        <f t="shared" si="202"/>
        <v>1364.4372356021554</v>
      </c>
      <c r="J731" s="91" t="s">
        <v>572</v>
      </c>
      <c r="K731" s="25" t="s">
        <v>575</v>
      </c>
      <c r="L731" s="26">
        <v>980.77058995173468</v>
      </c>
      <c r="M731" s="26">
        <v>597.10394430131385</v>
      </c>
      <c r="N731" s="26">
        <v>1364.4372356021554</v>
      </c>
      <c r="O731" s="25">
        <v>2000</v>
      </c>
      <c r="P731" s="25">
        <v>2000</v>
      </c>
      <c r="Q731" s="92" t="s">
        <v>1116</v>
      </c>
      <c r="R731" s="26" t="s">
        <v>13</v>
      </c>
      <c r="Y731" s="26"/>
      <c r="Z731" s="26"/>
      <c r="AA731" s="26"/>
      <c r="AC731" s="77"/>
      <c r="BF731" s="26"/>
      <c r="BG731" s="26"/>
      <c r="BH731" s="83"/>
      <c r="BL731" s="26" t="s">
        <v>13</v>
      </c>
      <c r="BM731" s="25" t="s">
        <v>13</v>
      </c>
    </row>
    <row r="732" spans="1:65">
      <c r="A732" s="7" t="s">
        <v>1096</v>
      </c>
      <c r="B732" s="25" t="s">
        <v>1111</v>
      </c>
      <c r="C732" s="62">
        <v>185.61</v>
      </c>
      <c r="F732" s="26">
        <f t="shared" si="201"/>
        <v>1312.9414583623445</v>
      </c>
      <c r="G732" s="25" t="s">
        <v>389</v>
      </c>
      <c r="H732" s="26">
        <f t="shared" si="202"/>
        <v>800.9882575802701</v>
      </c>
      <c r="I732" s="26">
        <f t="shared" si="202"/>
        <v>1824.8946591444189</v>
      </c>
      <c r="J732" s="91" t="s">
        <v>572</v>
      </c>
      <c r="K732" s="25" t="s">
        <v>575</v>
      </c>
      <c r="L732" s="26">
        <v>1312.9414583623445</v>
      </c>
      <c r="M732" s="26">
        <v>800.9882575802701</v>
      </c>
      <c r="N732" s="26">
        <v>1824.8946591444189</v>
      </c>
      <c r="O732" s="25">
        <v>2000</v>
      </c>
      <c r="P732" s="25">
        <v>2000</v>
      </c>
      <c r="Q732" s="92" t="s">
        <v>1117</v>
      </c>
      <c r="R732" s="26" t="s">
        <v>13</v>
      </c>
      <c r="Y732" s="26"/>
      <c r="Z732" s="26"/>
      <c r="AA732" s="26"/>
      <c r="AC732" s="77"/>
      <c r="BF732" s="26"/>
      <c r="BG732" s="26"/>
      <c r="BH732" s="83"/>
      <c r="BL732" s="26" t="s">
        <v>13</v>
      </c>
      <c r="BM732" s="25" t="s">
        <v>13</v>
      </c>
    </row>
    <row r="733" spans="1:65">
      <c r="A733" s="7" t="s">
        <v>1096</v>
      </c>
      <c r="B733" s="25" t="s">
        <v>1111</v>
      </c>
      <c r="C733" s="62">
        <v>185.03</v>
      </c>
      <c r="F733" s="26">
        <f t="shared" si="201"/>
        <v>1636.0648129350363</v>
      </c>
      <c r="G733" s="25" t="s">
        <v>389</v>
      </c>
      <c r="H733" s="26">
        <f t="shared" si="202"/>
        <v>998.78020099331411</v>
      </c>
      <c r="I733" s="26">
        <f t="shared" si="202"/>
        <v>2273.3494248767583</v>
      </c>
      <c r="J733" s="91" t="s">
        <v>572</v>
      </c>
      <c r="K733" s="25" t="s">
        <v>575</v>
      </c>
      <c r="L733" s="26">
        <v>1636.0648129350363</v>
      </c>
      <c r="M733" s="26">
        <v>998.78020099331411</v>
      </c>
      <c r="N733" s="26">
        <v>2273.3494248767583</v>
      </c>
      <c r="O733" s="25">
        <v>2000</v>
      </c>
      <c r="P733" s="25">
        <v>2000</v>
      </c>
      <c r="Q733" s="92" t="s">
        <v>1118</v>
      </c>
      <c r="R733" s="26" t="s">
        <v>13</v>
      </c>
      <c r="Y733" s="26"/>
      <c r="Z733" s="26"/>
      <c r="AA733" s="26"/>
      <c r="AC733" s="77"/>
      <c r="BF733" s="26"/>
      <c r="BG733" s="26"/>
      <c r="BH733" s="83"/>
      <c r="BL733" s="26" t="s">
        <v>13</v>
      </c>
      <c r="BM733" s="25" t="s">
        <v>13</v>
      </c>
    </row>
    <row r="734" spans="1:65">
      <c r="A734" s="7" t="s">
        <v>1096</v>
      </c>
      <c r="B734" s="25" t="s">
        <v>1111</v>
      </c>
      <c r="C734" s="62">
        <v>184.67</v>
      </c>
      <c r="F734" s="26">
        <f t="shared" si="201"/>
        <v>1196.7399280473719</v>
      </c>
      <c r="G734" s="25" t="s">
        <v>389</v>
      </c>
      <c r="H734" s="26">
        <f t="shared" si="202"/>
        <v>729.64642518190612</v>
      </c>
      <c r="I734" s="26">
        <f t="shared" si="202"/>
        <v>1663.8334309128377</v>
      </c>
      <c r="J734" s="91" t="s">
        <v>572</v>
      </c>
      <c r="K734" s="25" t="s">
        <v>575</v>
      </c>
      <c r="L734" s="26">
        <v>1196.7399280473719</v>
      </c>
      <c r="M734" s="26">
        <v>729.64642518190612</v>
      </c>
      <c r="N734" s="26">
        <v>1663.8334309128377</v>
      </c>
      <c r="O734" s="25">
        <v>2000</v>
      </c>
      <c r="P734" s="25">
        <v>2000</v>
      </c>
      <c r="Q734" s="92" t="s">
        <v>1119</v>
      </c>
      <c r="R734" s="26" t="s">
        <v>13</v>
      </c>
      <c r="Y734" s="26"/>
      <c r="Z734" s="26"/>
      <c r="AA734" s="26"/>
      <c r="AC734" s="77"/>
      <c r="BF734" s="26"/>
      <c r="BG734" s="26"/>
      <c r="BH734" s="83"/>
      <c r="BL734" s="26" t="s">
        <v>13</v>
      </c>
      <c r="BM734" s="25" t="s">
        <v>13</v>
      </c>
    </row>
    <row r="735" spans="1:65">
      <c r="A735" s="7" t="s">
        <v>1096</v>
      </c>
      <c r="B735" s="25" t="s">
        <v>1111</v>
      </c>
      <c r="C735" s="62">
        <v>183.67</v>
      </c>
      <c r="F735" s="26">
        <f t="shared" si="201"/>
        <v>1881.1230557431372</v>
      </c>
      <c r="G735" s="25" t="s">
        <v>389</v>
      </c>
      <c r="H735" s="26">
        <f t="shared" si="202"/>
        <v>1148.6164845527833</v>
      </c>
      <c r="I735" s="26">
        <f t="shared" si="202"/>
        <v>2613.6296269334912</v>
      </c>
      <c r="J735" s="91" t="s">
        <v>572</v>
      </c>
      <c r="K735" s="25" t="s">
        <v>575</v>
      </c>
      <c r="L735" s="26">
        <v>1881.1230557431372</v>
      </c>
      <c r="M735" s="26">
        <v>1148.6164845527833</v>
      </c>
      <c r="N735" s="26">
        <v>2613.6296269334912</v>
      </c>
      <c r="O735" s="25">
        <v>2000</v>
      </c>
      <c r="P735" s="25">
        <v>2000</v>
      </c>
      <c r="Q735" s="92" t="s">
        <v>1120</v>
      </c>
      <c r="R735" s="26" t="s">
        <v>13</v>
      </c>
      <c r="Y735" s="26"/>
      <c r="Z735" s="26"/>
      <c r="AA735" s="26"/>
      <c r="AC735" s="77"/>
      <c r="BF735" s="26"/>
      <c r="BG735" s="26"/>
      <c r="BH735" s="83"/>
      <c r="BL735" s="26" t="s">
        <v>13</v>
      </c>
      <c r="BM735" s="25" t="s">
        <v>13</v>
      </c>
    </row>
    <row r="736" spans="1:65">
      <c r="A736" s="7" t="s">
        <v>1096</v>
      </c>
      <c r="B736" s="25" t="s">
        <v>1111</v>
      </c>
      <c r="C736" s="62">
        <v>182.6</v>
      </c>
      <c r="F736" s="26">
        <f t="shared" si="201"/>
        <v>2574.1439519435794</v>
      </c>
      <c r="G736" s="25" t="s">
        <v>389</v>
      </c>
      <c r="H736" s="26">
        <f t="shared" si="202"/>
        <v>1571.0228270465177</v>
      </c>
      <c r="I736" s="26">
        <f t="shared" si="202"/>
        <v>3577.2650768406411</v>
      </c>
      <c r="J736" s="91" t="s">
        <v>572</v>
      </c>
      <c r="K736" s="25" t="s">
        <v>575</v>
      </c>
      <c r="L736" s="26">
        <v>2574.1439519435794</v>
      </c>
      <c r="M736" s="26">
        <v>1571.0228270465177</v>
      </c>
      <c r="N736" s="26">
        <v>3577.2650768406411</v>
      </c>
      <c r="O736" s="25">
        <v>2000</v>
      </c>
      <c r="P736" s="25">
        <v>2000</v>
      </c>
      <c r="Q736" s="92" t="s">
        <v>1121</v>
      </c>
      <c r="R736" s="26" t="s">
        <v>13</v>
      </c>
      <c r="Y736" s="26"/>
      <c r="Z736" s="26"/>
      <c r="AA736" s="26"/>
      <c r="AC736" s="77"/>
      <c r="BF736" s="26"/>
      <c r="BG736" s="26"/>
      <c r="BH736" s="83"/>
      <c r="BL736" s="26" t="s">
        <v>13</v>
      </c>
      <c r="BM736" s="25" t="s">
        <v>13</v>
      </c>
    </row>
    <row r="737" spans="1:65">
      <c r="A737" s="7" t="s">
        <v>1096</v>
      </c>
      <c r="B737" s="25" t="s">
        <v>1122</v>
      </c>
      <c r="C737" s="62">
        <v>181.87</v>
      </c>
      <c r="F737" s="26">
        <f t="shared" si="201"/>
        <v>1094.2283307238745</v>
      </c>
      <c r="G737" s="25" t="s">
        <v>389</v>
      </c>
      <c r="H737" s="26">
        <f t="shared" si="202"/>
        <v>666.59109737010226</v>
      </c>
      <c r="I737" s="26">
        <f t="shared" si="202"/>
        <v>1521.8655640776467</v>
      </c>
      <c r="J737" s="91" t="s">
        <v>572</v>
      </c>
      <c r="K737" s="25" t="s">
        <v>575</v>
      </c>
      <c r="L737" s="26">
        <v>1094.2283307238745</v>
      </c>
      <c r="M737" s="26">
        <v>666.59109737010226</v>
      </c>
      <c r="N737" s="26">
        <v>1521.8655640776467</v>
      </c>
      <c r="O737" s="25">
        <v>2000</v>
      </c>
      <c r="P737" s="25">
        <v>2000</v>
      </c>
      <c r="Q737" s="92" t="s">
        <v>1123</v>
      </c>
      <c r="R737" s="26" t="s">
        <v>13</v>
      </c>
      <c r="Y737" s="26"/>
      <c r="Z737" s="26"/>
      <c r="AA737" s="26"/>
      <c r="AC737" s="77"/>
      <c r="BF737" s="26"/>
      <c r="BG737" s="26"/>
      <c r="BH737" s="83"/>
      <c r="BL737" s="26" t="s">
        <v>13</v>
      </c>
      <c r="BM737" s="25" t="s">
        <v>13</v>
      </c>
    </row>
    <row r="738" spans="1:65">
      <c r="A738" s="7" t="s">
        <v>1096</v>
      </c>
      <c r="B738" s="25" t="s">
        <v>1122</v>
      </c>
      <c r="C738" s="62">
        <v>181.04</v>
      </c>
      <c r="F738" s="26">
        <f t="shared" si="201"/>
        <v>2385.562693865731</v>
      </c>
      <c r="G738" s="25" t="s">
        <v>389</v>
      </c>
      <c r="H738" s="26">
        <f t="shared" si="202"/>
        <v>1456.6143204154523</v>
      </c>
      <c r="I738" s="26">
        <f t="shared" si="202"/>
        <v>3314.5110673160098</v>
      </c>
      <c r="J738" s="91" t="s">
        <v>572</v>
      </c>
      <c r="K738" s="25" t="s">
        <v>575</v>
      </c>
      <c r="L738" s="26">
        <v>2385.562693865731</v>
      </c>
      <c r="M738" s="26">
        <v>1456.6143204154523</v>
      </c>
      <c r="N738" s="26">
        <v>3314.5110673160098</v>
      </c>
      <c r="O738" s="25">
        <v>2000</v>
      </c>
      <c r="P738" s="25">
        <v>2000</v>
      </c>
      <c r="Q738" s="92" t="s">
        <v>1124</v>
      </c>
      <c r="R738" s="26" t="s">
        <v>13</v>
      </c>
      <c r="Y738" s="26"/>
      <c r="Z738" s="26"/>
      <c r="AA738" s="26"/>
      <c r="AC738" s="77"/>
      <c r="BF738" s="26"/>
      <c r="BG738" s="26"/>
      <c r="BH738" s="83"/>
      <c r="BL738" s="26" t="s">
        <v>13</v>
      </c>
      <c r="BM738" s="25" t="s">
        <v>13</v>
      </c>
    </row>
    <row r="739" spans="1:65">
      <c r="A739" s="7" t="s">
        <v>1096</v>
      </c>
      <c r="B739" s="25" t="s">
        <v>1122</v>
      </c>
      <c r="C739" s="62">
        <v>179.91</v>
      </c>
      <c r="F739" s="26">
        <f t="shared" si="201"/>
        <v>2609.9525578641169</v>
      </c>
      <c r="G739" s="25" t="s">
        <v>389</v>
      </c>
      <c r="H739" s="26">
        <f t="shared" si="202"/>
        <v>1592.9840335931945</v>
      </c>
      <c r="I739" s="26">
        <f t="shared" si="202"/>
        <v>3626.9210821350393</v>
      </c>
      <c r="J739" s="91" t="s">
        <v>572</v>
      </c>
      <c r="K739" s="25" t="s">
        <v>575</v>
      </c>
      <c r="L739" s="26">
        <v>2609.9525578641169</v>
      </c>
      <c r="M739" s="26">
        <v>1592.9840335931945</v>
      </c>
      <c r="N739" s="26">
        <v>3626.9210821350393</v>
      </c>
      <c r="O739" s="25">
        <v>2000</v>
      </c>
      <c r="P739" s="25">
        <v>2000</v>
      </c>
      <c r="Q739" s="92" t="s">
        <v>1125</v>
      </c>
      <c r="R739" s="26" t="s">
        <v>13</v>
      </c>
      <c r="Y739" s="26"/>
      <c r="Z739" s="26"/>
      <c r="AA739" s="26"/>
      <c r="AC739" s="77"/>
      <c r="BF739" s="26"/>
      <c r="BG739" s="26"/>
      <c r="BH739" s="83"/>
      <c r="BL739" s="26" t="s">
        <v>13</v>
      </c>
      <c r="BM739" s="25" t="s">
        <v>13</v>
      </c>
    </row>
    <row r="740" spans="1:65">
      <c r="A740" s="7" t="s">
        <v>1096</v>
      </c>
      <c r="B740" s="25" t="s">
        <v>1122</v>
      </c>
      <c r="C740" s="62">
        <v>179.52</v>
      </c>
      <c r="F740" s="26">
        <f t="shared" si="201"/>
        <v>1238.7818711581924</v>
      </c>
      <c r="G740" s="25" t="s">
        <v>389</v>
      </c>
      <c r="H740" s="26">
        <f t="shared" si="202"/>
        <v>755.57446772110723</v>
      </c>
      <c r="I740" s="26">
        <f t="shared" si="202"/>
        <v>1721.9892745952775</v>
      </c>
      <c r="J740" s="91" t="s">
        <v>572</v>
      </c>
      <c r="K740" s="25" t="s">
        <v>575</v>
      </c>
      <c r="L740" s="26">
        <v>1238.7818711581924</v>
      </c>
      <c r="M740" s="26">
        <v>755.57446772110723</v>
      </c>
      <c r="N740" s="26">
        <v>1721.9892745952775</v>
      </c>
      <c r="O740" s="25">
        <v>2000</v>
      </c>
      <c r="P740" s="25">
        <v>2000</v>
      </c>
      <c r="Q740" s="92" t="s">
        <v>1126</v>
      </c>
      <c r="R740" s="26" t="s">
        <v>13</v>
      </c>
      <c r="Y740" s="26"/>
      <c r="Z740" s="26"/>
      <c r="AA740" s="26"/>
      <c r="AC740" s="77"/>
      <c r="BF740" s="26"/>
      <c r="BG740" s="26"/>
      <c r="BH740" s="83"/>
      <c r="BL740" s="26" t="s">
        <v>13</v>
      </c>
      <c r="BM740" s="25" t="s">
        <v>13</v>
      </c>
    </row>
    <row r="741" spans="1:65">
      <c r="R741" s="26" t="s">
        <v>13</v>
      </c>
      <c r="Y741" s="26"/>
      <c r="Z741" s="26"/>
      <c r="AA741" s="26"/>
      <c r="AC741" s="77"/>
      <c r="BF741" s="26"/>
      <c r="BG741" s="26"/>
      <c r="BH741" s="83"/>
      <c r="BL741" s="26" t="s">
        <v>13</v>
      </c>
      <c r="BM741" s="25" t="s">
        <v>13</v>
      </c>
    </row>
    <row r="742" spans="1:65">
      <c r="R742" s="26" t="s">
        <v>13</v>
      </c>
      <c r="Y742" s="26"/>
      <c r="Z742" s="26"/>
      <c r="AA742" s="26"/>
      <c r="AC742" s="77"/>
      <c r="BF742" s="26"/>
      <c r="BG742" s="26"/>
      <c r="BH742" s="83"/>
      <c r="BL742" s="26" t="s">
        <v>13</v>
      </c>
      <c r="BM742" s="25" t="s">
        <v>13</v>
      </c>
    </row>
    <row r="743" spans="1:65">
      <c r="R743" s="26" t="s">
        <v>13</v>
      </c>
      <c r="Y743" s="26"/>
      <c r="Z743" s="26"/>
      <c r="AA743" s="26"/>
      <c r="AC743" s="77"/>
      <c r="BF743" s="26"/>
      <c r="BG743" s="26"/>
      <c r="BH743" s="83"/>
      <c r="BL743" s="26" t="s">
        <v>13</v>
      </c>
      <c r="BM743" s="25" t="s">
        <v>13</v>
      </c>
    </row>
    <row r="744" spans="1:65">
      <c r="R744" s="26" t="s">
        <v>13</v>
      </c>
      <c r="Y744" s="26"/>
      <c r="Z744" s="26"/>
      <c r="AA744" s="26"/>
      <c r="AC744" s="77"/>
      <c r="BF744" s="26"/>
      <c r="BG744" s="26"/>
      <c r="BH744" s="83"/>
      <c r="BL744" s="26" t="s">
        <v>13</v>
      </c>
      <c r="BM744" s="25" t="s">
        <v>13</v>
      </c>
    </row>
    <row r="745" spans="1:65">
      <c r="R745" s="26" t="s">
        <v>13</v>
      </c>
      <c r="Y745" s="26"/>
      <c r="Z745" s="26"/>
      <c r="AA745" s="26"/>
      <c r="AC745" s="77"/>
      <c r="BF745" s="26"/>
      <c r="BG745" s="26"/>
      <c r="BH745" s="83"/>
      <c r="BL745" s="26" t="s">
        <v>13</v>
      </c>
      <c r="BM745" s="25" t="s">
        <v>13</v>
      </c>
    </row>
    <row r="746" spans="1:65">
      <c r="R746" s="26" t="s">
        <v>13</v>
      </c>
      <c r="Y746" s="26"/>
      <c r="Z746" s="26"/>
      <c r="AA746" s="26"/>
      <c r="AC746" s="77"/>
      <c r="BF746" s="26"/>
      <c r="BG746" s="26"/>
      <c r="BH746" s="83"/>
      <c r="BL746" s="26" t="s">
        <v>13</v>
      </c>
      <c r="BM746" s="25" t="s">
        <v>13</v>
      </c>
    </row>
    <row r="747" spans="1:65">
      <c r="R747" s="26" t="s">
        <v>13</v>
      </c>
      <c r="Y747" s="26"/>
      <c r="Z747" s="26"/>
      <c r="AA747" s="26"/>
      <c r="AC747" s="77"/>
      <c r="BF747" s="26"/>
      <c r="BG747" s="26"/>
      <c r="BH747" s="83"/>
      <c r="BL747" s="26" t="s">
        <v>13</v>
      </c>
      <c r="BM747" s="25" t="s">
        <v>13</v>
      </c>
    </row>
    <row r="748" spans="1:65">
      <c r="R748" s="26" t="s">
        <v>13</v>
      </c>
      <c r="Y748" s="26"/>
      <c r="Z748" s="26"/>
      <c r="AA748" s="26"/>
      <c r="AC748" s="77"/>
      <c r="BF748" s="26"/>
      <c r="BG748" s="26"/>
      <c r="BH748" s="83"/>
      <c r="BL748" s="26" t="s">
        <v>13</v>
      </c>
      <c r="BM748" s="25" t="s">
        <v>13</v>
      </c>
    </row>
    <row r="749" spans="1:65">
      <c r="R749" s="26" t="s">
        <v>13</v>
      </c>
      <c r="Y749" s="26"/>
      <c r="Z749" s="26"/>
      <c r="AA749" s="26"/>
      <c r="AC749" s="77"/>
      <c r="BF749" s="26"/>
      <c r="BG749" s="26"/>
      <c r="BH749" s="83"/>
      <c r="BL749" s="26" t="s">
        <v>13</v>
      </c>
      <c r="BM749" s="25" t="s">
        <v>13</v>
      </c>
    </row>
    <row r="750" spans="1:65">
      <c r="R750" s="26" t="s">
        <v>13</v>
      </c>
      <c r="Y750" s="26"/>
      <c r="Z750" s="26"/>
      <c r="AA750" s="26"/>
      <c r="AC750" s="77"/>
      <c r="BF750" s="26"/>
      <c r="BG750" s="26"/>
      <c r="BH750" s="83"/>
      <c r="BL750" s="26" t="s">
        <v>13</v>
      </c>
      <c r="BM750" s="25" t="s">
        <v>13</v>
      </c>
    </row>
    <row r="751" spans="1:65">
      <c r="R751" s="26" t="s">
        <v>13</v>
      </c>
      <c r="Y751" s="26"/>
      <c r="Z751" s="26"/>
      <c r="AA751" s="26"/>
      <c r="AC751" s="77"/>
      <c r="BF751" s="26"/>
      <c r="BG751" s="26"/>
      <c r="BH751" s="83"/>
    </row>
    <row r="752" spans="1:65">
      <c r="R752" s="26" t="s">
        <v>13</v>
      </c>
      <c r="Y752" s="26"/>
      <c r="Z752" s="26"/>
      <c r="AA752" s="26"/>
      <c r="AC752" s="77"/>
      <c r="BF752" s="26"/>
      <c r="BG752" s="26"/>
      <c r="BH752" s="83"/>
    </row>
    <row r="753" spans="18:60">
      <c r="R753" s="26" t="s">
        <v>13</v>
      </c>
      <c r="Y753" s="26"/>
      <c r="Z753" s="26"/>
      <c r="AA753" s="26"/>
      <c r="AC753" s="77"/>
      <c r="BF753" s="26"/>
      <c r="BG753" s="26"/>
      <c r="BH753" s="83"/>
    </row>
    <row r="754" spans="18:60">
      <c r="R754" s="26" t="s">
        <v>13</v>
      </c>
      <c r="Y754" s="26"/>
      <c r="Z754" s="26"/>
      <c r="AA754" s="26"/>
      <c r="AC754" s="77"/>
      <c r="BF754" s="26"/>
      <c r="BG754" s="26"/>
      <c r="BH754" s="83"/>
    </row>
    <row r="755" spans="18:60">
      <c r="R755" s="26" t="s">
        <v>13</v>
      </c>
      <c r="Y755" s="26"/>
      <c r="Z755" s="26"/>
      <c r="AA755" s="26"/>
      <c r="AC755" s="77"/>
      <c r="BF755" s="26"/>
      <c r="BG755" s="26"/>
      <c r="BH755" s="83"/>
    </row>
    <row r="756" spans="18:60">
      <c r="R756" s="26" t="s">
        <v>13</v>
      </c>
      <c r="Y756" s="26"/>
      <c r="Z756" s="26"/>
      <c r="AA756" s="26"/>
      <c r="AC756" s="77"/>
      <c r="BF756" s="26"/>
      <c r="BG756" s="26"/>
      <c r="BH756" s="83"/>
    </row>
    <row r="757" spans="18:60">
      <c r="R757" s="26" t="s">
        <v>13</v>
      </c>
      <c r="Y757" s="26"/>
      <c r="Z757" s="26"/>
      <c r="AA757" s="26"/>
      <c r="AC757" s="77"/>
      <c r="BF757" s="26"/>
      <c r="BG757" s="26"/>
      <c r="BH757" s="83"/>
    </row>
    <row r="758" spans="18:60">
      <c r="R758" s="26" t="s">
        <v>13</v>
      </c>
      <c r="Y758" s="26"/>
      <c r="Z758" s="26"/>
      <c r="AA758" s="26"/>
      <c r="AC758" s="77"/>
      <c r="BF758" s="26"/>
      <c r="BG758" s="26"/>
      <c r="BH758" s="83"/>
    </row>
    <row r="759" spans="18:60">
      <c r="R759" s="26" t="s">
        <v>13</v>
      </c>
      <c r="Y759" s="26"/>
      <c r="Z759" s="26"/>
      <c r="AA759" s="26"/>
      <c r="AC759" s="77"/>
      <c r="BF759" s="26"/>
      <c r="BG759" s="26"/>
      <c r="BH759" s="83"/>
    </row>
    <row r="760" spans="18:60">
      <c r="R760" s="26" t="s">
        <v>13</v>
      </c>
      <c r="Y760" s="26"/>
      <c r="Z760" s="26"/>
      <c r="AA760" s="26"/>
      <c r="AC760" s="77"/>
      <c r="BF760" s="26"/>
      <c r="BG760" s="26"/>
      <c r="BH760" s="83"/>
    </row>
    <row r="761" spans="18:60">
      <c r="R761" s="26" t="s">
        <v>13</v>
      </c>
      <c r="Y761" s="26"/>
      <c r="Z761" s="26"/>
      <c r="AA761" s="26"/>
      <c r="AC761" s="77"/>
      <c r="BF761" s="26"/>
      <c r="BG761" s="26"/>
      <c r="BH761" s="83"/>
    </row>
    <row r="762" spans="18:60">
      <c r="R762" s="26" t="s">
        <v>13</v>
      </c>
      <c r="Y762" s="26"/>
      <c r="Z762" s="26"/>
      <c r="AA762" s="26"/>
      <c r="AC762" s="77"/>
      <c r="BF762" s="26"/>
      <c r="BG762" s="26"/>
      <c r="BH762" s="83"/>
    </row>
    <row r="763" spans="18:60">
      <c r="R763" s="26" t="s">
        <v>13</v>
      </c>
      <c r="Y763" s="26"/>
      <c r="Z763" s="26"/>
      <c r="AA763" s="26"/>
      <c r="AC763" s="77"/>
      <c r="BF763" s="26"/>
      <c r="BG763" s="26"/>
      <c r="BH763" s="83"/>
    </row>
    <row r="764" spans="18:60">
      <c r="R764" s="26" t="s">
        <v>13</v>
      </c>
      <c r="Y764" s="26"/>
      <c r="Z764" s="26"/>
      <c r="AA764" s="26"/>
      <c r="AC764" s="77"/>
      <c r="BF764" s="26"/>
      <c r="BG764" s="26"/>
      <c r="BH764" s="83"/>
    </row>
    <row r="765" spans="18:60">
      <c r="R765" s="26" t="s">
        <v>13</v>
      </c>
      <c r="Y765" s="26"/>
      <c r="Z765" s="26"/>
      <c r="AA765" s="26"/>
      <c r="AC765" s="77"/>
      <c r="BF765" s="26"/>
      <c r="BG765" s="26"/>
      <c r="BH765" s="83"/>
    </row>
    <row r="766" spans="18:60">
      <c r="R766" s="26" t="s">
        <v>13</v>
      </c>
      <c r="Y766" s="26"/>
      <c r="Z766" s="26"/>
      <c r="AA766" s="26"/>
      <c r="AC766" s="77"/>
      <c r="BF766" s="26"/>
      <c r="BG766" s="26"/>
      <c r="BH766" s="83"/>
    </row>
    <row r="767" spans="18:60">
      <c r="R767" s="26" t="s">
        <v>13</v>
      </c>
      <c r="Y767" s="26"/>
      <c r="Z767" s="26"/>
      <c r="AA767" s="26"/>
      <c r="AC767" s="77"/>
      <c r="BF767" s="26"/>
      <c r="BG767" s="26"/>
      <c r="BH767" s="83"/>
    </row>
    <row r="768" spans="18:60">
      <c r="R768" s="26" t="s">
        <v>13</v>
      </c>
      <c r="Y768" s="26"/>
      <c r="Z768" s="26"/>
      <c r="AA768" s="26"/>
      <c r="AC768" s="77"/>
      <c r="BF768" s="26"/>
      <c r="BG768" s="26"/>
      <c r="BH768" s="83"/>
    </row>
    <row r="769" spans="18:60">
      <c r="R769" s="26" t="s">
        <v>13</v>
      </c>
      <c r="Y769" s="26"/>
      <c r="Z769" s="26"/>
      <c r="AA769" s="26"/>
      <c r="AC769" s="77"/>
      <c r="BF769" s="26"/>
      <c r="BG769" s="26"/>
      <c r="BH769" s="83"/>
    </row>
    <row r="770" spans="18:60">
      <c r="R770" s="26" t="s">
        <v>13</v>
      </c>
      <c r="Y770" s="26"/>
      <c r="Z770" s="26"/>
      <c r="AA770" s="26"/>
      <c r="AC770" s="77"/>
      <c r="BF770" s="26"/>
      <c r="BG770" s="26"/>
      <c r="BH770" s="83"/>
    </row>
    <row r="771" spans="18:60">
      <c r="R771" s="26" t="s">
        <v>13</v>
      </c>
      <c r="Y771" s="26"/>
      <c r="Z771" s="26"/>
      <c r="AA771" s="26"/>
      <c r="AC771" s="77"/>
      <c r="BF771" s="26"/>
      <c r="BG771" s="26"/>
      <c r="BH771" s="83"/>
    </row>
    <row r="772" spans="18:60">
      <c r="R772" s="26" t="s">
        <v>13</v>
      </c>
      <c r="Y772" s="26"/>
      <c r="Z772" s="26"/>
      <c r="AA772" s="26"/>
      <c r="AC772" s="77"/>
      <c r="BF772" s="26"/>
      <c r="BG772" s="26"/>
      <c r="BH772" s="83"/>
    </row>
    <row r="773" spans="18:60">
      <c r="R773" s="26" t="s">
        <v>13</v>
      </c>
      <c r="Y773" s="26"/>
      <c r="Z773" s="26"/>
      <c r="AA773" s="26"/>
      <c r="AC773" s="77"/>
      <c r="BF773" s="26"/>
      <c r="BG773" s="26"/>
      <c r="BH773" s="83"/>
    </row>
    <row r="774" spans="18:60">
      <c r="R774" s="26" t="s">
        <v>13</v>
      </c>
      <c r="Y774" s="26"/>
      <c r="Z774" s="26"/>
      <c r="AA774" s="26"/>
      <c r="AC774" s="77"/>
      <c r="BF774" s="26"/>
      <c r="BG774" s="26"/>
      <c r="BH774" s="83"/>
    </row>
    <row r="775" spans="18:60">
      <c r="R775" s="26" t="s">
        <v>13</v>
      </c>
      <c r="Y775" s="26"/>
      <c r="Z775" s="26"/>
      <c r="AA775" s="26"/>
      <c r="AC775" s="77"/>
      <c r="BF775" s="26"/>
      <c r="BG775" s="26"/>
      <c r="BH775" s="83"/>
    </row>
    <row r="776" spans="18:60">
      <c r="R776" s="26" t="s">
        <v>13</v>
      </c>
      <c r="Y776" s="26"/>
      <c r="Z776" s="26"/>
      <c r="AA776" s="26"/>
      <c r="AC776" s="77"/>
      <c r="BF776" s="26"/>
      <c r="BG776" s="26"/>
      <c r="BH776" s="83"/>
    </row>
    <row r="777" spans="18:60">
      <c r="R777" s="26" t="s">
        <v>13</v>
      </c>
      <c r="Y777" s="26"/>
      <c r="Z777" s="26"/>
      <c r="AA777" s="26"/>
      <c r="AC777" s="77"/>
      <c r="BF777" s="26"/>
      <c r="BG777" s="26"/>
      <c r="BH777" s="83"/>
    </row>
    <row r="778" spans="18:60">
      <c r="R778" s="26" t="s">
        <v>13</v>
      </c>
      <c r="Y778" s="26"/>
      <c r="Z778" s="26"/>
      <c r="AA778" s="26"/>
      <c r="AC778" s="77"/>
      <c r="BF778" s="26"/>
      <c r="BG778" s="26"/>
      <c r="BH778" s="83"/>
    </row>
    <row r="779" spans="18:60">
      <c r="R779" s="26" t="s">
        <v>13</v>
      </c>
      <c r="Y779" s="26"/>
      <c r="Z779" s="26"/>
      <c r="AA779" s="26"/>
      <c r="AC779" s="77"/>
      <c r="BF779" s="26"/>
      <c r="BG779" s="26"/>
      <c r="BH779" s="83"/>
    </row>
    <row r="780" spans="18:60">
      <c r="R780" s="26" t="s">
        <v>13</v>
      </c>
      <c r="Y780" s="26"/>
      <c r="Z780" s="26"/>
      <c r="AA780" s="26"/>
      <c r="AC780" s="77"/>
      <c r="BF780" s="26"/>
      <c r="BG780" s="26"/>
      <c r="BH780" s="83"/>
    </row>
    <row r="781" spans="18:60">
      <c r="R781" s="26" t="s">
        <v>13</v>
      </c>
      <c r="Y781" s="26"/>
      <c r="Z781" s="26"/>
      <c r="AA781" s="26"/>
      <c r="AC781" s="77"/>
      <c r="BF781" s="26"/>
      <c r="BG781" s="26"/>
      <c r="BH781" s="83"/>
    </row>
    <row r="782" spans="18:60">
      <c r="R782" s="26" t="s">
        <v>13</v>
      </c>
      <c r="Y782" s="26"/>
      <c r="Z782" s="26"/>
      <c r="AA782" s="26"/>
      <c r="AC782" s="77"/>
      <c r="BF782" s="26"/>
      <c r="BG782" s="26"/>
      <c r="BH782" s="83"/>
    </row>
    <row r="783" spans="18:60">
      <c r="R783" s="26" t="s">
        <v>13</v>
      </c>
      <c r="Y783" s="26"/>
      <c r="Z783" s="26"/>
      <c r="AA783" s="26"/>
      <c r="AC783" s="77"/>
      <c r="BF783" s="26"/>
      <c r="BG783" s="26"/>
      <c r="BH783" s="83"/>
    </row>
    <row r="784" spans="18:60">
      <c r="R784" s="26" t="s">
        <v>13</v>
      </c>
      <c r="Y784" s="26"/>
      <c r="Z784" s="26"/>
      <c r="AA784" s="26"/>
      <c r="AC784" s="77"/>
      <c r="BF784" s="26"/>
      <c r="BG784" s="26"/>
      <c r="BH784" s="83"/>
    </row>
    <row r="785" spans="18:60">
      <c r="R785" s="26" t="s">
        <v>13</v>
      </c>
      <c r="Y785" s="26"/>
      <c r="Z785" s="26"/>
      <c r="AA785" s="26"/>
      <c r="AC785" s="77"/>
      <c r="BF785" s="26"/>
      <c r="BG785" s="26"/>
      <c r="BH785" s="83"/>
    </row>
    <row r="786" spans="18:60">
      <c r="R786" s="26" t="s">
        <v>13</v>
      </c>
      <c r="Y786" s="26"/>
      <c r="Z786" s="26"/>
      <c r="AA786" s="26"/>
      <c r="AC786" s="77"/>
      <c r="BF786" s="26"/>
      <c r="BG786" s="26"/>
      <c r="BH786" s="83"/>
    </row>
    <row r="787" spans="18:60">
      <c r="R787" s="26" t="s">
        <v>13</v>
      </c>
      <c r="Y787" s="26"/>
      <c r="Z787" s="26"/>
      <c r="AA787" s="26"/>
      <c r="AC787" s="77"/>
      <c r="BF787" s="26"/>
      <c r="BG787" s="26"/>
      <c r="BH787" s="83"/>
    </row>
    <row r="788" spans="18:60">
      <c r="R788" s="26" t="s">
        <v>13</v>
      </c>
      <c r="Y788" s="26"/>
      <c r="Z788" s="26"/>
      <c r="AA788" s="26"/>
      <c r="AC788" s="77"/>
      <c r="BF788" s="26"/>
      <c r="BG788" s="26"/>
      <c r="BH788" s="83"/>
    </row>
    <row r="789" spans="18:60">
      <c r="R789" s="26" t="s">
        <v>13</v>
      </c>
      <c r="Y789" s="26"/>
      <c r="Z789" s="26"/>
      <c r="AA789" s="26"/>
      <c r="AC789" s="77"/>
      <c r="BF789" s="26"/>
      <c r="BG789" s="26"/>
      <c r="BH789" s="83"/>
    </row>
    <row r="790" spans="18:60">
      <c r="R790" s="26" t="s">
        <v>13</v>
      </c>
      <c r="Y790" s="26"/>
      <c r="Z790" s="26"/>
      <c r="AA790" s="26"/>
      <c r="AC790" s="77"/>
      <c r="BF790" s="26"/>
      <c r="BG790" s="26"/>
      <c r="BH790" s="83"/>
    </row>
    <row r="791" spans="18:60">
      <c r="R791" s="26" t="s">
        <v>13</v>
      </c>
      <c r="Y791" s="26"/>
      <c r="Z791" s="26"/>
      <c r="AA791" s="26"/>
      <c r="AC791" s="77"/>
      <c r="BF791" s="26"/>
      <c r="BG791" s="26"/>
      <c r="BH791" s="83"/>
    </row>
    <row r="792" spans="18:60">
      <c r="R792" s="26" t="s">
        <v>13</v>
      </c>
      <c r="Y792" s="26"/>
      <c r="Z792" s="26"/>
      <c r="AA792" s="26"/>
      <c r="AC792" s="77"/>
      <c r="BF792" s="26"/>
      <c r="BG792" s="26"/>
      <c r="BH792" s="83"/>
    </row>
    <row r="793" spans="18:60">
      <c r="R793" s="26" t="s">
        <v>13</v>
      </c>
      <c r="Y793" s="26"/>
      <c r="Z793" s="26"/>
      <c r="AA793" s="26"/>
      <c r="AC793" s="77"/>
      <c r="BF793" s="26"/>
      <c r="BG793" s="26"/>
      <c r="BH793" s="83"/>
    </row>
    <row r="794" spans="18:60">
      <c r="R794" s="26" t="s">
        <v>13</v>
      </c>
      <c r="Y794" s="26"/>
      <c r="Z794" s="26"/>
      <c r="AA794" s="26"/>
      <c r="AC794" s="77"/>
      <c r="BF794" s="26"/>
      <c r="BG794" s="26"/>
      <c r="BH794" s="83"/>
    </row>
    <row r="795" spans="18:60">
      <c r="R795" s="26" t="s">
        <v>13</v>
      </c>
      <c r="Y795" s="26"/>
      <c r="Z795" s="26"/>
      <c r="AA795" s="26"/>
      <c r="AC795" s="77"/>
      <c r="BF795" s="26"/>
      <c r="BG795" s="26"/>
      <c r="BH795" s="83"/>
    </row>
    <row r="796" spans="18:60">
      <c r="R796" s="26" t="s">
        <v>13</v>
      </c>
      <c r="Y796" s="26"/>
      <c r="Z796" s="26"/>
      <c r="AA796" s="26"/>
      <c r="AC796" s="77"/>
      <c r="BF796" s="26"/>
      <c r="BG796" s="26"/>
      <c r="BH796" s="83"/>
    </row>
    <row r="797" spans="18:60">
      <c r="R797" s="26" t="s">
        <v>13</v>
      </c>
      <c r="Y797" s="26"/>
      <c r="Z797" s="26"/>
      <c r="AA797" s="26"/>
      <c r="AC797" s="77"/>
      <c r="BF797" s="26"/>
      <c r="BG797" s="26"/>
      <c r="BH797" s="83"/>
    </row>
    <row r="798" spans="18:60">
      <c r="R798" s="26" t="s">
        <v>13</v>
      </c>
      <c r="Y798" s="26"/>
      <c r="Z798" s="26"/>
      <c r="AA798" s="26"/>
      <c r="AC798" s="77"/>
      <c r="BF798" s="26"/>
      <c r="BG798" s="26"/>
      <c r="BH798" s="83"/>
    </row>
    <row r="799" spans="18:60">
      <c r="R799" s="26" t="s">
        <v>13</v>
      </c>
      <c r="Y799" s="26"/>
      <c r="Z799" s="26"/>
      <c r="AA799" s="26"/>
      <c r="AC799" s="77"/>
      <c r="BF799" s="26"/>
      <c r="BG799" s="26"/>
      <c r="BH799" s="83"/>
    </row>
    <row r="800" spans="18:60">
      <c r="R800" s="26" t="s">
        <v>13</v>
      </c>
      <c r="Y800" s="26"/>
      <c r="Z800" s="26"/>
      <c r="AA800" s="26"/>
      <c r="AC800" s="77"/>
      <c r="BF800" s="26"/>
      <c r="BG800" s="26"/>
      <c r="BH800" s="83"/>
    </row>
    <row r="801" spans="18:60">
      <c r="R801" s="26" t="s">
        <v>13</v>
      </c>
      <c r="Y801" s="26"/>
      <c r="Z801" s="26"/>
      <c r="AA801" s="26"/>
      <c r="AC801" s="77"/>
      <c r="BF801" s="26"/>
      <c r="BG801" s="26"/>
      <c r="BH801" s="83"/>
    </row>
    <row r="802" spans="18:60">
      <c r="R802" s="26" t="s">
        <v>13</v>
      </c>
      <c r="Y802" s="26"/>
      <c r="Z802" s="26"/>
      <c r="AA802" s="26"/>
      <c r="AC802" s="77"/>
      <c r="BF802" s="26"/>
      <c r="BG802" s="26"/>
      <c r="BH802" s="83"/>
    </row>
    <row r="803" spans="18:60">
      <c r="R803" s="26" t="s">
        <v>13</v>
      </c>
      <c r="Y803" s="26"/>
      <c r="Z803" s="26"/>
      <c r="AA803" s="26"/>
      <c r="AC803" s="77"/>
      <c r="BF803" s="26"/>
      <c r="BG803" s="26"/>
      <c r="BH803" s="83"/>
    </row>
    <row r="804" spans="18:60">
      <c r="R804" s="26" t="s">
        <v>13</v>
      </c>
      <c r="Y804" s="26"/>
      <c r="Z804" s="26"/>
      <c r="AA804" s="26"/>
      <c r="AC804" s="77"/>
      <c r="BF804" s="26"/>
      <c r="BG804" s="26"/>
      <c r="BH804" s="83"/>
    </row>
    <row r="805" spans="18:60">
      <c r="R805" s="26" t="s">
        <v>13</v>
      </c>
      <c r="Y805" s="26"/>
      <c r="Z805" s="26"/>
      <c r="AA805" s="26"/>
      <c r="AC805" s="77"/>
      <c r="BF805" s="26"/>
      <c r="BG805" s="26"/>
      <c r="BH805" s="83"/>
    </row>
    <row r="806" spans="18:60">
      <c r="R806" s="26" t="s">
        <v>13</v>
      </c>
      <c r="Y806" s="26"/>
      <c r="Z806" s="26"/>
      <c r="AA806" s="26"/>
      <c r="AC806" s="77"/>
      <c r="BF806" s="26"/>
      <c r="BG806" s="26"/>
      <c r="BH806" s="83"/>
    </row>
    <row r="807" spans="18:60">
      <c r="R807" s="26" t="s">
        <v>13</v>
      </c>
      <c r="Y807" s="26"/>
      <c r="Z807" s="26"/>
      <c r="AA807" s="26"/>
      <c r="AC807" s="77"/>
      <c r="BF807" s="26"/>
      <c r="BG807" s="26"/>
      <c r="BH807" s="83"/>
    </row>
    <row r="808" spans="18:60">
      <c r="R808" s="26" t="s">
        <v>13</v>
      </c>
      <c r="Y808" s="26"/>
      <c r="Z808" s="26"/>
      <c r="AA808" s="26"/>
      <c r="AC808" s="77"/>
      <c r="BF808" s="26"/>
      <c r="BG808" s="26"/>
      <c r="BH808" s="83"/>
    </row>
    <row r="809" spans="18:60">
      <c r="R809" s="26" t="s">
        <v>13</v>
      </c>
      <c r="Y809" s="26"/>
      <c r="Z809" s="26"/>
      <c r="AA809" s="26"/>
      <c r="AC809" s="77"/>
      <c r="BF809" s="26"/>
      <c r="BG809" s="26"/>
      <c r="BH809" s="83"/>
    </row>
    <row r="810" spans="18:60">
      <c r="R810" s="26" t="s">
        <v>13</v>
      </c>
      <c r="Y810" s="26"/>
      <c r="Z810" s="26"/>
      <c r="AA810" s="26"/>
      <c r="AC810" s="77"/>
      <c r="BF810" s="26"/>
      <c r="BG810" s="26"/>
      <c r="BH810" s="83"/>
    </row>
    <row r="811" spans="18:60">
      <c r="R811" s="26" t="s">
        <v>13</v>
      </c>
      <c r="Y811" s="26"/>
      <c r="Z811" s="26"/>
      <c r="AA811" s="26"/>
      <c r="AC811" s="77"/>
      <c r="BF811" s="26"/>
      <c r="BG811" s="26"/>
      <c r="BH811" s="83"/>
    </row>
    <row r="812" spans="18:60">
      <c r="R812" s="26" t="s">
        <v>13</v>
      </c>
      <c r="Y812" s="26"/>
      <c r="Z812" s="26"/>
      <c r="AA812" s="26"/>
      <c r="AC812" s="77"/>
      <c r="BF812" s="26"/>
      <c r="BG812" s="26"/>
      <c r="BH812" s="83"/>
    </row>
    <row r="813" spans="18:60">
      <c r="R813" s="26" t="s">
        <v>13</v>
      </c>
      <c r="Y813" s="26"/>
      <c r="Z813" s="26"/>
      <c r="AA813" s="26"/>
      <c r="AC813" s="77"/>
      <c r="BF813" s="26"/>
      <c r="BG813" s="26"/>
      <c r="BH813" s="83"/>
    </row>
    <row r="814" spans="18:60">
      <c r="R814" s="26" t="s">
        <v>13</v>
      </c>
      <c r="Y814" s="26"/>
      <c r="Z814" s="26"/>
      <c r="AA814" s="26"/>
      <c r="AC814" s="77"/>
      <c r="BF814" s="26"/>
      <c r="BG814" s="26"/>
      <c r="BH814" s="83"/>
    </row>
    <row r="815" spans="18:60">
      <c r="R815" s="26" t="s">
        <v>13</v>
      </c>
      <c r="Y815" s="26"/>
      <c r="Z815" s="26"/>
      <c r="AA815" s="26"/>
      <c r="AC815" s="77"/>
      <c r="BF815" s="26"/>
      <c r="BG815" s="26"/>
      <c r="BH815" s="83"/>
    </row>
    <row r="816" spans="18:60">
      <c r="R816" s="26" t="s">
        <v>13</v>
      </c>
      <c r="Y816" s="26"/>
      <c r="Z816" s="26"/>
      <c r="AA816" s="26"/>
      <c r="AC816" s="77"/>
      <c r="BF816" s="26"/>
      <c r="BG816" s="26"/>
      <c r="BH816" s="83"/>
    </row>
    <row r="817" spans="18:60">
      <c r="R817" s="26" t="s">
        <v>13</v>
      </c>
      <c r="Y817" s="26"/>
      <c r="Z817" s="26"/>
      <c r="AA817" s="26"/>
      <c r="AC817" s="77"/>
      <c r="BF817" s="26"/>
      <c r="BG817" s="26"/>
      <c r="BH817" s="83"/>
    </row>
    <row r="818" spans="18:60">
      <c r="R818" s="26" t="s">
        <v>13</v>
      </c>
      <c r="Y818" s="26"/>
      <c r="Z818" s="26"/>
      <c r="AA818" s="26"/>
      <c r="AC818" s="77"/>
      <c r="BF818" s="26"/>
      <c r="BG818" s="26"/>
      <c r="BH818" s="83"/>
    </row>
    <row r="819" spans="18:60">
      <c r="R819" s="26" t="s">
        <v>13</v>
      </c>
      <c r="Y819" s="26"/>
      <c r="Z819" s="26"/>
      <c r="AA819" s="26"/>
      <c r="AC819" s="77"/>
      <c r="BF819" s="26"/>
      <c r="BG819" s="26"/>
      <c r="BH819" s="83"/>
    </row>
    <row r="820" spans="18:60">
      <c r="R820" s="26" t="s">
        <v>13</v>
      </c>
      <c r="Y820" s="26"/>
      <c r="Z820" s="26"/>
      <c r="AA820" s="26"/>
      <c r="AC820" s="77"/>
      <c r="BF820" s="26"/>
      <c r="BG820" s="26"/>
      <c r="BH820" s="83"/>
    </row>
    <row r="821" spans="18:60">
      <c r="R821" s="26" t="s">
        <v>13</v>
      </c>
      <c r="Y821" s="26"/>
      <c r="Z821" s="26"/>
      <c r="AA821" s="26"/>
      <c r="AC821" s="77"/>
      <c r="BF821" s="26"/>
      <c r="BG821" s="26"/>
      <c r="BH821" s="83"/>
    </row>
    <row r="822" spans="18:60">
      <c r="R822" s="26" t="s">
        <v>13</v>
      </c>
      <c r="Y822" s="26"/>
      <c r="Z822" s="26"/>
      <c r="AA822" s="26"/>
      <c r="AC822" s="77"/>
      <c r="BF822" s="26"/>
      <c r="BG822" s="26"/>
      <c r="BH822" s="83"/>
    </row>
    <row r="823" spans="18:60">
      <c r="R823" s="26" t="s">
        <v>13</v>
      </c>
      <c r="Y823" s="26"/>
      <c r="Z823" s="26"/>
      <c r="AA823" s="26"/>
      <c r="AC823" s="77"/>
      <c r="BF823" s="26"/>
      <c r="BG823" s="26"/>
      <c r="BH823" s="83"/>
    </row>
    <row r="824" spans="18:60">
      <c r="R824" s="26" t="s">
        <v>13</v>
      </c>
      <c r="Y824" s="26"/>
      <c r="Z824" s="26"/>
      <c r="AA824" s="26"/>
      <c r="AC824" s="77"/>
      <c r="BF824" s="26"/>
      <c r="BG824" s="26"/>
      <c r="BH824" s="83"/>
    </row>
    <row r="825" spans="18:60">
      <c r="R825" s="26" t="s">
        <v>13</v>
      </c>
      <c r="Y825" s="26"/>
      <c r="Z825" s="26"/>
      <c r="AA825" s="26"/>
      <c r="AC825" s="77"/>
      <c r="BF825" s="26"/>
      <c r="BG825" s="26"/>
      <c r="BH825" s="83"/>
    </row>
    <row r="826" spans="18:60">
      <c r="R826" s="26" t="s">
        <v>13</v>
      </c>
      <c r="Y826" s="26"/>
      <c r="Z826" s="26"/>
      <c r="AA826" s="26"/>
      <c r="AC826" s="77"/>
      <c r="BF826" s="26"/>
      <c r="BG826" s="26"/>
      <c r="BH826" s="83"/>
    </row>
    <row r="827" spans="18:60">
      <c r="R827" s="26" t="s">
        <v>13</v>
      </c>
      <c r="Y827" s="26"/>
      <c r="Z827" s="26"/>
      <c r="AA827" s="26"/>
      <c r="AC827" s="77"/>
      <c r="BF827" s="26"/>
      <c r="BG827" s="26"/>
      <c r="BH827" s="83"/>
    </row>
    <row r="828" spans="18:60">
      <c r="R828" s="26" t="s">
        <v>13</v>
      </c>
      <c r="Y828" s="26"/>
      <c r="Z828" s="26"/>
      <c r="AA828" s="26"/>
      <c r="AC828" s="77"/>
      <c r="BF828" s="26"/>
      <c r="BG828" s="26"/>
      <c r="BH828" s="83"/>
    </row>
    <row r="829" spans="18:60">
      <c r="R829" s="26" t="s">
        <v>13</v>
      </c>
      <c r="Y829" s="26"/>
      <c r="Z829" s="26"/>
      <c r="AA829" s="26"/>
      <c r="AC829" s="77"/>
      <c r="BF829" s="26"/>
      <c r="BG829" s="26"/>
      <c r="BH829" s="83"/>
    </row>
    <row r="830" spans="18:60">
      <c r="R830" s="26" t="s">
        <v>13</v>
      </c>
      <c r="Y830" s="26"/>
      <c r="Z830" s="26"/>
      <c r="AA830" s="26"/>
      <c r="AC830" s="77"/>
      <c r="BF830" s="26"/>
      <c r="BG830" s="26"/>
      <c r="BH830" s="83"/>
    </row>
    <row r="831" spans="18:60">
      <c r="R831" s="26" t="s">
        <v>13</v>
      </c>
      <c r="Y831" s="26"/>
      <c r="Z831" s="26"/>
      <c r="AA831" s="26"/>
      <c r="AC831" s="77"/>
      <c r="BF831" s="26"/>
      <c r="BG831" s="26"/>
      <c r="BH831" s="83"/>
    </row>
    <row r="832" spans="18:60">
      <c r="R832" s="26" t="s">
        <v>13</v>
      </c>
      <c r="Y832" s="26"/>
      <c r="Z832" s="26"/>
      <c r="AA832" s="26"/>
      <c r="AC832" s="77"/>
      <c r="BF832" s="26"/>
      <c r="BG832" s="26"/>
      <c r="BH832" s="83"/>
    </row>
    <row r="833" spans="18:60">
      <c r="R833" s="26" t="s">
        <v>13</v>
      </c>
      <c r="Y833" s="26"/>
      <c r="Z833" s="26"/>
      <c r="AA833" s="26"/>
      <c r="AC833" s="77"/>
      <c r="BF833" s="26"/>
      <c r="BG833" s="26"/>
      <c r="BH833" s="83"/>
    </row>
    <row r="834" spans="18:60">
      <c r="R834" s="26" t="s">
        <v>13</v>
      </c>
      <c r="Y834" s="26"/>
      <c r="Z834" s="26"/>
      <c r="AA834" s="26"/>
      <c r="AC834" s="77"/>
      <c r="BF834" s="26"/>
      <c r="BG834" s="26"/>
      <c r="BH834" s="83"/>
    </row>
    <row r="835" spans="18:60">
      <c r="R835" s="26" t="s">
        <v>13</v>
      </c>
      <c r="Y835" s="26"/>
      <c r="Z835" s="26"/>
      <c r="AA835" s="26"/>
      <c r="AC835" s="77"/>
      <c r="BF835" s="26"/>
      <c r="BG835" s="26"/>
      <c r="BH835" s="83"/>
    </row>
    <row r="836" spans="18:60">
      <c r="R836" s="26" t="s">
        <v>13</v>
      </c>
      <c r="Y836" s="26"/>
      <c r="Z836" s="26"/>
      <c r="AA836" s="26"/>
      <c r="AC836" s="77"/>
      <c r="BF836" s="26"/>
      <c r="BG836" s="26"/>
      <c r="BH836" s="83"/>
    </row>
    <row r="837" spans="18:60">
      <c r="R837" s="26" t="s">
        <v>13</v>
      </c>
      <c r="Y837" s="26"/>
      <c r="Z837" s="26"/>
      <c r="AA837" s="26"/>
      <c r="AC837" s="77"/>
      <c r="BF837" s="26"/>
      <c r="BG837" s="26"/>
      <c r="BH837" s="83"/>
    </row>
    <row r="838" spans="18:60">
      <c r="R838" s="26" t="s">
        <v>13</v>
      </c>
      <c r="Y838" s="26"/>
      <c r="Z838" s="26"/>
      <c r="AA838" s="26"/>
      <c r="AC838" s="77"/>
      <c r="BF838" s="26"/>
      <c r="BG838" s="26"/>
      <c r="BH838" s="83"/>
    </row>
    <row r="839" spans="18:60">
      <c r="R839" s="26" t="s">
        <v>13</v>
      </c>
      <c r="Y839" s="26"/>
      <c r="Z839" s="26"/>
      <c r="AA839" s="26"/>
      <c r="AC839" s="77"/>
      <c r="BF839" s="26"/>
      <c r="BG839" s="26"/>
      <c r="BH839" s="83"/>
    </row>
    <row r="840" spans="18:60">
      <c r="R840" s="26" t="s">
        <v>13</v>
      </c>
      <c r="Y840" s="26"/>
      <c r="Z840" s="26"/>
      <c r="AA840" s="26"/>
      <c r="AC840" s="77"/>
      <c r="BF840" s="26"/>
      <c r="BG840" s="26"/>
      <c r="BH840" s="83"/>
    </row>
    <row r="841" spans="18:60">
      <c r="R841" s="26" t="s">
        <v>13</v>
      </c>
      <c r="Y841" s="26"/>
      <c r="Z841" s="26"/>
      <c r="AA841" s="26"/>
      <c r="AC841" s="77"/>
      <c r="BF841" s="26"/>
      <c r="BG841" s="26"/>
      <c r="BH841" s="83"/>
    </row>
    <row r="842" spans="18:60">
      <c r="R842" s="26" t="s">
        <v>13</v>
      </c>
      <c r="Y842" s="26"/>
      <c r="Z842" s="26"/>
      <c r="AA842" s="26"/>
      <c r="AC842" s="77"/>
      <c r="BF842" s="26"/>
      <c r="BG842" s="26"/>
      <c r="BH842" s="83"/>
    </row>
    <row r="843" spans="18:60">
      <c r="R843" s="26" t="s">
        <v>13</v>
      </c>
      <c r="Y843" s="26"/>
      <c r="Z843" s="26"/>
      <c r="AA843" s="26"/>
      <c r="AC843" s="77"/>
      <c r="BF843" s="26"/>
      <c r="BG843" s="26"/>
      <c r="BH843" s="83"/>
    </row>
    <row r="844" spans="18:60">
      <c r="R844" s="26" t="s">
        <v>13</v>
      </c>
      <c r="Y844" s="26"/>
      <c r="Z844" s="26"/>
      <c r="AA844" s="26"/>
      <c r="AC844" s="77"/>
      <c r="BF844" s="26"/>
      <c r="BG844" s="26"/>
      <c r="BH844" s="83"/>
    </row>
    <row r="845" spans="18:60">
      <c r="R845" s="26" t="s">
        <v>13</v>
      </c>
      <c r="Y845" s="26"/>
      <c r="Z845" s="26"/>
      <c r="AA845" s="26"/>
      <c r="AC845" s="77"/>
      <c r="BF845" s="26"/>
      <c r="BG845" s="26"/>
      <c r="BH845" s="83"/>
    </row>
    <row r="846" spans="18:60">
      <c r="R846" s="26" t="s">
        <v>13</v>
      </c>
      <c r="Y846" s="26"/>
      <c r="Z846" s="26"/>
      <c r="AA846" s="26"/>
      <c r="AC846" s="77"/>
      <c r="BF846" s="26"/>
      <c r="BG846" s="26"/>
      <c r="BH846" s="83"/>
    </row>
    <row r="847" spans="18:60">
      <c r="R847" s="26" t="s">
        <v>13</v>
      </c>
      <c r="Y847" s="26"/>
      <c r="Z847" s="26"/>
      <c r="AA847" s="26"/>
      <c r="AC847" s="77"/>
      <c r="BF847" s="26"/>
      <c r="BG847" s="26"/>
      <c r="BH847" s="83"/>
    </row>
    <row r="848" spans="18:60">
      <c r="R848" s="26" t="s">
        <v>13</v>
      </c>
      <c r="Y848" s="26"/>
      <c r="Z848" s="26"/>
      <c r="AA848" s="26"/>
      <c r="AC848" s="77"/>
      <c r="BF848" s="26"/>
      <c r="BG848" s="26"/>
      <c r="BH848" s="83"/>
    </row>
    <row r="849" spans="18:60">
      <c r="R849" s="26" t="s">
        <v>13</v>
      </c>
      <c r="Y849" s="26"/>
      <c r="Z849" s="26"/>
      <c r="AA849" s="26"/>
      <c r="AC849" s="77"/>
      <c r="BF849" s="26"/>
      <c r="BG849" s="26"/>
      <c r="BH849" s="83"/>
    </row>
    <row r="850" spans="18:60">
      <c r="R850" s="26" t="s">
        <v>13</v>
      </c>
      <c r="Y850" s="26"/>
      <c r="Z850" s="26"/>
      <c r="AA850" s="26"/>
      <c r="AC850" s="77"/>
      <c r="BF850" s="26"/>
      <c r="BG850" s="26"/>
      <c r="BH850" s="83"/>
    </row>
    <row r="851" spans="18:60">
      <c r="R851" s="26" t="s">
        <v>13</v>
      </c>
      <c r="Y851" s="26"/>
      <c r="Z851" s="26"/>
      <c r="AA851" s="26"/>
      <c r="AC851" s="77"/>
      <c r="BF851" s="26"/>
      <c r="BG851" s="26"/>
      <c r="BH851" s="83"/>
    </row>
    <row r="852" spans="18:60">
      <c r="R852" s="26" t="s">
        <v>13</v>
      </c>
      <c r="Y852" s="26"/>
      <c r="Z852" s="26"/>
      <c r="AA852" s="26"/>
      <c r="AC852" s="77"/>
      <c r="BF852" s="26"/>
      <c r="BG852" s="26"/>
      <c r="BH852" s="83"/>
    </row>
    <row r="853" spans="18:60">
      <c r="R853" s="26" t="s">
        <v>13</v>
      </c>
      <c r="Y853" s="26"/>
      <c r="Z853" s="26"/>
      <c r="AA853" s="26"/>
      <c r="AC853" s="77"/>
      <c r="BF853" s="26"/>
      <c r="BG853" s="26"/>
      <c r="BH853" s="83"/>
    </row>
    <row r="854" spans="18:60">
      <c r="R854" s="26" t="s">
        <v>13</v>
      </c>
      <c r="Y854" s="26"/>
      <c r="Z854" s="26"/>
      <c r="AA854" s="26"/>
      <c r="AC854" s="77"/>
      <c r="BF854" s="26"/>
      <c r="BG854" s="26"/>
      <c r="BH854" s="83"/>
    </row>
    <row r="855" spans="18:60">
      <c r="R855" s="26" t="s">
        <v>13</v>
      </c>
      <c r="Y855" s="26"/>
      <c r="Z855" s="26"/>
      <c r="AA855" s="26"/>
      <c r="AC855" s="77"/>
      <c r="BF855" s="26"/>
      <c r="BG855" s="26"/>
      <c r="BH855" s="83"/>
    </row>
    <row r="856" spans="18:60">
      <c r="R856" s="26" t="s">
        <v>13</v>
      </c>
      <c r="Y856" s="26"/>
      <c r="Z856" s="26"/>
      <c r="AA856" s="26"/>
      <c r="AC856" s="77"/>
      <c r="BF856" s="26"/>
      <c r="BG856" s="26"/>
      <c r="BH856" s="83"/>
    </row>
    <row r="857" spans="18:60">
      <c r="R857" s="26" t="s">
        <v>13</v>
      </c>
      <c r="Y857" s="26"/>
      <c r="Z857" s="26"/>
      <c r="AA857" s="26"/>
      <c r="AC857" s="77"/>
      <c r="BF857" s="26"/>
      <c r="BG857" s="26"/>
      <c r="BH857" s="83"/>
    </row>
    <row r="858" spans="18:60">
      <c r="R858" s="26" t="s">
        <v>13</v>
      </c>
      <c r="Y858" s="26"/>
      <c r="Z858" s="26"/>
      <c r="AA858" s="26"/>
      <c r="AC858" s="77"/>
      <c r="BF858" s="26"/>
      <c r="BG858" s="26"/>
      <c r="BH858" s="83"/>
    </row>
    <row r="859" spans="18:60">
      <c r="R859" s="26" t="s">
        <v>13</v>
      </c>
      <c r="Y859" s="26"/>
      <c r="Z859" s="26"/>
      <c r="AA859" s="26"/>
      <c r="AC859" s="77"/>
      <c r="BF859" s="26"/>
      <c r="BG859" s="26"/>
      <c r="BH859" s="83"/>
    </row>
    <row r="860" spans="18:60">
      <c r="R860" s="26" t="s">
        <v>13</v>
      </c>
      <c r="Y860" s="26"/>
      <c r="Z860" s="26"/>
      <c r="AA860" s="26"/>
      <c r="AC860" s="77"/>
      <c r="BF860" s="26"/>
      <c r="BG860" s="26"/>
      <c r="BH860" s="83"/>
    </row>
    <row r="861" spans="18:60">
      <c r="R861" s="26" t="s">
        <v>13</v>
      </c>
      <c r="Y861" s="26"/>
      <c r="Z861" s="26"/>
      <c r="AA861" s="26"/>
      <c r="AC861" s="77"/>
      <c r="BF861" s="26"/>
      <c r="BG861" s="26"/>
      <c r="BH861" s="83"/>
    </row>
    <row r="862" spans="18:60">
      <c r="R862" s="26" t="s">
        <v>13</v>
      </c>
      <c r="Y862" s="26"/>
      <c r="Z862" s="26"/>
      <c r="AA862" s="26"/>
      <c r="AC862" s="77"/>
      <c r="BF862" s="26"/>
      <c r="BG862" s="26"/>
      <c r="BH862" s="83"/>
    </row>
    <row r="863" spans="18:60">
      <c r="R863" s="26" t="s">
        <v>13</v>
      </c>
      <c r="Y863" s="26"/>
      <c r="Z863" s="26"/>
      <c r="AA863" s="26"/>
      <c r="AC863" s="77"/>
      <c r="BF863" s="26"/>
      <c r="BG863" s="26"/>
      <c r="BH863" s="83"/>
    </row>
    <row r="864" spans="18:60">
      <c r="R864" s="26" t="s">
        <v>13</v>
      </c>
      <c r="Y864" s="26"/>
      <c r="Z864" s="26"/>
      <c r="AA864" s="26"/>
      <c r="AC864" s="77"/>
      <c r="BF864" s="26"/>
      <c r="BG864" s="26"/>
      <c r="BH864" s="83"/>
    </row>
    <row r="865" spans="18:60">
      <c r="R865" s="26" t="s">
        <v>13</v>
      </c>
      <c r="Y865" s="26"/>
      <c r="Z865" s="26"/>
      <c r="AA865" s="26"/>
      <c r="AC865" s="77"/>
      <c r="BF865" s="26"/>
      <c r="BG865" s="26"/>
      <c r="BH865" s="83"/>
    </row>
    <row r="866" spans="18:60">
      <c r="R866" s="26" t="s">
        <v>13</v>
      </c>
      <c r="Y866" s="26"/>
      <c r="Z866" s="26"/>
      <c r="AA866" s="26"/>
      <c r="AC866" s="77"/>
      <c r="BF866" s="26"/>
      <c r="BG866" s="26"/>
      <c r="BH866" s="83"/>
    </row>
    <row r="867" spans="18:60">
      <c r="R867" s="26" t="s">
        <v>13</v>
      </c>
      <c r="Y867" s="26"/>
      <c r="Z867" s="26"/>
      <c r="AA867" s="26"/>
      <c r="AC867" s="77"/>
      <c r="BF867" s="26"/>
      <c r="BG867" s="26"/>
      <c r="BH867" s="83"/>
    </row>
    <row r="868" spans="18:60">
      <c r="R868" s="26" t="s">
        <v>13</v>
      </c>
      <c r="Y868" s="26"/>
      <c r="Z868" s="26"/>
      <c r="AA868" s="26"/>
      <c r="AC868" s="77"/>
      <c r="BF868" s="26"/>
      <c r="BG868" s="26"/>
      <c r="BH868" s="83"/>
    </row>
    <row r="869" spans="18:60">
      <c r="R869" s="26" t="s">
        <v>13</v>
      </c>
      <c r="Y869" s="26"/>
      <c r="Z869" s="26"/>
      <c r="AA869" s="26"/>
      <c r="AC869" s="77"/>
      <c r="BF869" s="26"/>
      <c r="BG869" s="26"/>
      <c r="BH869" s="83"/>
    </row>
    <row r="870" spans="18:60">
      <c r="R870" s="26" t="s">
        <v>13</v>
      </c>
      <c r="Y870" s="26"/>
      <c r="Z870" s="26"/>
      <c r="AA870" s="26"/>
      <c r="AC870" s="77"/>
      <c r="BF870" s="26"/>
      <c r="BG870" s="26"/>
      <c r="BH870" s="83"/>
    </row>
    <row r="871" spans="18:60">
      <c r="R871" s="26" t="s">
        <v>13</v>
      </c>
      <c r="Y871" s="26"/>
      <c r="Z871" s="26"/>
      <c r="AA871" s="26"/>
      <c r="AC871" s="77"/>
      <c r="BF871" s="26"/>
      <c r="BG871" s="26"/>
      <c r="BH871" s="83"/>
    </row>
    <row r="872" spans="18:60">
      <c r="R872" s="26" t="s">
        <v>13</v>
      </c>
      <c r="Y872" s="26"/>
      <c r="Z872" s="26"/>
      <c r="AA872" s="26"/>
      <c r="AC872" s="77"/>
      <c r="BF872" s="26"/>
      <c r="BG872" s="26"/>
      <c r="BH872" s="83"/>
    </row>
    <row r="873" spans="18:60">
      <c r="R873" s="26" t="s">
        <v>13</v>
      </c>
      <c r="Y873" s="26"/>
      <c r="Z873" s="26"/>
      <c r="AA873" s="26"/>
      <c r="AC873" s="77"/>
      <c r="BF873" s="26"/>
      <c r="BG873" s="26"/>
      <c r="BH873" s="83"/>
    </row>
    <row r="874" spans="18:60">
      <c r="R874" s="26" t="s">
        <v>13</v>
      </c>
      <c r="Y874" s="26"/>
      <c r="Z874" s="26"/>
      <c r="AA874" s="26"/>
      <c r="AC874" s="77"/>
      <c r="BF874" s="26"/>
      <c r="BG874" s="26"/>
      <c r="BH874" s="83"/>
    </row>
    <row r="875" spans="18:60">
      <c r="R875" s="26" t="s">
        <v>13</v>
      </c>
      <c r="Y875" s="26"/>
      <c r="Z875" s="26"/>
      <c r="AA875" s="26"/>
      <c r="AC875" s="77"/>
      <c r="BF875" s="26"/>
      <c r="BG875" s="26"/>
      <c r="BH875" s="83"/>
    </row>
    <row r="876" spans="18:60">
      <c r="R876" s="26" t="s">
        <v>13</v>
      </c>
      <c r="Y876" s="26"/>
      <c r="Z876" s="26"/>
      <c r="AA876" s="26"/>
      <c r="AC876" s="77"/>
      <c r="BF876" s="26"/>
      <c r="BG876" s="26"/>
      <c r="BH876" s="83"/>
    </row>
    <row r="877" spans="18:60">
      <c r="R877" s="26" t="s">
        <v>13</v>
      </c>
      <c r="Y877" s="26"/>
      <c r="Z877" s="26"/>
      <c r="AA877" s="26"/>
      <c r="AC877" s="77"/>
      <c r="BF877" s="26"/>
      <c r="BG877" s="26"/>
      <c r="BH877" s="83"/>
    </row>
    <row r="878" spans="18:60">
      <c r="R878" s="26" t="s">
        <v>13</v>
      </c>
      <c r="Y878" s="26"/>
      <c r="Z878" s="26"/>
      <c r="AA878" s="26"/>
      <c r="AC878" s="77"/>
      <c r="BF878" s="26"/>
      <c r="BG878" s="26"/>
      <c r="BH878" s="83"/>
    </row>
    <row r="879" spans="18:60">
      <c r="R879" s="26" t="s">
        <v>13</v>
      </c>
      <c r="Y879" s="26"/>
      <c r="Z879" s="26"/>
      <c r="AA879" s="26"/>
      <c r="AC879" s="77"/>
      <c r="BF879" s="26"/>
      <c r="BG879" s="26"/>
      <c r="BH879" s="83"/>
    </row>
    <row r="880" spans="18:60">
      <c r="R880" s="26" t="s">
        <v>13</v>
      </c>
      <c r="Y880" s="26"/>
      <c r="Z880" s="26"/>
      <c r="AA880" s="26"/>
      <c r="AC880" s="77"/>
      <c r="BF880" s="26"/>
      <c r="BG880" s="26"/>
      <c r="BH880" s="83"/>
    </row>
    <row r="881" spans="18:60">
      <c r="R881" s="26" t="s">
        <v>13</v>
      </c>
      <c r="Y881" s="26"/>
      <c r="Z881" s="26"/>
      <c r="AA881" s="26"/>
      <c r="AC881" s="77"/>
      <c r="BF881" s="26"/>
      <c r="BG881" s="26"/>
      <c r="BH881" s="83"/>
    </row>
    <row r="882" spans="18:60">
      <c r="R882" s="26" t="s">
        <v>13</v>
      </c>
      <c r="Y882" s="26"/>
      <c r="Z882" s="26"/>
      <c r="AA882" s="26"/>
      <c r="AC882" s="77"/>
      <c r="BF882" s="26"/>
      <c r="BG882" s="26"/>
      <c r="BH882" s="83"/>
    </row>
    <row r="883" spans="18:60">
      <c r="R883" s="26" t="s">
        <v>13</v>
      </c>
      <c r="Y883" s="26"/>
      <c r="Z883" s="26"/>
      <c r="AA883" s="26"/>
      <c r="AC883" s="77"/>
      <c r="BF883" s="26"/>
      <c r="BG883" s="26"/>
      <c r="BH883" s="83"/>
    </row>
    <row r="884" spans="18:60">
      <c r="R884" s="26" t="s">
        <v>13</v>
      </c>
      <c r="Y884" s="26"/>
      <c r="Z884" s="26"/>
      <c r="AA884" s="26"/>
      <c r="AC884" s="77"/>
      <c r="BF884" s="26"/>
      <c r="BG884" s="26"/>
      <c r="BH884" s="83"/>
    </row>
    <row r="885" spans="18:60">
      <c r="R885" s="26" t="s">
        <v>13</v>
      </c>
      <c r="Y885" s="26"/>
      <c r="Z885" s="26"/>
      <c r="AA885" s="26"/>
      <c r="AC885" s="77"/>
      <c r="BF885" s="26"/>
      <c r="BG885" s="26"/>
      <c r="BH885" s="83"/>
    </row>
    <row r="886" spans="18:60">
      <c r="R886" s="26" t="s">
        <v>13</v>
      </c>
      <c r="Y886" s="26"/>
      <c r="Z886" s="26"/>
      <c r="AA886" s="26"/>
      <c r="AC886" s="77"/>
      <c r="BF886" s="26"/>
      <c r="BG886" s="26"/>
      <c r="BH886" s="83"/>
    </row>
    <row r="887" spans="18:60">
      <c r="R887" s="26" t="s">
        <v>13</v>
      </c>
      <c r="Y887" s="26"/>
      <c r="Z887" s="26"/>
      <c r="AA887" s="26"/>
      <c r="AC887" s="77"/>
      <c r="BF887" s="26"/>
      <c r="BG887" s="26"/>
      <c r="BH887" s="83"/>
    </row>
    <row r="888" spans="18:60">
      <c r="R888" s="26" t="s">
        <v>13</v>
      </c>
      <c r="Y888" s="26"/>
      <c r="Z888" s="26"/>
      <c r="AA888" s="26"/>
      <c r="AC888" s="77"/>
      <c r="BF888" s="26"/>
      <c r="BG888" s="26"/>
      <c r="BH888" s="83"/>
    </row>
    <row r="889" spans="18:60">
      <c r="R889" s="26" t="s">
        <v>13</v>
      </c>
      <c r="Y889" s="26"/>
      <c r="Z889" s="26"/>
      <c r="AA889" s="26"/>
      <c r="AC889" s="77"/>
      <c r="BF889" s="26"/>
      <c r="BG889" s="26"/>
      <c r="BH889" s="83"/>
    </row>
    <row r="890" spans="18:60">
      <c r="R890" s="26" t="s">
        <v>13</v>
      </c>
      <c r="Y890" s="26"/>
      <c r="Z890" s="26"/>
      <c r="AA890" s="26"/>
      <c r="AC890" s="77"/>
      <c r="BF890" s="26"/>
      <c r="BG890" s="26"/>
      <c r="BH890" s="83"/>
    </row>
    <row r="891" spans="18:60">
      <c r="R891" s="26" t="s">
        <v>13</v>
      </c>
      <c r="Y891" s="26"/>
      <c r="Z891" s="26"/>
      <c r="AA891" s="26"/>
      <c r="AC891" s="77"/>
      <c r="BF891" s="26"/>
      <c r="BG891" s="26"/>
      <c r="BH891" s="83"/>
    </row>
    <row r="892" spans="18:60">
      <c r="R892" s="26" t="s">
        <v>13</v>
      </c>
      <c r="Y892" s="26"/>
      <c r="Z892" s="26"/>
      <c r="AA892" s="26"/>
      <c r="AC892" s="77"/>
      <c r="BF892" s="26"/>
      <c r="BG892" s="26"/>
      <c r="BH892" s="83"/>
    </row>
    <row r="893" spans="18:60">
      <c r="R893" s="26" t="s">
        <v>13</v>
      </c>
      <c r="Y893" s="26"/>
      <c r="Z893" s="26"/>
      <c r="AA893" s="26"/>
      <c r="AC893" s="77"/>
      <c r="BF893" s="26"/>
      <c r="BG893" s="26"/>
      <c r="BH893" s="83"/>
    </row>
    <row r="894" spans="18:60">
      <c r="R894" s="26" t="s">
        <v>13</v>
      </c>
      <c r="Y894" s="26"/>
      <c r="Z894" s="26"/>
      <c r="AA894" s="26"/>
      <c r="AC894" s="77"/>
      <c r="BF894" s="26"/>
      <c r="BG894" s="26"/>
      <c r="BH894" s="83"/>
    </row>
    <row r="895" spans="18:60">
      <c r="R895" s="26" t="s">
        <v>13</v>
      </c>
      <c r="Y895" s="26"/>
      <c r="Z895" s="26"/>
      <c r="AA895" s="26"/>
      <c r="AC895" s="77"/>
      <c r="BF895" s="26"/>
      <c r="BG895" s="26"/>
      <c r="BH895" s="83"/>
    </row>
    <row r="896" spans="18:60">
      <c r="R896" s="26" t="s">
        <v>13</v>
      </c>
      <c r="Y896" s="26"/>
      <c r="Z896" s="26"/>
      <c r="AA896" s="26"/>
      <c r="AC896" s="77"/>
      <c r="BF896" s="26"/>
      <c r="BG896" s="26"/>
      <c r="BH896" s="83"/>
    </row>
    <row r="897" spans="18:60">
      <c r="R897" s="26" t="s">
        <v>13</v>
      </c>
      <c r="Y897" s="26"/>
      <c r="Z897" s="26"/>
      <c r="AA897" s="26"/>
      <c r="AC897" s="77"/>
      <c r="BF897" s="26"/>
      <c r="BG897" s="26"/>
      <c r="BH897" s="83"/>
    </row>
    <row r="898" spans="18:60">
      <c r="R898" s="26" t="s">
        <v>13</v>
      </c>
      <c r="Y898" s="26"/>
      <c r="Z898" s="26"/>
      <c r="AA898" s="26"/>
      <c r="AC898" s="77"/>
      <c r="BF898" s="26"/>
      <c r="BG898" s="26"/>
      <c r="BH898" s="83"/>
    </row>
    <row r="899" spans="18:60">
      <c r="R899" s="26" t="s">
        <v>13</v>
      </c>
      <c r="Y899" s="26"/>
      <c r="Z899" s="26"/>
      <c r="AA899" s="26"/>
      <c r="AC899" s="77"/>
      <c r="BF899" s="26"/>
      <c r="BG899" s="26"/>
      <c r="BH899" s="83"/>
    </row>
    <row r="900" spans="18:60">
      <c r="R900" s="26" t="s">
        <v>13</v>
      </c>
      <c r="Y900" s="26"/>
      <c r="Z900" s="26"/>
      <c r="AA900" s="26"/>
      <c r="AC900" s="77"/>
      <c r="BF900" s="26"/>
      <c r="BG900" s="26"/>
      <c r="BH900" s="83"/>
    </row>
    <row r="901" spans="18:60">
      <c r="R901" s="26" t="s">
        <v>13</v>
      </c>
      <c r="Y901" s="26"/>
      <c r="Z901" s="26"/>
      <c r="AA901" s="26"/>
      <c r="AC901" s="77"/>
      <c r="BF901" s="26"/>
      <c r="BG901" s="26"/>
      <c r="BH901" s="83"/>
    </row>
    <row r="902" spans="18:60">
      <c r="R902" s="26" t="s">
        <v>13</v>
      </c>
      <c r="Y902" s="26"/>
      <c r="Z902" s="26"/>
      <c r="AA902" s="26"/>
      <c r="AC902" s="77"/>
      <c r="BF902" s="26"/>
      <c r="BG902" s="26"/>
      <c r="BH902" s="83"/>
    </row>
    <row r="903" spans="18:60">
      <c r="R903" s="26" t="s">
        <v>13</v>
      </c>
      <c r="Y903" s="26"/>
      <c r="Z903" s="26"/>
      <c r="AA903" s="26"/>
      <c r="AC903" s="77"/>
      <c r="BF903" s="26"/>
      <c r="BG903" s="26"/>
      <c r="BH903" s="83"/>
    </row>
    <row r="904" spans="18:60">
      <c r="R904" s="26" t="s">
        <v>13</v>
      </c>
      <c r="Y904" s="26"/>
      <c r="Z904" s="26"/>
      <c r="AA904" s="26"/>
      <c r="AC904" s="77"/>
      <c r="BF904" s="26"/>
      <c r="BG904" s="26"/>
      <c r="BH904" s="83"/>
    </row>
    <row r="905" spans="18:60">
      <c r="R905" s="26" t="s">
        <v>13</v>
      </c>
      <c r="Y905" s="26"/>
      <c r="Z905" s="26"/>
      <c r="AA905" s="26"/>
      <c r="AC905" s="77"/>
      <c r="BF905" s="26"/>
      <c r="BG905" s="26"/>
      <c r="BH905" s="83"/>
    </row>
    <row r="906" spans="18:60">
      <c r="R906" s="26" t="s">
        <v>13</v>
      </c>
      <c r="Y906" s="26"/>
      <c r="Z906" s="26"/>
      <c r="AA906" s="26"/>
      <c r="AC906" s="77"/>
      <c r="BF906" s="26"/>
      <c r="BG906" s="26"/>
      <c r="BH906" s="83"/>
    </row>
    <row r="907" spans="18:60">
      <c r="R907" s="26" t="s">
        <v>13</v>
      </c>
      <c r="Y907" s="26"/>
      <c r="Z907" s="26"/>
      <c r="AA907" s="26"/>
      <c r="AC907" s="77"/>
      <c r="BF907" s="26"/>
      <c r="BG907" s="26"/>
      <c r="BH907" s="83"/>
    </row>
    <row r="908" spans="18:60">
      <c r="R908" s="26" t="s">
        <v>13</v>
      </c>
      <c r="Y908" s="26"/>
      <c r="Z908" s="26"/>
      <c r="AA908" s="26"/>
      <c r="AC908" s="77"/>
      <c r="BF908" s="26"/>
      <c r="BG908" s="26"/>
      <c r="BH908" s="83"/>
    </row>
    <row r="909" spans="18:60">
      <c r="R909" s="26" t="s">
        <v>13</v>
      </c>
      <c r="Y909" s="26"/>
      <c r="Z909" s="26"/>
      <c r="AA909" s="26"/>
      <c r="AC909" s="77"/>
      <c r="BF909" s="26"/>
      <c r="BG909" s="26"/>
      <c r="BH909" s="83"/>
    </row>
    <row r="910" spans="18:60">
      <c r="R910" s="26" t="s">
        <v>13</v>
      </c>
      <c r="Y910" s="26"/>
      <c r="Z910" s="26"/>
      <c r="AA910" s="26"/>
      <c r="AC910" s="77"/>
      <c r="BF910" s="26"/>
      <c r="BG910" s="26"/>
      <c r="BH910" s="83"/>
    </row>
    <row r="911" spans="18:60">
      <c r="R911" s="26" t="s">
        <v>13</v>
      </c>
      <c r="Y911" s="26"/>
      <c r="Z911" s="26"/>
      <c r="AA911" s="26"/>
      <c r="AC911" s="77"/>
      <c r="BF911" s="26"/>
      <c r="BG911" s="26"/>
      <c r="BH911" s="83"/>
    </row>
    <row r="912" spans="18:60">
      <c r="R912" s="26" t="s">
        <v>13</v>
      </c>
      <c r="Y912" s="26"/>
      <c r="Z912" s="26"/>
      <c r="AA912" s="26"/>
      <c r="AC912" s="77"/>
      <c r="BF912" s="26"/>
      <c r="BG912" s="26"/>
      <c r="BH912" s="83"/>
    </row>
    <row r="913" spans="18:60">
      <c r="R913" s="26" t="s">
        <v>13</v>
      </c>
      <c r="Y913" s="26"/>
      <c r="Z913" s="26"/>
      <c r="AA913" s="26"/>
      <c r="AC913" s="77"/>
      <c r="BF913" s="26"/>
      <c r="BG913" s="26"/>
      <c r="BH913" s="83"/>
    </row>
    <row r="914" spans="18:60">
      <c r="R914" s="26" t="s">
        <v>13</v>
      </c>
      <c r="Y914" s="26"/>
      <c r="Z914" s="26"/>
      <c r="AA914" s="26"/>
      <c r="AC914" s="77"/>
      <c r="BF914" s="26"/>
      <c r="BG914" s="26"/>
      <c r="BH914" s="83"/>
    </row>
    <row r="915" spans="18:60">
      <c r="R915" s="26" t="s">
        <v>13</v>
      </c>
      <c r="Y915" s="26"/>
      <c r="Z915" s="26"/>
      <c r="AA915" s="26"/>
      <c r="AC915" s="77"/>
      <c r="BF915" s="26"/>
      <c r="BG915" s="26"/>
      <c r="BH915" s="83"/>
    </row>
    <row r="916" spans="18:60">
      <c r="R916" s="26" t="s">
        <v>13</v>
      </c>
      <c r="Y916" s="26"/>
      <c r="Z916" s="26"/>
      <c r="AA916" s="26"/>
      <c r="AC916" s="77"/>
      <c r="BF916" s="26"/>
      <c r="BG916" s="26"/>
      <c r="BH916" s="83"/>
    </row>
    <row r="917" spans="18:60">
      <c r="R917" s="26" t="s">
        <v>13</v>
      </c>
      <c r="Y917" s="26"/>
      <c r="Z917" s="26"/>
      <c r="AA917" s="26"/>
      <c r="AC917" s="77"/>
      <c r="BF917" s="26"/>
      <c r="BG917" s="26"/>
      <c r="BH917" s="83"/>
    </row>
    <row r="918" spans="18:60">
      <c r="R918" s="26" t="s">
        <v>13</v>
      </c>
      <c r="Y918" s="26"/>
      <c r="Z918" s="26"/>
      <c r="AA918" s="26"/>
      <c r="AC918" s="77"/>
      <c r="BF918" s="26"/>
      <c r="BG918" s="26"/>
      <c r="BH918" s="83"/>
    </row>
    <row r="919" spans="18:60">
      <c r="R919" s="26" t="s">
        <v>13</v>
      </c>
      <c r="Y919" s="26"/>
      <c r="Z919" s="26"/>
      <c r="AA919" s="26"/>
      <c r="AC919" s="77"/>
      <c r="BF919" s="26"/>
      <c r="BG919" s="26"/>
      <c r="BH919" s="83"/>
    </row>
    <row r="920" spans="18:60">
      <c r="R920" s="26" t="s">
        <v>13</v>
      </c>
      <c r="Y920" s="26"/>
      <c r="Z920" s="26"/>
      <c r="AA920" s="26"/>
      <c r="AC920" s="77"/>
      <c r="BF920" s="26"/>
      <c r="BG920" s="26"/>
      <c r="BH920" s="83"/>
    </row>
    <row r="921" spans="18:60">
      <c r="R921" s="26" t="s">
        <v>13</v>
      </c>
      <c r="Y921" s="26"/>
      <c r="Z921" s="26"/>
      <c r="AA921" s="26"/>
      <c r="AC921" s="77"/>
      <c r="BF921" s="26"/>
      <c r="BG921" s="26"/>
      <c r="BH921" s="83"/>
    </row>
    <row r="922" spans="18:60">
      <c r="R922" s="26" t="s">
        <v>13</v>
      </c>
      <c r="Y922" s="26"/>
      <c r="Z922" s="26"/>
      <c r="AA922" s="26"/>
      <c r="AC922" s="77"/>
      <c r="BF922" s="26"/>
      <c r="BG922" s="26"/>
      <c r="BH922" s="83"/>
    </row>
    <row r="923" spans="18:60">
      <c r="R923" s="26" t="s">
        <v>13</v>
      </c>
      <c r="Y923" s="26"/>
      <c r="Z923" s="26"/>
      <c r="AA923" s="26"/>
      <c r="AC923" s="77"/>
      <c r="BF923" s="26"/>
      <c r="BG923" s="26"/>
      <c r="BH923" s="83"/>
    </row>
    <row r="924" spans="18:60">
      <c r="R924" s="26" t="s">
        <v>13</v>
      </c>
      <c r="Y924" s="26"/>
      <c r="Z924" s="26"/>
      <c r="AA924" s="26"/>
      <c r="AC924" s="77"/>
      <c r="BF924" s="26"/>
      <c r="BG924" s="26"/>
      <c r="BH924" s="83"/>
    </row>
    <row r="925" spans="18:60">
      <c r="R925" s="26" t="s">
        <v>13</v>
      </c>
      <c r="Y925" s="26"/>
      <c r="Z925" s="26"/>
      <c r="AA925" s="26"/>
      <c r="AC925" s="77"/>
      <c r="BF925" s="26"/>
      <c r="BG925" s="26"/>
      <c r="BH925" s="83"/>
    </row>
    <row r="926" spans="18:60">
      <c r="R926" s="26" t="s">
        <v>13</v>
      </c>
      <c r="Y926" s="26"/>
      <c r="Z926" s="26"/>
      <c r="AA926" s="26"/>
      <c r="AC926" s="77"/>
      <c r="BF926" s="26"/>
      <c r="BG926" s="26"/>
      <c r="BH926" s="83"/>
    </row>
    <row r="927" spans="18:60">
      <c r="R927" s="26" t="s">
        <v>13</v>
      </c>
      <c r="Y927" s="26"/>
      <c r="Z927" s="26"/>
      <c r="AA927" s="26"/>
      <c r="AC927" s="77"/>
      <c r="BF927" s="26"/>
      <c r="BG927" s="26"/>
      <c r="BH927" s="83"/>
    </row>
    <row r="928" spans="18:60">
      <c r="R928" s="26" t="s">
        <v>13</v>
      </c>
      <c r="Y928" s="26"/>
      <c r="Z928" s="26"/>
      <c r="AA928" s="26"/>
      <c r="AC928" s="77"/>
      <c r="BF928" s="26"/>
      <c r="BG928" s="26"/>
      <c r="BH928" s="83"/>
    </row>
    <row r="929" spans="18:60">
      <c r="R929" s="26" t="s">
        <v>13</v>
      </c>
      <c r="Y929" s="26"/>
      <c r="Z929" s="26"/>
      <c r="AA929" s="26"/>
      <c r="AC929" s="77"/>
      <c r="BF929" s="26"/>
      <c r="BG929" s="26"/>
      <c r="BH929" s="83"/>
    </row>
    <row r="930" spans="18:60">
      <c r="R930" s="26" t="s">
        <v>13</v>
      </c>
      <c r="Y930" s="26"/>
      <c r="Z930" s="26"/>
      <c r="AA930" s="26"/>
      <c r="AC930" s="77"/>
      <c r="BF930" s="26"/>
      <c r="BG930" s="26"/>
      <c r="BH930" s="83"/>
    </row>
    <row r="931" spans="18:60">
      <c r="R931" s="26" t="s">
        <v>13</v>
      </c>
      <c r="Y931" s="26"/>
      <c r="Z931" s="26"/>
      <c r="AA931" s="26"/>
      <c r="AC931" s="77"/>
      <c r="BF931" s="26"/>
      <c r="BG931" s="26"/>
      <c r="BH931" s="83"/>
    </row>
    <row r="932" spans="18:60">
      <c r="R932" s="26" t="s">
        <v>13</v>
      </c>
      <c r="Y932" s="26"/>
      <c r="Z932" s="26"/>
      <c r="AA932" s="26"/>
      <c r="AC932" s="77"/>
      <c r="BF932" s="26"/>
      <c r="BG932" s="26"/>
      <c r="BH932" s="83"/>
    </row>
    <row r="933" spans="18:60">
      <c r="R933" s="26" t="s">
        <v>13</v>
      </c>
      <c r="Y933" s="26"/>
      <c r="Z933" s="26"/>
      <c r="AA933" s="26"/>
      <c r="AC933" s="77"/>
      <c r="BF933" s="26"/>
      <c r="BG933" s="26"/>
      <c r="BH933" s="83"/>
    </row>
    <row r="934" spans="18:60">
      <c r="R934" s="26" t="s">
        <v>13</v>
      </c>
      <c r="Y934" s="26"/>
      <c r="Z934" s="26"/>
      <c r="AA934" s="26"/>
      <c r="AC934" s="77"/>
      <c r="BF934" s="26"/>
      <c r="BG934" s="26"/>
      <c r="BH934" s="83"/>
    </row>
    <row r="935" spans="18:60">
      <c r="R935" s="26" t="s">
        <v>13</v>
      </c>
      <c r="Y935" s="26"/>
      <c r="Z935" s="26"/>
      <c r="AA935" s="26"/>
      <c r="AC935" s="77"/>
      <c r="BF935" s="26"/>
      <c r="BG935" s="26"/>
      <c r="BH935" s="83"/>
    </row>
    <row r="936" spans="18:60">
      <c r="R936" s="26" t="s">
        <v>13</v>
      </c>
      <c r="Y936" s="26"/>
      <c r="Z936" s="26"/>
      <c r="AA936" s="26"/>
      <c r="AC936" s="77"/>
      <c r="BF936" s="26"/>
      <c r="BG936" s="26"/>
      <c r="BH936" s="83"/>
    </row>
    <row r="937" spans="18:60">
      <c r="R937" s="26" t="s">
        <v>13</v>
      </c>
      <c r="Y937" s="26"/>
      <c r="Z937" s="26"/>
      <c r="AA937" s="26"/>
      <c r="AC937" s="77"/>
      <c r="BF937" s="26"/>
      <c r="BG937" s="26"/>
      <c r="BH937" s="83"/>
    </row>
    <row r="938" spans="18:60">
      <c r="R938" s="26" t="s">
        <v>13</v>
      </c>
      <c r="Y938" s="26"/>
      <c r="Z938" s="26"/>
      <c r="AA938" s="26"/>
      <c r="AC938" s="77"/>
      <c r="BF938" s="26"/>
      <c r="BG938" s="26"/>
      <c r="BH938" s="83"/>
    </row>
    <row r="939" spans="18:60">
      <c r="R939" s="26" t="s">
        <v>13</v>
      </c>
      <c r="Y939" s="26"/>
      <c r="Z939" s="26"/>
      <c r="AA939" s="26"/>
      <c r="AC939" s="77"/>
      <c r="BF939" s="26"/>
      <c r="BG939" s="26"/>
      <c r="BH939" s="83"/>
    </row>
    <row r="940" spans="18:60">
      <c r="R940" s="26" t="s">
        <v>13</v>
      </c>
      <c r="Y940" s="26"/>
      <c r="Z940" s="26"/>
      <c r="AA940" s="26"/>
      <c r="AC940" s="77"/>
      <c r="BF940" s="26"/>
      <c r="BG940" s="26"/>
      <c r="BH940" s="83"/>
    </row>
    <row r="941" spans="18:60">
      <c r="R941" s="26" t="s">
        <v>13</v>
      </c>
      <c r="Y941" s="26"/>
      <c r="Z941" s="26"/>
      <c r="AA941" s="26"/>
      <c r="AC941" s="77"/>
      <c r="BF941" s="26"/>
      <c r="BG941" s="26"/>
      <c r="BH941" s="83"/>
    </row>
    <row r="942" spans="18:60">
      <c r="R942" s="26" t="s">
        <v>13</v>
      </c>
      <c r="Y942" s="26"/>
      <c r="Z942" s="26"/>
      <c r="AA942" s="26"/>
      <c r="AC942" s="77"/>
      <c r="BF942" s="26"/>
      <c r="BG942" s="26"/>
      <c r="BH942" s="83"/>
    </row>
    <row r="943" spans="18:60">
      <c r="R943" s="26" t="s">
        <v>13</v>
      </c>
      <c r="Y943" s="26"/>
      <c r="Z943" s="26"/>
      <c r="AA943" s="26"/>
      <c r="AC943" s="77"/>
      <c r="BF943" s="26"/>
      <c r="BG943" s="26"/>
      <c r="BH943" s="83"/>
    </row>
    <row r="944" spans="18:60">
      <c r="R944" s="26" t="s">
        <v>13</v>
      </c>
      <c r="Y944" s="26"/>
      <c r="Z944" s="26"/>
      <c r="AA944" s="26"/>
      <c r="AC944" s="77"/>
      <c r="BF944" s="26"/>
      <c r="BG944" s="26"/>
      <c r="BH944" s="83"/>
    </row>
    <row r="945" spans="18:60">
      <c r="R945" s="26" t="s">
        <v>13</v>
      </c>
      <c r="Y945" s="26"/>
      <c r="Z945" s="26"/>
      <c r="AA945" s="26"/>
      <c r="AC945" s="77"/>
      <c r="BF945" s="26"/>
      <c r="BG945" s="26"/>
      <c r="BH945" s="83"/>
    </row>
    <row r="946" spans="18:60">
      <c r="R946" s="26" t="s">
        <v>13</v>
      </c>
      <c r="Y946" s="26"/>
      <c r="Z946" s="26"/>
      <c r="AA946" s="26"/>
      <c r="AC946" s="77"/>
      <c r="BF946" s="26"/>
      <c r="BG946" s="26"/>
      <c r="BH946" s="83"/>
    </row>
    <row r="947" spans="18:60">
      <c r="R947" s="26" t="s">
        <v>13</v>
      </c>
      <c r="Y947" s="26"/>
      <c r="Z947" s="26"/>
      <c r="AA947" s="26"/>
      <c r="AC947" s="77"/>
      <c r="BF947" s="26"/>
      <c r="BG947" s="26"/>
      <c r="BH947" s="83"/>
    </row>
    <row r="948" spans="18:60">
      <c r="R948" s="26" t="s">
        <v>13</v>
      </c>
      <c r="Y948" s="26"/>
      <c r="Z948" s="26"/>
      <c r="AA948" s="26"/>
      <c r="AC948" s="77"/>
      <c r="BF948" s="26"/>
      <c r="BG948" s="26"/>
      <c r="BH948" s="83"/>
    </row>
    <row r="949" spans="18:60">
      <c r="R949" s="26" t="s">
        <v>13</v>
      </c>
      <c r="Y949" s="26"/>
      <c r="Z949" s="26"/>
      <c r="AA949" s="26"/>
      <c r="AC949" s="77"/>
      <c r="BF949" s="26"/>
      <c r="BG949" s="26"/>
      <c r="BH949" s="83"/>
    </row>
    <row r="950" spans="18:60">
      <c r="R950" s="26" t="s">
        <v>13</v>
      </c>
      <c r="Y950" s="26"/>
      <c r="Z950" s="26"/>
      <c r="AA950" s="26"/>
      <c r="AC950" s="77"/>
      <c r="BF950" s="26"/>
      <c r="BG950" s="26"/>
      <c r="BH950" s="83"/>
    </row>
    <row r="951" spans="18:60">
      <c r="R951" s="26" t="s">
        <v>13</v>
      </c>
      <c r="Y951" s="26"/>
      <c r="Z951" s="26"/>
      <c r="AA951" s="26"/>
      <c r="AC951" s="77"/>
      <c r="BF951" s="26"/>
      <c r="BG951" s="26"/>
      <c r="BH951" s="83"/>
    </row>
    <row r="952" spans="18:60">
      <c r="R952" s="26" t="s">
        <v>13</v>
      </c>
      <c r="Y952" s="26"/>
      <c r="Z952" s="26"/>
      <c r="AA952" s="26"/>
      <c r="AC952" s="77"/>
      <c r="BF952" s="26"/>
      <c r="BG952" s="26"/>
      <c r="BH952" s="83"/>
    </row>
    <row r="953" spans="18:60">
      <c r="R953" s="26" t="s">
        <v>13</v>
      </c>
      <c r="Y953" s="26"/>
      <c r="Z953" s="26"/>
      <c r="AA953" s="26"/>
      <c r="AC953" s="77"/>
      <c r="BF953" s="26"/>
      <c r="BG953" s="26"/>
      <c r="BH953" s="83"/>
    </row>
    <row r="954" spans="18:60">
      <c r="R954" s="26" t="s">
        <v>13</v>
      </c>
      <c r="Y954" s="26"/>
      <c r="Z954" s="26"/>
      <c r="AA954" s="26"/>
      <c r="AC954" s="77"/>
      <c r="BF954" s="26"/>
      <c r="BG954" s="26"/>
      <c r="BH954" s="83"/>
    </row>
    <row r="955" spans="18:60">
      <c r="R955" s="26" t="s">
        <v>13</v>
      </c>
      <c r="Y955" s="26"/>
      <c r="Z955" s="26"/>
      <c r="AA955" s="26"/>
      <c r="AC955" s="77"/>
      <c r="BF955" s="26"/>
      <c r="BG955" s="26"/>
      <c r="BH955" s="83"/>
    </row>
    <row r="956" spans="18:60">
      <c r="R956" s="26" t="s">
        <v>13</v>
      </c>
      <c r="Y956" s="26"/>
      <c r="Z956" s="26"/>
      <c r="AA956" s="26"/>
      <c r="AC956" s="77"/>
      <c r="BF956" s="26"/>
      <c r="BG956" s="26"/>
      <c r="BH956" s="83"/>
    </row>
    <row r="957" spans="18:60">
      <c r="R957" s="26" t="s">
        <v>13</v>
      </c>
      <c r="Y957" s="26"/>
      <c r="Z957" s="26"/>
      <c r="AA957" s="26"/>
      <c r="AC957" s="77"/>
      <c r="BF957" s="26"/>
      <c r="BG957" s="26"/>
      <c r="BH957" s="83"/>
    </row>
    <row r="958" spans="18:60">
      <c r="R958" s="26" t="s">
        <v>13</v>
      </c>
      <c r="Y958" s="26"/>
      <c r="Z958" s="26"/>
      <c r="AA958" s="26"/>
      <c r="AC958" s="77"/>
      <c r="BF958" s="26"/>
      <c r="BG958" s="26"/>
      <c r="BH958" s="83"/>
    </row>
    <row r="959" spans="18:60">
      <c r="R959" s="26" t="s">
        <v>13</v>
      </c>
      <c r="Y959" s="26"/>
      <c r="Z959" s="26"/>
      <c r="AA959" s="26"/>
      <c r="AC959" s="77"/>
      <c r="BF959" s="26"/>
      <c r="BG959" s="26"/>
      <c r="BH959" s="83"/>
    </row>
    <row r="960" spans="18:60">
      <c r="R960" s="26" t="s">
        <v>13</v>
      </c>
      <c r="Y960" s="26"/>
      <c r="Z960" s="26"/>
      <c r="AA960" s="26"/>
      <c r="AC960" s="77"/>
      <c r="BF960" s="26"/>
      <c r="BG960" s="26"/>
      <c r="BH960" s="83"/>
    </row>
    <row r="961" spans="18:60">
      <c r="R961" s="26" t="s">
        <v>13</v>
      </c>
      <c r="Y961" s="26"/>
      <c r="Z961" s="26"/>
      <c r="AA961" s="26"/>
      <c r="AC961" s="77"/>
      <c r="BF961" s="26"/>
      <c r="BG961" s="26"/>
      <c r="BH961" s="83"/>
    </row>
    <row r="962" spans="18:60">
      <c r="R962" s="26" t="s">
        <v>13</v>
      </c>
      <c r="Y962" s="26"/>
      <c r="Z962" s="26"/>
      <c r="AA962" s="26"/>
      <c r="AC962" s="77"/>
      <c r="BF962" s="26"/>
      <c r="BG962" s="26"/>
      <c r="BH962" s="83"/>
    </row>
    <row r="963" spans="18:60">
      <c r="R963" s="26" t="s">
        <v>13</v>
      </c>
      <c r="Y963" s="26"/>
      <c r="Z963" s="26"/>
      <c r="AA963" s="26"/>
      <c r="AC963" s="77"/>
      <c r="BF963" s="26"/>
      <c r="BG963" s="26"/>
      <c r="BH963" s="83"/>
    </row>
    <row r="964" spans="18:60">
      <c r="R964" s="26" t="s">
        <v>13</v>
      </c>
      <c r="Y964" s="26"/>
      <c r="Z964" s="26"/>
      <c r="AA964" s="26"/>
      <c r="AC964" s="77"/>
      <c r="BF964" s="26"/>
      <c r="BG964" s="26"/>
      <c r="BH964" s="83"/>
    </row>
    <row r="965" spans="18:60">
      <c r="R965" s="26" t="s">
        <v>13</v>
      </c>
      <c r="Y965" s="26"/>
      <c r="Z965" s="26"/>
      <c r="AA965" s="26"/>
      <c r="AC965" s="77"/>
      <c r="BF965" s="26"/>
      <c r="BG965" s="26"/>
      <c r="BH965" s="83"/>
    </row>
    <row r="966" spans="18:60">
      <c r="R966" s="26" t="s">
        <v>13</v>
      </c>
      <c r="Y966" s="26"/>
      <c r="Z966" s="26"/>
      <c r="AA966" s="26"/>
      <c r="AC966" s="77"/>
      <c r="BF966" s="26"/>
      <c r="BG966" s="26"/>
      <c r="BH966" s="83"/>
    </row>
    <row r="967" spans="18:60">
      <c r="R967" s="26" t="s">
        <v>13</v>
      </c>
      <c r="Y967" s="26"/>
      <c r="Z967" s="26"/>
      <c r="AA967" s="26"/>
      <c r="AC967" s="77"/>
      <c r="BF967" s="26"/>
      <c r="BG967" s="26"/>
      <c r="BH967" s="83"/>
    </row>
    <row r="968" spans="18:60">
      <c r="R968" s="26" t="s">
        <v>13</v>
      </c>
      <c r="Y968" s="26"/>
      <c r="Z968" s="26"/>
      <c r="AA968" s="26"/>
      <c r="AC968" s="77"/>
      <c r="BF968" s="26"/>
      <c r="BG968" s="26"/>
      <c r="BH968" s="83"/>
    </row>
    <row r="969" spans="18:60">
      <c r="R969" s="26" t="s">
        <v>13</v>
      </c>
      <c r="Y969" s="26"/>
      <c r="Z969" s="26"/>
      <c r="AA969" s="26"/>
      <c r="AC969" s="77"/>
      <c r="BF969" s="26"/>
      <c r="BG969" s="26"/>
      <c r="BH969" s="83"/>
    </row>
    <row r="970" spans="18:60">
      <c r="R970" s="26" t="s">
        <v>13</v>
      </c>
      <c r="Y970" s="26"/>
      <c r="Z970" s="26"/>
      <c r="AA970" s="26"/>
      <c r="AC970" s="77"/>
      <c r="BF970" s="26"/>
      <c r="BG970" s="26"/>
      <c r="BH970" s="83"/>
    </row>
    <row r="971" spans="18:60">
      <c r="R971" s="26" t="s">
        <v>13</v>
      </c>
      <c r="Y971" s="26"/>
      <c r="Z971" s="26"/>
      <c r="AA971" s="26"/>
      <c r="AC971" s="77"/>
      <c r="BF971" s="26"/>
      <c r="BG971" s="26"/>
      <c r="BH971" s="83"/>
    </row>
    <row r="972" spans="18:60">
      <c r="R972" s="26" t="s">
        <v>13</v>
      </c>
      <c r="Y972" s="26"/>
      <c r="Z972" s="26"/>
      <c r="AA972" s="26"/>
      <c r="AC972" s="77"/>
      <c r="BF972" s="26"/>
      <c r="BG972" s="26"/>
      <c r="BH972" s="83"/>
    </row>
    <row r="973" spans="18:60">
      <c r="R973" s="26" t="s">
        <v>13</v>
      </c>
      <c r="Y973" s="26"/>
      <c r="Z973" s="26"/>
      <c r="AA973" s="26"/>
      <c r="AC973" s="77"/>
      <c r="BF973" s="26"/>
      <c r="BG973" s="26"/>
      <c r="BH973" s="83"/>
    </row>
    <row r="974" spans="18:60">
      <c r="R974" s="26" t="s">
        <v>13</v>
      </c>
      <c r="Y974" s="26"/>
      <c r="Z974" s="26"/>
      <c r="AA974" s="26"/>
      <c r="AC974" s="77"/>
      <c r="BF974" s="26"/>
      <c r="BG974" s="26"/>
      <c r="BH974" s="83"/>
    </row>
    <row r="975" spans="18:60">
      <c r="R975" s="26" t="s">
        <v>13</v>
      </c>
      <c r="Y975" s="26"/>
      <c r="Z975" s="26"/>
      <c r="AA975" s="26"/>
      <c r="AC975" s="77"/>
      <c r="BF975" s="26"/>
      <c r="BG975" s="26"/>
      <c r="BH975" s="83"/>
    </row>
    <row r="976" spans="18:60">
      <c r="R976" s="26" t="s">
        <v>13</v>
      </c>
      <c r="Y976" s="26"/>
      <c r="Z976" s="26"/>
      <c r="AA976" s="26"/>
      <c r="AC976" s="77"/>
      <c r="BF976" s="26"/>
      <c r="BG976" s="26"/>
      <c r="BH976" s="83"/>
    </row>
    <row r="977" spans="18:60">
      <c r="R977" s="26" t="s">
        <v>13</v>
      </c>
      <c r="Y977" s="26"/>
      <c r="Z977" s="26"/>
      <c r="AA977" s="26"/>
      <c r="AC977" s="77"/>
      <c r="BF977" s="26"/>
      <c r="BG977" s="26"/>
      <c r="BH977" s="83"/>
    </row>
    <row r="978" spans="18:60">
      <c r="R978" s="26" t="s">
        <v>13</v>
      </c>
      <c r="Y978" s="26"/>
      <c r="Z978" s="26"/>
      <c r="AA978" s="26"/>
      <c r="AC978" s="77"/>
      <c r="BF978" s="26"/>
      <c r="BG978" s="26"/>
      <c r="BH978" s="83"/>
    </row>
    <row r="979" spans="18:60">
      <c r="R979" s="26" t="s">
        <v>13</v>
      </c>
      <c r="Y979" s="26"/>
      <c r="Z979" s="26"/>
      <c r="AA979" s="26"/>
      <c r="AC979" s="77"/>
      <c r="BF979" s="26"/>
      <c r="BG979" s="26"/>
      <c r="BH979" s="83"/>
    </row>
    <row r="980" spans="18:60">
      <c r="R980" s="26" t="s">
        <v>13</v>
      </c>
      <c r="Y980" s="26"/>
      <c r="Z980" s="26"/>
      <c r="AA980" s="26"/>
      <c r="AC980" s="77"/>
      <c r="BF980" s="26"/>
      <c r="BG980" s="26"/>
      <c r="BH980" s="83"/>
    </row>
    <row r="981" spans="18:60">
      <c r="R981" s="26" t="s">
        <v>13</v>
      </c>
      <c r="Y981" s="26"/>
      <c r="Z981" s="26"/>
      <c r="AA981" s="26"/>
      <c r="AC981" s="77"/>
      <c r="BF981" s="26"/>
      <c r="BG981" s="26"/>
      <c r="BH981" s="83"/>
    </row>
    <row r="982" spans="18:60">
      <c r="R982" s="26" t="s">
        <v>13</v>
      </c>
      <c r="Y982" s="26"/>
      <c r="Z982" s="26"/>
      <c r="AA982" s="26"/>
      <c r="AC982" s="77"/>
      <c r="BF982" s="26"/>
      <c r="BG982" s="26"/>
      <c r="BH982" s="83"/>
    </row>
    <row r="983" spans="18:60">
      <c r="R983" s="26" t="s">
        <v>13</v>
      </c>
      <c r="Y983" s="26"/>
      <c r="Z983" s="26"/>
      <c r="AA983" s="26"/>
      <c r="AC983" s="77"/>
      <c r="BF983" s="26"/>
      <c r="BG983" s="26"/>
      <c r="BH983" s="83"/>
    </row>
    <row r="984" spans="18:60">
      <c r="R984" s="26" t="s">
        <v>13</v>
      </c>
      <c r="Y984" s="26"/>
      <c r="Z984" s="26"/>
      <c r="AA984" s="26"/>
      <c r="AC984" s="77"/>
      <c r="BF984" s="26"/>
      <c r="BG984" s="26"/>
      <c r="BH984" s="83"/>
    </row>
    <row r="985" spans="18:60">
      <c r="R985" s="26" t="s">
        <v>13</v>
      </c>
      <c r="Y985" s="26"/>
      <c r="Z985" s="26"/>
      <c r="AA985" s="26"/>
      <c r="AC985" s="77"/>
      <c r="BF985" s="26"/>
      <c r="BG985" s="26"/>
      <c r="BH985" s="83"/>
    </row>
    <row r="986" spans="18:60">
      <c r="R986" s="26" t="s">
        <v>13</v>
      </c>
      <c r="Y986" s="26"/>
      <c r="Z986" s="26"/>
      <c r="AA986" s="26"/>
      <c r="AC986" s="77"/>
      <c r="BF986" s="26"/>
      <c r="BG986" s="26"/>
      <c r="BH986" s="83"/>
    </row>
    <row r="987" spans="18:60">
      <c r="R987" s="26" t="s">
        <v>13</v>
      </c>
      <c r="Y987" s="26"/>
      <c r="Z987" s="26"/>
      <c r="AA987" s="26"/>
      <c r="AC987" s="77"/>
      <c r="BF987" s="26"/>
      <c r="BG987" s="26"/>
      <c r="BH987" s="83"/>
    </row>
    <row r="988" spans="18:60">
      <c r="R988" s="26" t="s">
        <v>13</v>
      </c>
      <c r="Y988" s="26"/>
      <c r="Z988" s="26"/>
      <c r="AA988" s="26"/>
      <c r="AC988" s="77"/>
      <c r="BF988" s="26"/>
      <c r="BG988" s="26"/>
      <c r="BH988" s="83"/>
    </row>
    <row r="989" spans="18:60">
      <c r="R989" s="26" t="s">
        <v>13</v>
      </c>
      <c r="Y989" s="26"/>
      <c r="Z989" s="26"/>
      <c r="AA989" s="26"/>
      <c r="AC989" s="77"/>
      <c r="BF989" s="26"/>
      <c r="BG989" s="26"/>
      <c r="BH989" s="83"/>
    </row>
    <row r="990" spans="18:60">
      <c r="R990" s="26" t="s">
        <v>13</v>
      </c>
      <c r="Y990" s="26"/>
      <c r="Z990" s="26"/>
      <c r="AA990" s="26"/>
      <c r="AC990" s="77"/>
      <c r="BF990" s="26"/>
      <c r="BG990" s="26"/>
      <c r="BH990" s="83"/>
    </row>
    <row r="991" spans="18:60">
      <c r="R991" s="26" t="s">
        <v>13</v>
      </c>
      <c r="Y991" s="26"/>
      <c r="Z991" s="26"/>
      <c r="AA991" s="26"/>
      <c r="AC991" s="77"/>
      <c r="BF991" s="26"/>
      <c r="BG991" s="26"/>
      <c r="BH991" s="83"/>
    </row>
    <row r="992" spans="18:60">
      <c r="R992" s="26" t="s">
        <v>13</v>
      </c>
      <c r="Y992" s="26"/>
      <c r="Z992" s="26"/>
      <c r="AA992" s="26"/>
      <c r="AC992" s="77"/>
      <c r="BF992" s="26"/>
      <c r="BG992" s="26"/>
      <c r="BH992" s="83"/>
    </row>
    <row r="993" spans="18:60">
      <c r="R993" s="26" t="s">
        <v>13</v>
      </c>
      <c r="Y993" s="26"/>
      <c r="Z993" s="26"/>
      <c r="AA993" s="26"/>
      <c r="AC993" s="77"/>
      <c r="BF993" s="26"/>
      <c r="BG993" s="26"/>
      <c r="BH993" s="83"/>
    </row>
    <row r="994" spans="18:60">
      <c r="R994" s="26" t="s">
        <v>13</v>
      </c>
      <c r="Y994" s="26"/>
      <c r="Z994" s="26"/>
      <c r="AA994" s="26"/>
      <c r="AC994" s="77"/>
      <c r="BF994" s="26"/>
      <c r="BG994" s="26"/>
      <c r="BH994" s="83"/>
    </row>
    <row r="995" spans="18:60">
      <c r="R995" s="26" t="s">
        <v>13</v>
      </c>
      <c r="Y995" s="26"/>
      <c r="Z995" s="26"/>
      <c r="AA995" s="26"/>
      <c r="AC995" s="77"/>
      <c r="BF995" s="26"/>
      <c r="BG995" s="26"/>
      <c r="BH995" s="83"/>
    </row>
    <row r="996" spans="18:60">
      <c r="R996" s="26" t="s">
        <v>13</v>
      </c>
      <c r="Y996" s="26"/>
      <c r="Z996" s="26"/>
      <c r="AA996" s="26"/>
      <c r="AC996" s="77"/>
      <c r="BF996" s="26"/>
      <c r="BG996" s="26"/>
      <c r="BH996" s="83"/>
    </row>
    <row r="997" spans="18:60">
      <c r="R997" s="26" t="s">
        <v>13</v>
      </c>
      <c r="Y997" s="26"/>
      <c r="Z997" s="26"/>
      <c r="AA997" s="26"/>
      <c r="AC997" s="77"/>
      <c r="BF997" s="26"/>
      <c r="BG997" s="26"/>
      <c r="BH997" s="83"/>
    </row>
    <row r="998" spans="18:60">
      <c r="R998" s="26" t="s">
        <v>13</v>
      </c>
      <c r="Y998" s="26"/>
      <c r="Z998" s="26"/>
      <c r="AA998" s="26"/>
      <c r="AC998" s="77"/>
      <c r="BF998" s="26"/>
      <c r="BG998" s="26"/>
      <c r="BH998" s="83"/>
    </row>
    <row r="999" spans="18:60">
      <c r="R999" s="26" t="s">
        <v>13</v>
      </c>
      <c r="Y999" s="26"/>
      <c r="Z999" s="26"/>
      <c r="AA999" s="26"/>
      <c r="AC999" s="77"/>
      <c r="BF999" s="26"/>
      <c r="BG999" s="26"/>
      <c r="BH999" s="83"/>
    </row>
    <row r="1000" spans="18:60">
      <c r="R1000" s="26" t="s">
        <v>13</v>
      </c>
      <c r="Y1000" s="26"/>
      <c r="Z1000" s="26"/>
      <c r="AA1000" s="26"/>
      <c r="AC1000" s="77"/>
      <c r="BF1000" s="26"/>
      <c r="BG1000" s="26"/>
      <c r="BH1000" s="83"/>
    </row>
    <row r="1001" spans="18:60">
      <c r="R1001" s="26" t="s">
        <v>13</v>
      </c>
      <c r="Y1001" s="26"/>
      <c r="Z1001" s="26"/>
      <c r="AA1001" s="26"/>
      <c r="AC1001" s="77"/>
      <c r="BF1001" s="26"/>
      <c r="BG1001" s="26"/>
      <c r="BH1001" s="83"/>
    </row>
    <row r="1002" spans="18:60">
      <c r="R1002" s="26" t="s">
        <v>13</v>
      </c>
      <c r="Y1002" s="26"/>
      <c r="Z1002" s="26"/>
      <c r="AA1002" s="26"/>
      <c r="AC1002" s="77"/>
      <c r="BF1002" s="26"/>
      <c r="BG1002" s="26"/>
      <c r="BH1002" s="83"/>
    </row>
    <row r="1003" spans="18:60">
      <c r="R1003" s="26" t="s">
        <v>13</v>
      </c>
      <c r="Y1003" s="26"/>
      <c r="Z1003" s="26"/>
      <c r="AA1003" s="26"/>
      <c r="AC1003" s="77"/>
      <c r="BF1003" s="26"/>
      <c r="BG1003" s="26"/>
      <c r="BH1003" s="83"/>
    </row>
    <row r="1004" spans="18:60">
      <c r="R1004" s="26" t="s">
        <v>13</v>
      </c>
      <c r="Y1004" s="26"/>
      <c r="Z1004" s="26"/>
      <c r="AA1004" s="26"/>
      <c r="AC1004" s="77"/>
      <c r="BF1004" s="26"/>
      <c r="BG1004" s="26"/>
      <c r="BH1004" s="83"/>
    </row>
    <row r="1005" spans="18:60">
      <c r="BF1005" s="26"/>
      <c r="BG1005" s="26"/>
      <c r="BH1005" s="83"/>
    </row>
    <row r="1006" spans="18:60">
      <c r="BF1006" s="26"/>
      <c r="BG1006" s="26"/>
      <c r="BH1006" s="83"/>
    </row>
    <row r="1007" spans="18:60">
      <c r="BF1007" s="26"/>
      <c r="BG1007" s="26"/>
      <c r="BH1007" s="83"/>
    </row>
    <row r="1008" spans="18:60">
      <c r="BF1008" s="26"/>
      <c r="BG1008" s="26"/>
      <c r="BH1008" s="83"/>
    </row>
    <row r="1009" spans="58:60">
      <c r="BF1009" s="26"/>
      <c r="BG1009" s="26"/>
      <c r="BH1009" s="83"/>
    </row>
    <row r="1010" spans="58:60">
      <c r="BF1010" s="26"/>
      <c r="BG1010" s="26"/>
      <c r="BH1010" s="83"/>
    </row>
    <row r="1011" spans="58:60">
      <c r="BF1011" s="26"/>
      <c r="BG1011" s="26"/>
      <c r="BH1011" s="83"/>
    </row>
    <row r="1012" spans="58:60">
      <c r="BF1012" s="26"/>
      <c r="BG1012" s="26"/>
      <c r="BH1012" s="83"/>
    </row>
    <row r="1013" spans="58:60">
      <c r="BF1013" s="26"/>
      <c r="BG1013" s="26"/>
      <c r="BH1013" s="83"/>
    </row>
    <row r="1014" spans="58:60">
      <c r="BF1014" s="26"/>
      <c r="BG1014" s="26"/>
      <c r="BH1014" s="83"/>
    </row>
    <row r="1015" spans="58:60">
      <c r="BF1015" s="26"/>
      <c r="BG1015" s="26"/>
      <c r="BH1015" s="83"/>
    </row>
    <row r="1016" spans="58:60">
      <c r="BF1016" s="26"/>
      <c r="BG1016" s="26"/>
      <c r="BH1016" s="83"/>
    </row>
    <row r="1017" spans="58:60">
      <c r="BF1017" s="26"/>
      <c r="BG1017" s="26"/>
      <c r="BH1017" s="83"/>
    </row>
    <row r="1018" spans="58:60">
      <c r="BF1018" s="26"/>
      <c r="BG1018" s="26"/>
      <c r="BH1018" s="83"/>
    </row>
    <row r="1019" spans="58:60">
      <c r="BF1019" s="26"/>
      <c r="BG1019" s="26"/>
      <c r="BH1019" s="83"/>
    </row>
    <row r="1020" spans="58:60">
      <c r="BF1020" s="26"/>
      <c r="BG1020" s="26"/>
      <c r="BH1020" s="83"/>
    </row>
    <row r="1021" spans="58:60">
      <c r="BF1021" s="26"/>
      <c r="BG1021" s="26"/>
      <c r="BH1021" s="83"/>
    </row>
    <row r="1022" spans="58:60">
      <c r="BF1022" s="26"/>
      <c r="BG1022" s="26"/>
      <c r="BH1022" s="83"/>
    </row>
    <row r="1023" spans="58:60">
      <c r="BF1023" s="26"/>
      <c r="BG1023" s="26"/>
      <c r="BH1023" s="83"/>
    </row>
    <row r="1024" spans="58:60">
      <c r="BF1024" s="26"/>
      <c r="BG1024" s="26"/>
      <c r="BH1024" s="83"/>
    </row>
    <row r="1025" spans="58:60">
      <c r="BF1025" s="26"/>
      <c r="BG1025" s="26"/>
      <c r="BH1025" s="83"/>
    </row>
    <row r="1026" spans="58:60">
      <c r="BF1026" s="26"/>
      <c r="BG1026" s="26"/>
      <c r="BH1026" s="83"/>
    </row>
    <row r="1027" spans="58:60">
      <c r="BF1027" s="26"/>
      <c r="BG1027" s="26"/>
      <c r="BH1027" s="83"/>
    </row>
    <row r="1028" spans="58:60">
      <c r="BF1028" s="26"/>
      <c r="BG1028" s="26"/>
      <c r="BH1028" s="83"/>
    </row>
    <row r="1029" spans="58:60">
      <c r="BF1029" s="26"/>
      <c r="BG1029" s="26"/>
      <c r="BH1029" s="83"/>
    </row>
    <row r="1030" spans="58:60">
      <c r="BF1030" s="26"/>
      <c r="BG1030" s="26"/>
      <c r="BH1030" s="83"/>
    </row>
    <row r="1031" spans="58:60">
      <c r="BF1031" s="26"/>
      <c r="BG1031" s="26"/>
      <c r="BH1031" s="83"/>
    </row>
    <row r="1032" spans="58:60">
      <c r="BF1032" s="26"/>
      <c r="BG1032" s="26"/>
      <c r="BH1032" s="83"/>
    </row>
    <row r="1033" spans="58:60">
      <c r="BF1033" s="26"/>
      <c r="BG1033" s="26"/>
      <c r="BH1033" s="83"/>
    </row>
    <row r="1034" spans="58:60">
      <c r="BF1034" s="26"/>
      <c r="BG1034" s="26"/>
      <c r="BH1034" s="83"/>
    </row>
    <row r="1035" spans="58:60">
      <c r="BF1035" s="26"/>
      <c r="BG1035" s="26"/>
      <c r="BH1035" s="83"/>
    </row>
    <row r="1036" spans="58:60">
      <c r="BF1036" s="26"/>
      <c r="BG1036" s="26"/>
      <c r="BH1036" s="83"/>
    </row>
    <row r="1037" spans="58:60">
      <c r="BF1037" s="26"/>
      <c r="BG1037" s="26"/>
      <c r="BH1037" s="83"/>
    </row>
    <row r="1038" spans="58:60">
      <c r="BF1038" s="26"/>
      <c r="BG1038" s="26"/>
      <c r="BH1038" s="83"/>
    </row>
    <row r="1039" spans="58:60">
      <c r="BF1039" s="26"/>
      <c r="BG1039" s="26"/>
      <c r="BH1039" s="83"/>
    </row>
    <row r="1040" spans="58:60">
      <c r="BF1040" s="26"/>
      <c r="BG1040" s="26"/>
      <c r="BH1040" s="83"/>
    </row>
    <row r="1041" spans="58:60">
      <c r="BF1041" s="26"/>
      <c r="BG1041" s="26"/>
      <c r="BH1041" s="83"/>
    </row>
    <row r="1042" spans="58:60">
      <c r="BF1042" s="26"/>
      <c r="BG1042" s="26"/>
      <c r="BH1042" s="83"/>
    </row>
    <row r="1043" spans="58:60">
      <c r="BF1043" s="26"/>
      <c r="BG1043" s="26"/>
      <c r="BH1043" s="83"/>
    </row>
    <row r="1044" spans="58:60">
      <c r="BF1044" s="26"/>
      <c r="BG1044" s="26"/>
      <c r="BH1044" s="83"/>
    </row>
  </sheetData>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 &amp; references</vt:lpstr>
      <vt:lpstr>proxies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Gateway Client</dc:creator>
  <cp:lastModifiedBy>Dana Royer</cp:lastModifiedBy>
  <cp:lastPrinted>2013-09-16T21:25:31Z</cp:lastPrinted>
  <dcterms:created xsi:type="dcterms:W3CDTF">2000-08-03T18:48:51Z</dcterms:created>
  <dcterms:modified xsi:type="dcterms:W3CDTF">2020-11-26T15:37:19Z</dcterms:modified>
</cp:coreProperties>
</file>