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\Downloads\"/>
    </mc:Choice>
  </mc:AlternateContent>
  <xr:revisionPtr revIDLastSave="0" documentId="13_ncr:1_{CB3F914B-6644-48B3-A0E0-8302F576CB6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H Parameters_calibrated" sheetId="3" r:id="rId1"/>
    <sheet name="DH Parameters" sheetId="1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" i="3" l="1"/>
  <c r="P56" i="3" s="1"/>
  <c r="O10" i="3"/>
  <c r="P49" i="3" s="1"/>
  <c r="O9" i="3"/>
  <c r="M41" i="3" s="1"/>
  <c r="O8" i="3"/>
  <c r="N32" i="3" s="1"/>
  <c r="O7" i="3"/>
  <c r="M25" i="3" s="1"/>
  <c r="O6" i="3"/>
  <c r="O17" i="3" s="1"/>
  <c r="R10" i="3"/>
  <c r="N50" i="3" s="1"/>
  <c r="R9" i="3"/>
  <c r="O42" i="3" s="1"/>
  <c r="R8" i="3"/>
  <c r="R7" i="3"/>
  <c r="O26" i="3" s="1"/>
  <c r="R6" i="3"/>
  <c r="N18" i="3" s="1"/>
  <c r="Q11" i="3"/>
  <c r="P58" i="3" s="1"/>
  <c r="Q10" i="3"/>
  <c r="Q9" i="3"/>
  <c r="P42" i="3" s="1"/>
  <c r="Q8" i="3"/>
  <c r="Q7" i="3"/>
  <c r="P26" i="3" s="1"/>
  <c r="Q6" i="3"/>
  <c r="P18" i="3" s="1"/>
  <c r="AD39" i="3" s="1"/>
  <c r="P10" i="3"/>
  <c r="P9" i="3"/>
  <c r="P8" i="3"/>
  <c r="P7" i="3"/>
  <c r="P6" i="3"/>
  <c r="O58" i="3"/>
  <c r="N58" i="3"/>
  <c r="P50" i="3"/>
  <c r="P34" i="3"/>
  <c r="O34" i="3"/>
  <c r="N34" i="3"/>
  <c r="N58" i="1"/>
  <c r="O58" i="1"/>
  <c r="P58" i="1"/>
  <c r="P50" i="1"/>
  <c r="P42" i="1"/>
  <c r="P34" i="1"/>
  <c r="O34" i="1"/>
  <c r="N34" i="1"/>
  <c r="P26" i="1"/>
  <c r="O26" i="1"/>
  <c r="N26" i="1"/>
  <c r="O7" i="1"/>
  <c r="P25" i="1" s="1"/>
  <c r="O8" i="1"/>
  <c r="O33" i="1" s="1"/>
  <c r="O9" i="1"/>
  <c r="O10" i="1"/>
  <c r="O11" i="1"/>
  <c r="M56" i="1" s="1"/>
  <c r="O6" i="1"/>
  <c r="P18" i="1"/>
  <c r="AD39" i="1" s="1"/>
  <c r="R10" i="1"/>
  <c r="O50" i="1" s="1"/>
  <c r="R9" i="1"/>
  <c r="N42" i="1" s="1"/>
  <c r="R6" i="1"/>
  <c r="O18" i="1" s="1"/>
  <c r="O33" i="3" l="1"/>
  <c r="P33" i="3"/>
  <c r="M32" i="3"/>
  <c r="P24" i="3"/>
  <c r="O50" i="3"/>
  <c r="N40" i="3"/>
  <c r="O41" i="3"/>
  <c r="N41" i="3"/>
  <c r="O40" i="3"/>
  <c r="N26" i="3"/>
  <c r="M16" i="3"/>
  <c r="N16" i="3"/>
  <c r="O18" i="3"/>
  <c r="N25" i="3"/>
  <c r="O32" i="3"/>
  <c r="P40" i="3"/>
  <c r="P41" i="3"/>
  <c r="M48" i="3"/>
  <c r="M49" i="3"/>
  <c r="N57" i="3"/>
  <c r="P17" i="3"/>
  <c r="AC39" i="3" s="1"/>
  <c r="M57" i="3"/>
  <c r="O16" i="3"/>
  <c r="O25" i="3"/>
  <c r="P32" i="3"/>
  <c r="N48" i="3"/>
  <c r="N49" i="3"/>
  <c r="O57" i="3"/>
  <c r="P16" i="3"/>
  <c r="AB39" i="3" s="1"/>
  <c r="M24" i="3"/>
  <c r="P25" i="3"/>
  <c r="O48" i="3"/>
  <c r="O49" i="3"/>
  <c r="M56" i="3"/>
  <c r="P57" i="3"/>
  <c r="M17" i="3"/>
  <c r="N24" i="3"/>
  <c r="M33" i="3"/>
  <c r="P48" i="3"/>
  <c r="N56" i="3"/>
  <c r="N17" i="3"/>
  <c r="O24" i="3"/>
  <c r="N33" i="3"/>
  <c r="N42" i="3"/>
  <c r="O56" i="3"/>
  <c r="M40" i="3"/>
  <c r="N18" i="1"/>
  <c r="N40" i="1"/>
  <c r="O42" i="1"/>
  <c r="N50" i="1"/>
  <c r="O48" i="1"/>
  <c r="O17" i="1"/>
  <c r="N24" i="1"/>
  <c r="N25" i="1"/>
  <c r="M24" i="1"/>
  <c r="M25" i="1"/>
  <c r="O49" i="1"/>
  <c r="N48" i="1"/>
  <c r="P49" i="1"/>
  <c r="M48" i="1"/>
  <c r="M49" i="1"/>
  <c r="P48" i="1"/>
  <c r="N49" i="1"/>
  <c r="O32" i="1"/>
  <c r="O24" i="1"/>
  <c r="O25" i="1"/>
  <c r="P24" i="1"/>
  <c r="M57" i="1"/>
  <c r="P56" i="1"/>
  <c r="N57" i="1"/>
  <c r="O56" i="1"/>
  <c r="O57" i="1"/>
  <c r="N56" i="1"/>
  <c r="P57" i="1"/>
  <c r="M41" i="1"/>
  <c r="O40" i="1"/>
  <c r="P41" i="1"/>
  <c r="M40" i="1"/>
  <c r="P40" i="1"/>
  <c r="N41" i="1"/>
  <c r="O41" i="1"/>
  <c r="P33" i="1"/>
  <c r="M33" i="1"/>
  <c r="N32" i="1"/>
  <c r="N33" i="1"/>
  <c r="P32" i="1"/>
  <c r="M32" i="1"/>
  <c r="O16" i="1"/>
  <c r="P16" i="1"/>
  <c r="AB39" i="1" s="1"/>
  <c r="P17" i="1"/>
  <c r="AC39" i="1" s="1"/>
  <c r="M17" i="1"/>
  <c r="M16" i="1"/>
  <c r="N16" i="1"/>
  <c r="N17" i="1"/>
  <c r="V24" i="3" l="1" a="1"/>
  <c r="V24" i="1" a="1"/>
  <c r="V24" i="1" s="1"/>
  <c r="X27" i="3" l="1"/>
  <c r="X25" i="3"/>
  <c r="Y27" i="3"/>
  <c r="Y25" i="3"/>
  <c r="AC40" i="3" s="1"/>
  <c r="W27" i="3"/>
  <c r="W25" i="3"/>
  <c r="V27" i="3"/>
  <c r="V25" i="3"/>
  <c r="Y26" i="3"/>
  <c r="AD40" i="3" s="1"/>
  <c r="Y24" i="3"/>
  <c r="AB40" i="3" s="1"/>
  <c r="X26" i="3"/>
  <c r="X24" i="3"/>
  <c r="W26" i="3"/>
  <c r="W24" i="3"/>
  <c r="V26" i="3"/>
  <c r="V24" i="3"/>
  <c r="Y26" i="1"/>
  <c r="AD40" i="1" s="1"/>
  <c r="V25" i="1"/>
  <c r="Y27" i="1"/>
  <c r="X26" i="1"/>
  <c r="X25" i="1"/>
  <c r="W24" i="1"/>
  <c r="W27" i="1"/>
  <c r="V26" i="1"/>
  <c r="W25" i="1"/>
  <c r="X24" i="1"/>
  <c r="V27" i="1"/>
  <c r="Y25" i="1"/>
  <c r="AC40" i="1" s="1"/>
  <c r="Y24" i="1"/>
  <c r="AB40" i="1" s="1"/>
  <c r="X27" i="1"/>
  <c r="W26" i="1"/>
  <c r="V32" i="3" l="1" a="1"/>
  <c r="X34" i="3" s="1"/>
  <c r="V32" i="1" a="1"/>
  <c r="V32" i="1" s="1"/>
  <c r="Y34" i="3" l="1"/>
  <c r="AD41" i="3" s="1"/>
  <c r="W35" i="3"/>
  <c r="V33" i="3"/>
  <c r="V34" i="3"/>
  <c r="W33" i="3"/>
  <c r="V35" i="3"/>
  <c r="W32" i="3"/>
  <c r="X33" i="3"/>
  <c r="W34" i="3"/>
  <c r="X35" i="3"/>
  <c r="Y32" i="3"/>
  <c r="AB41" i="3" s="1"/>
  <c r="Y33" i="3"/>
  <c r="AC41" i="3" s="1"/>
  <c r="Y35" i="3"/>
  <c r="X32" i="3"/>
  <c r="V32" i="3"/>
  <c r="Y34" i="1"/>
  <c r="AD41" i="1" s="1"/>
  <c r="Y35" i="1"/>
  <c r="X34" i="1"/>
  <c r="W34" i="1"/>
  <c r="V34" i="1"/>
  <c r="Y33" i="1"/>
  <c r="AC41" i="1" s="1"/>
  <c r="X33" i="1"/>
  <c r="W33" i="1"/>
  <c r="V33" i="1"/>
  <c r="Y32" i="1"/>
  <c r="AB41" i="1" s="1"/>
  <c r="X32" i="1"/>
  <c r="W32" i="1"/>
  <c r="X35" i="1"/>
  <c r="W35" i="1"/>
  <c r="V35" i="1"/>
  <c r="V40" i="3" l="1" a="1"/>
  <c r="Y42" i="3" s="1"/>
  <c r="AD42" i="3" s="1"/>
  <c r="V40" i="1" a="1"/>
  <c r="Y43" i="1" s="1"/>
  <c r="W40" i="3" l="1"/>
  <c r="W43" i="3"/>
  <c r="W41" i="3"/>
  <c r="Y41" i="3"/>
  <c r="AC42" i="3" s="1"/>
  <c r="Y43" i="3"/>
  <c r="V42" i="3"/>
  <c r="Y40" i="3"/>
  <c r="AB42" i="3" s="1"/>
  <c r="X41" i="3"/>
  <c r="X43" i="3"/>
  <c r="W42" i="3"/>
  <c r="X40" i="3"/>
  <c r="X42" i="3"/>
  <c r="V40" i="3"/>
  <c r="V43" i="3"/>
  <c r="V41" i="3"/>
  <c r="W42" i="1"/>
  <c r="V42" i="1"/>
  <c r="Y41" i="1"/>
  <c r="AC42" i="1" s="1"/>
  <c r="V40" i="1"/>
  <c r="V41" i="1"/>
  <c r="X41" i="1"/>
  <c r="Y40" i="1"/>
  <c r="AB42" i="1" s="1"/>
  <c r="W43" i="1"/>
  <c r="Y42" i="1"/>
  <c r="AD42" i="1" s="1"/>
  <c r="W40" i="1"/>
  <c r="W41" i="1"/>
  <c r="X40" i="1"/>
  <c r="X43" i="1"/>
  <c r="V43" i="1"/>
  <c r="X42" i="1"/>
  <c r="V48" i="3" l="1" a="1"/>
  <c r="V50" i="3" s="1"/>
  <c r="V48" i="1" a="1"/>
  <c r="X51" i="1" s="1"/>
  <c r="Y48" i="3" l="1"/>
  <c r="AB43" i="3" s="1"/>
  <c r="Y50" i="3"/>
  <c r="AD43" i="3" s="1"/>
  <c r="W48" i="3"/>
  <c r="X50" i="3"/>
  <c r="V48" i="3"/>
  <c r="W50" i="3"/>
  <c r="X49" i="3"/>
  <c r="X51" i="3"/>
  <c r="V49" i="3"/>
  <c r="V51" i="3"/>
  <c r="Y49" i="3"/>
  <c r="AC43" i="3" s="1"/>
  <c r="X48" i="3"/>
  <c r="Y51" i="3"/>
  <c r="W49" i="3"/>
  <c r="W51" i="3"/>
  <c r="V50" i="1"/>
  <c r="X48" i="1"/>
  <c r="Y49" i="1"/>
  <c r="AC43" i="1" s="1"/>
  <c r="Y51" i="1"/>
  <c r="V48" i="1"/>
  <c r="W50" i="1"/>
  <c r="X50" i="1"/>
  <c r="Y50" i="1"/>
  <c r="AD43" i="1" s="1"/>
  <c r="W48" i="1"/>
  <c r="X49" i="1"/>
  <c r="W51" i="1"/>
  <c r="W49" i="1"/>
  <c r="V51" i="1"/>
  <c r="Y48" i="1"/>
  <c r="AB43" i="1" s="1"/>
  <c r="V49" i="1"/>
  <c r="V56" i="3" l="1" a="1"/>
  <c r="X57" i="3" s="1"/>
  <c r="V56" i="1" a="1"/>
  <c r="V56" i="1" s="1"/>
  <c r="X59" i="3" l="1"/>
  <c r="Y58" i="3"/>
  <c r="AD44" i="3" s="1"/>
  <c r="V58" i="3"/>
  <c r="V57" i="3"/>
  <c r="W56" i="3"/>
  <c r="V59" i="3"/>
  <c r="W58" i="3"/>
  <c r="V56" i="3"/>
  <c r="Y56" i="3"/>
  <c r="AB44" i="3" s="1"/>
  <c r="Y57" i="3"/>
  <c r="AC44" i="3" s="1"/>
  <c r="Y59" i="3"/>
  <c r="W57" i="3"/>
  <c r="X56" i="3"/>
  <c r="W59" i="3"/>
  <c r="X58" i="3"/>
  <c r="X56" i="1"/>
  <c r="X57" i="1"/>
  <c r="V59" i="1"/>
  <c r="W58" i="1"/>
  <c r="Y59" i="1"/>
  <c r="Y58" i="1"/>
  <c r="AD44" i="1" s="1"/>
  <c r="X59" i="1"/>
  <c r="W56" i="1"/>
  <c r="Y57" i="1"/>
  <c r="AC44" i="1" s="1"/>
  <c r="Y56" i="1"/>
  <c r="AB44" i="1" s="1"/>
  <c r="V58" i="1"/>
  <c r="W59" i="1"/>
  <c r="X58" i="1"/>
  <c r="W57" i="1"/>
  <c r="V57" i="1"/>
  <c r="AB48" i="3" l="1"/>
  <c r="AB48" i="1"/>
  <c r="AB49" i="1" s="1"/>
  <c r="AB49" i="3" l="1"/>
  <c r="AC48" i="3"/>
  <c r="AC49" i="3" s="1"/>
  <c r="AD48" i="3"/>
  <c r="AD49" i="3" s="1"/>
  <c r="AD48" i="1"/>
  <c r="AD49" i="1" s="1"/>
  <c r="AC48" i="1"/>
  <c r="AC49" i="1" s="1"/>
</calcChain>
</file>

<file path=xl/sharedStrings.xml><?xml version="1.0" encoding="utf-8"?>
<sst xmlns="http://schemas.openxmlformats.org/spreadsheetml/2006/main" count="72" uniqueCount="35">
  <si>
    <t>UR5e</t>
  </si>
  <si>
    <t>Kinematics</t>
  </si>
  <si>
    <t>a [m]</t>
  </si>
  <si>
    <t>d [m]</t>
  </si>
  <si>
    <t>Θ [rad]</t>
  </si>
  <si>
    <t>α [rad]</t>
  </si>
  <si>
    <t>Θ [Grad]</t>
  </si>
  <si>
    <t>Denavit-Hartenberg-Parameter</t>
  </si>
  <si>
    <t>Joint 1 (Base)</t>
  </si>
  <si>
    <t>Joint 2 (Shoulder)</t>
  </si>
  <si>
    <t>Joint 3 (Elbow)</t>
  </si>
  <si>
    <t>Joint 4 (Wirst 1)</t>
  </si>
  <si>
    <t>Joint 5 (Wrist 2)</t>
  </si>
  <si>
    <t>Joint 6 (Wrist 3)</t>
  </si>
  <si>
    <t>0T1</t>
  </si>
  <si>
    <t>1T2</t>
  </si>
  <si>
    <t>2T3</t>
  </si>
  <si>
    <t>3T4</t>
  </si>
  <si>
    <t>4T5</t>
  </si>
  <si>
    <t>5T6</t>
  </si>
  <si>
    <t>←</t>
  </si>
  <si>
    <t>X</t>
  </si>
  <si>
    <t>Y</t>
  </si>
  <si>
    <t>Z</t>
  </si>
  <si>
    <t>beta</t>
  </si>
  <si>
    <t>alpha</t>
  </si>
  <si>
    <t>gamma</t>
  </si>
  <si>
    <t>Joint angle in rad</t>
  </si>
  <si>
    <t>DH-Parameter from UR Supportwebsite</t>
  </si>
  <si>
    <r>
      <rPr>
        <sz val="11"/>
        <color theme="0"/>
        <rFont val="Calibri"/>
        <family val="2"/>
      </rPr>
      <t xml:space="preserve">← </t>
    </r>
    <r>
      <rPr>
        <sz val="11"/>
        <color theme="0"/>
        <rFont val="Calibri"/>
        <family val="2"/>
        <scheme val="minor"/>
      </rPr>
      <t>Mulitplicated Denavit-Hartenberg transformation matrix 5T6</t>
    </r>
  </si>
  <si>
    <t>← Mulitplicated Denavit-Hartenberg transformation matrix 4T5</t>
  </si>
  <si>
    <t>← Mulitplicated Denavit-Hartenberg transformation matrix 3T4</t>
  </si>
  <si>
    <t>←Mulitplicated Denavit-Hartenberg transformation…</t>
  </si>
  <si>
    <t>← Mulitplicated Denavit…</t>
  </si>
  <si>
    <t>Sven Krüger - February 2021 - © by Universal Robots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</si>
</sst>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0"/>
    <numFmt numFmtId="166" formatCode="0.000000000000000000"/>
    <numFmt numFmtId="167" formatCode="0.000000000000000"/>
    <numFmt numFmtId="168" formatCode="0.00000000000000"/>
    <numFmt numFmtId="169" formatCode="0.000000000000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03030"/>
      <name val="Roboto"/>
    </font>
    <font>
      <b/>
      <sz val="10"/>
      <color rgb="FF303030"/>
      <name val="Roboto"/>
    </font>
    <font>
      <b/>
      <sz val="12"/>
      <color rgb="FF303030"/>
      <name val="Roboto"/>
    </font>
    <font>
      <sz val="10"/>
      <color theme="0"/>
      <name val="Roboto"/>
    </font>
    <font>
      <sz val="11"/>
      <color theme="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164" fontId="0" fillId="6" borderId="1" xfId="0" applyNumberFormat="1" applyFill="1" applyBorder="1"/>
    <xf numFmtId="0" fontId="0" fillId="7" borderId="0" xfId="0" applyFill="1"/>
    <xf numFmtId="0" fontId="0" fillId="7" borderId="1" xfId="0" applyFill="1" applyBorder="1"/>
    <xf numFmtId="164" fontId="0" fillId="7" borderId="1" xfId="0" applyNumberFormat="1" applyFill="1" applyBorder="1"/>
    <xf numFmtId="0" fontId="0" fillId="0" borderId="0" xfId="0" applyFill="1"/>
    <xf numFmtId="0" fontId="1" fillId="0" borderId="0" xfId="0" applyFont="1" applyFill="1"/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2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2" fontId="5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8" borderId="0" xfId="0" applyFill="1"/>
    <xf numFmtId="0" fontId="0" fillId="5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1" fillId="8" borderId="4" xfId="0" applyFont="1" applyFill="1" applyBorder="1"/>
    <xf numFmtId="164" fontId="1" fillId="8" borderId="4" xfId="0" applyNumberFormat="1" applyFont="1" applyFill="1" applyBorder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2" xfId="0" applyFont="1" applyFill="1" applyBorder="1" applyAlignment="1"/>
    <xf numFmtId="165" fontId="0" fillId="0" borderId="1" xfId="0" applyNumberFormat="1" applyBorder="1"/>
    <xf numFmtId="165" fontId="0" fillId="0" borderId="0" xfId="0" applyNumberFormat="1"/>
    <xf numFmtId="165" fontId="7" fillId="0" borderId="1" xfId="0" applyNumberFormat="1" applyFont="1" applyBorder="1"/>
    <xf numFmtId="165" fontId="8" fillId="0" borderId="1" xfId="0" applyNumberFormat="1" applyFont="1" applyBorder="1"/>
    <xf numFmtId="165" fontId="9" fillId="0" borderId="1" xfId="0" applyNumberFormat="1" applyFont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7" fillId="0" borderId="5" xfId="0" applyNumberFormat="1" applyFont="1" applyBorder="1"/>
    <xf numFmtId="165" fontId="8" fillId="0" borderId="5" xfId="0" applyNumberFormat="1" applyFont="1" applyBorder="1"/>
    <xf numFmtId="165" fontId="9" fillId="0" borderId="5" xfId="0" applyNumberFormat="1" applyFon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8" borderId="0" xfId="0" applyFont="1" applyFill="1" applyAlignment="1">
      <alignment horizontal="center" textRotation="90"/>
    </xf>
    <xf numFmtId="0" fontId="0" fillId="7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0" fillId="5" borderId="0" xfId="0" applyFill="1" applyAlignment="1">
      <alignment horizontal="center" textRotation="90"/>
    </xf>
    <xf numFmtId="0" fontId="0" fillId="6" borderId="0" xfId="0" applyFill="1" applyAlignment="1">
      <alignment horizontal="center" textRotation="90"/>
    </xf>
    <xf numFmtId="166" fontId="2" fillId="3" borderId="1" xfId="0" applyNumberFormat="1" applyFont="1" applyFill="1" applyBorder="1" applyAlignment="1">
      <alignment horizontal="center" vertical="center" wrapText="1"/>
    </xf>
    <xf numFmtId="167" fontId="2" fillId="4" borderId="1" xfId="0" applyNumberFormat="1" applyFont="1" applyFill="1" applyBorder="1" applyAlignment="1">
      <alignment horizontal="center" vertical="center" wrapText="1"/>
    </xf>
    <xf numFmtId="168" fontId="2" fillId="5" borderId="1" xfId="0" applyNumberFormat="1" applyFont="1" applyFill="1" applyBorder="1" applyAlignment="1">
      <alignment horizontal="center" vertical="center" wrapText="1"/>
    </xf>
    <xf numFmtId="168" fontId="2" fillId="6" borderId="1" xfId="0" applyNumberFormat="1" applyFont="1" applyFill="1" applyBorder="1" applyAlignment="1">
      <alignment horizontal="center" vertical="center" wrapText="1"/>
    </xf>
    <xf numFmtId="169" fontId="2" fillId="7" borderId="1" xfId="0" applyNumberFormat="1" applyFont="1" applyFill="1" applyBorder="1" applyAlignment="1">
      <alignment horizontal="center" vertical="center" wrapText="1"/>
    </xf>
    <xf numFmtId="168" fontId="5" fillId="8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xVal>
            <c:numRef>
              <c:f>'DH Parameters_calibrated'!$AB$39:$AB$44</c:f>
              <c:numCache>
                <c:formatCode>0.00000</c:formatCode>
                <c:ptCount val="6"/>
                <c:pt idx="0" formatCode="General">
                  <c:v>1.964394860598439E-5</c:v>
                </c:pt>
                <c:pt idx="1">
                  <c:v>-0.12632399485023008</c:v>
                </c:pt>
                <c:pt idx="2">
                  <c:v>-0.81981768678760136</c:v>
                </c:pt>
                <c:pt idx="3">
                  <c:v>-0.81634396994414904</c:v>
                </c:pt>
                <c:pt idx="4">
                  <c:v>-0.81629028539731818</c:v>
                </c:pt>
                <c:pt idx="5">
                  <c:v>-0.81628436464486775</c:v>
                </c:pt>
              </c:numCache>
            </c:numRef>
          </c:xVal>
          <c:yVal>
            <c:numRef>
              <c:f>'DH Parameters_calibrated'!$AC$39:$AC$44</c:f>
              <c:numCache>
                <c:formatCode>0.00000</c:formatCode>
                <c:ptCount val="6"/>
                <c:pt idx="0" formatCode="General">
                  <c:v>6.310921817064239E-13</c:v>
                </c:pt>
                <c:pt idx="1">
                  <c:v>-123.19032879585723</c:v>
                </c:pt>
                <c:pt idx="2">
                  <c:v>57.092746133949476</c:v>
                </c:pt>
                <c:pt idx="3">
                  <c:v>-0.13427362856573666</c:v>
                </c:pt>
                <c:pt idx="4">
                  <c:v>-0.13402757501525775</c:v>
                </c:pt>
                <c:pt idx="5">
                  <c:v>-0.23336651613660753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0D-4637-AA8D-6F6EA25AB137}"/>
            </c:ext>
          </c:extLst>
        </c:ser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Parameters_calibrated'!$AB$39:$AB$44</c:f>
              <c:numCache>
                <c:formatCode>0.00000</c:formatCode>
                <c:ptCount val="6"/>
                <c:pt idx="0" formatCode="General">
                  <c:v>1.964394860598439E-5</c:v>
                </c:pt>
                <c:pt idx="1">
                  <c:v>-0.12632399485023008</c:v>
                </c:pt>
                <c:pt idx="2">
                  <c:v>-0.81981768678760136</c:v>
                </c:pt>
                <c:pt idx="3">
                  <c:v>-0.81634396994414904</c:v>
                </c:pt>
                <c:pt idx="4">
                  <c:v>-0.81629028539731818</c:v>
                </c:pt>
                <c:pt idx="5">
                  <c:v>-0.81628436464486775</c:v>
                </c:pt>
              </c:numCache>
            </c:numRef>
          </c:xVal>
          <c:yVal>
            <c:numRef>
              <c:f>'DH Parameters_calibrated'!$AC$39:$AC$44</c:f>
              <c:numCache>
                <c:formatCode>0.00000</c:formatCode>
                <c:ptCount val="6"/>
                <c:pt idx="0" formatCode="General">
                  <c:v>6.310921817064239E-13</c:v>
                </c:pt>
                <c:pt idx="1">
                  <c:v>-123.19032879585723</c:v>
                </c:pt>
                <c:pt idx="2">
                  <c:v>57.092746133949476</c:v>
                </c:pt>
                <c:pt idx="3">
                  <c:v>-0.13427362856573666</c:v>
                </c:pt>
                <c:pt idx="4">
                  <c:v>-0.13402757501525775</c:v>
                </c:pt>
                <c:pt idx="5">
                  <c:v>-0.23336651613660753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0D-4637-AA8D-6F6EA25AB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n-US"/>
          </a:p>
        </c:txPr>
        <c:crossAx val="215517440"/>
        <c:crosses val="autoZero"/>
        <c:crossBetween val="midCat"/>
        <c:majorUnit val="0.2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en-US"/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Parameters_calibrated'!$AB$39:$AB$44</c:f>
              <c:numCache>
                <c:formatCode>0.00000</c:formatCode>
                <c:ptCount val="6"/>
                <c:pt idx="0" formatCode="General">
                  <c:v>1.964394860598439E-5</c:v>
                </c:pt>
                <c:pt idx="1">
                  <c:v>-0.12632399485023008</c:v>
                </c:pt>
                <c:pt idx="2">
                  <c:v>-0.81981768678760136</c:v>
                </c:pt>
                <c:pt idx="3">
                  <c:v>-0.81634396994414904</c:v>
                </c:pt>
                <c:pt idx="4">
                  <c:v>-0.81629028539731818</c:v>
                </c:pt>
                <c:pt idx="5">
                  <c:v>-0.81628436464486775</c:v>
                </c:pt>
              </c:numCache>
            </c:numRef>
          </c:xVal>
          <c:yVal>
            <c:numRef>
              <c:f>'DH Parameters_calibrated'!$AD$39:$AD$44</c:f>
              <c:numCache>
                <c:formatCode>0.00000</c:formatCode>
                <c:ptCount val="6"/>
                <c:pt idx="0" formatCode="General">
                  <c:v>0.1620822392562957</c:v>
                </c:pt>
                <c:pt idx="1">
                  <c:v>0.15169757371672185</c:v>
                </c:pt>
                <c:pt idx="2">
                  <c:v>0.35298416047000447</c:v>
                </c:pt>
                <c:pt idx="3">
                  <c:v>0.16164319789631917</c:v>
                </c:pt>
                <c:pt idx="4">
                  <c:v>6.2119598893499578E-2</c:v>
                </c:pt>
                <c:pt idx="5">
                  <c:v>6.1698095000439879E-2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87-40F5-98DE-340B9D775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n-US"/>
          </a:p>
        </c:txPr>
        <c:crossAx val="215534976"/>
        <c:crosses val="autoZero"/>
        <c:crossBetween val="midCat"/>
        <c:majorUnit val="0.2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en-US"/>
          </a:p>
        </c:txPr>
        <c:crossAx val="215533056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Parameters_calibrated'!$AC$39:$AC$44</c:f>
              <c:numCache>
                <c:formatCode>0.00000</c:formatCode>
                <c:ptCount val="6"/>
                <c:pt idx="0" formatCode="General">
                  <c:v>6.310921817064239E-13</c:v>
                </c:pt>
                <c:pt idx="1">
                  <c:v>-123.19032879585723</c:v>
                </c:pt>
                <c:pt idx="2">
                  <c:v>57.092746133949476</c:v>
                </c:pt>
                <c:pt idx="3">
                  <c:v>-0.13427362856573666</c:v>
                </c:pt>
                <c:pt idx="4">
                  <c:v>-0.13402757501525775</c:v>
                </c:pt>
                <c:pt idx="5">
                  <c:v>-0.23336651613660753</c:v>
                </c:pt>
              </c:numCache>
            </c:numRef>
          </c:xVal>
          <c:yVal>
            <c:numRef>
              <c:f>'DH Parameters_calibrated'!$AD$39:$AD$44</c:f>
              <c:numCache>
                <c:formatCode>0.00000</c:formatCode>
                <c:ptCount val="6"/>
                <c:pt idx="0" formatCode="General">
                  <c:v>0.1620822392562957</c:v>
                </c:pt>
                <c:pt idx="1">
                  <c:v>0.15169757371672185</c:v>
                </c:pt>
                <c:pt idx="2">
                  <c:v>0.35298416047000447</c:v>
                </c:pt>
                <c:pt idx="3">
                  <c:v>0.16164319789631917</c:v>
                </c:pt>
                <c:pt idx="4">
                  <c:v>6.2119598893499578E-2</c:v>
                </c:pt>
                <c:pt idx="5">
                  <c:v>6.1698095000439879E-2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91-4AE9-A9C2-286DE071E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en-US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en-US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-0.42499999999999999</c:v>
                </c:pt>
                <c:pt idx="2">
                  <c:v>-0.81719999999999993</c:v>
                </c:pt>
                <c:pt idx="3">
                  <c:v>-0.81719999999999993</c:v>
                </c:pt>
                <c:pt idx="4">
                  <c:v>-0.84965914499937845</c:v>
                </c:pt>
                <c:pt idx="5">
                  <c:v>-0.76810237161995754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-0.1333</c:v>
                </c:pt>
                <c:pt idx="4">
                  <c:v>-0.1333</c:v>
                </c:pt>
                <c:pt idx="5">
                  <c:v>-8.3500000000000019E-2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4-40CC-9968-A5B258EA7BD2}"/>
            </c:ext>
          </c:extLst>
        </c:ser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-0.42499999999999999</c:v>
                </c:pt>
                <c:pt idx="2">
                  <c:v>-0.81719999999999993</c:v>
                </c:pt>
                <c:pt idx="3">
                  <c:v>-0.81719999999999993</c:v>
                </c:pt>
                <c:pt idx="4">
                  <c:v>-0.84965914499937845</c:v>
                </c:pt>
                <c:pt idx="5">
                  <c:v>-0.76810237161995754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-0.1333</c:v>
                </c:pt>
                <c:pt idx="4">
                  <c:v>-0.1333</c:v>
                </c:pt>
                <c:pt idx="5">
                  <c:v>-8.3500000000000019E-2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F4-40CC-9968-A5B258EA7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n-US"/>
          </a:p>
        </c:txPr>
        <c:crossAx val="215517440"/>
        <c:crosses val="autoZero"/>
        <c:crossBetween val="midCat"/>
        <c:majorUnit val="0.2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en-US"/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-0.42499999999999999</c:v>
                </c:pt>
                <c:pt idx="2">
                  <c:v>-0.81719999999999993</c:v>
                </c:pt>
                <c:pt idx="3">
                  <c:v>-0.81719999999999993</c:v>
                </c:pt>
                <c:pt idx="4">
                  <c:v>-0.84965914499937845</c:v>
                </c:pt>
                <c:pt idx="5">
                  <c:v>-0.76810237161995754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0.16250000000000001</c:v>
                </c:pt>
                <c:pt idx="1">
                  <c:v>0.16250000000000001</c:v>
                </c:pt>
                <c:pt idx="2">
                  <c:v>0.16250000000000001</c:v>
                </c:pt>
                <c:pt idx="3">
                  <c:v>0.16250000000000001</c:v>
                </c:pt>
                <c:pt idx="4">
                  <c:v>0.25676820198725187</c:v>
                </c:pt>
                <c:pt idx="5">
                  <c:v>0.28485045111259399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7-44FC-AEE9-EEAE87019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n-US"/>
          </a:p>
        </c:txPr>
        <c:crossAx val="215534976"/>
        <c:crosses val="autoZero"/>
        <c:crossBetween val="midCat"/>
        <c:majorUnit val="0.2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en-US"/>
          </a:p>
        </c:txPr>
        <c:crossAx val="215533056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-0.1333</c:v>
                </c:pt>
                <c:pt idx="4">
                  <c:v>-0.1333</c:v>
                </c:pt>
                <c:pt idx="5">
                  <c:v>-8.3500000000000019E-2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0.16250000000000001</c:v>
                </c:pt>
                <c:pt idx="1">
                  <c:v>0.16250000000000001</c:v>
                </c:pt>
                <c:pt idx="2">
                  <c:v>0.16250000000000001</c:v>
                </c:pt>
                <c:pt idx="3">
                  <c:v>0.16250000000000001</c:v>
                </c:pt>
                <c:pt idx="4">
                  <c:v>0.25676820198725187</c:v>
                </c:pt>
                <c:pt idx="5">
                  <c:v>0.28485045111259399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D-4FB5-88AA-921C68758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en-US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en-US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20" fmlaLink="$N$6" horiz="1" max="360" page="10" val="0"/>
</file>

<file path=xl/ctrlProps/ctrlProp2.xml><?xml version="1.0" encoding="utf-8"?>
<formControlPr xmlns="http://schemas.microsoft.com/office/spreadsheetml/2009/9/main" objectType="Scroll" dx="20" fmlaLink="$N$7" horiz="1" max="360" page="10" val="0"/>
</file>

<file path=xl/ctrlProps/ctrlProp3.xml><?xml version="1.0" encoding="utf-8"?>
<formControlPr xmlns="http://schemas.microsoft.com/office/spreadsheetml/2009/9/main" objectType="Scroll" dx="20" fmlaLink="$N$8" horiz="1" max="360" page="10" val="0"/>
</file>

<file path=xl/ctrlProps/ctrlProp4.xml><?xml version="1.0" encoding="utf-8"?>
<formControlPr xmlns="http://schemas.microsoft.com/office/spreadsheetml/2009/9/main" objectType="Scroll" dx="20" fmlaLink="$N$10" horiz="1" max="360" page="10" val="0"/>
</file>

<file path=xl/ctrlProps/ctrlProp5.xml><?xml version="1.0" encoding="utf-8"?>
<formControlPr xmlns="http://schemas.microsoft.com/office/spreadsheetml/2009/9/main" objectType="Scroll" dx="20" fmlaLink="$N$9" horiz="1" max="360" page="10" val="0"/>
</file>

<file path=xl/ctrlProps/ctrlProp6.xml><?xml version="1.0" encoding="utf-8"?>
<formControlPr xmlns="http://schemas.microsoft.com/office/spreadsheetml/2009/9/main" objectType="Scroll" dx="20" fmlaLink="$N$11" horiz="1" max="360" page="10" val="0"/>
</file>

<file path=xl/ctrlProps/ctrlProp7.xml><?xml version="1.0" encoding="utf-8"?>
<formControlPr xmlns="http://schemas.microsoft.com/office/spreadsheetml/2009/9/main" objectType="Scroll" dx="20" fmlaLink="$N$6" horiz="1" max="360" page="10" val="0"/>
</file>

<file path=xl/ctrlProps/ctrlProp8.xml><?xml version="1.0" encoding="utf-8"?>
<formControlPr xmlns="http://schemas.microsoft.com/office/spreadsheetml/2009/9/main" objectType="Scroll" dx="20" fmlaLink="$N$7" horiz="1" max="360" page="10" val="0"/>
</file>

<file path=xl/ctrlProps/ctrlProp9.xml><?xml version="1.0" encoding="utf-8"?>
<formControlPr xmlns="http://schemas.microsoft.com/office/spreadsheetml/2009/9/main" objectType="Scroll" dx="20" fmlaLink="$N$8" horiz="1" max="360" page="10" val="0"/>
</file>

<file path=xl/ctrlProps/ctrlProp10.xml><?xml version="1.0" encoding="utf-8"?>
<formControlPr xmlns="http://schemas.microsoft.com/office/spreadsheetml/2009/9/main" objectType="Scroll" dx="20" fmlaLink="$N$10" horiz="1" max="360" page="10" val="120"/>
</file>

<file path=xl/ctrlProps/ctrlProp11.xml><?xml version="1.0" encoding="utf-8"?>
<formControlPr xmlns="http://schemas.microsoft.com/office/spreadsheetml/2009/9/main" objectType="Scroll" dx="20" fmlaLink="$N$9" horiz="1" max="360" page="10" val="199"/>
</file>

<file path=xl/ctrlProps/ctrlProp12.xml><?xml version="1.0" encoding="utf-8"?>
<formControlPr xmlns="http://schemas.microsoft.com/office/spreadsheetml/2009/9/main" objectType="Scroll" dx="20" fmlaLink="$N$11" horiz="1" max="360" page="10" val="9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microsoft.com/office/2007/relationships/hdphoto" Target="../media/hdphoto2.wdp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microsoft.com/office/2007/relationships/hdphoto" Target="../media/hdphoto1.wdp"/><Relationship Id="rId4" Type="http://schemas.openxmlformats.org/officeDocument/2006/relationships/image" Target="../media/image1.png"/><Relationship Id="rId9" Type="http://schemas.microsoft.com/office/2007/relationships/hdphoto" Target="../media/hdphoto3.wdp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6.xml"/><Relationship Id="rId7" Type="http://schemas.microsoft.com/office/2007/relationships/hdphoto" Target="../media/hdphoto2.wdp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image" Target="../media/image2.png"/><Relationship Id="rId5" Type="http://schemas.microsoft.com/office/2007/relationships/hdphoto" Target="../media/hdphoto1.wdp"/><Relationship Id="rId4" Type="http://schemas.openxmlformats.org/officeDocument/2006/relationships/image" Target="../media/image1.png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4</xdr:row>
      <xdr:rowOff>11430</xdr:rowOff>
    </xdr:from>
    <xdr:to>
      <xdr:col>33</xdr:col>
      <xdr:colOff>94574</xdr:colOff>
      <xdr:row>33</xdr:row>
      <xdr:rowOff>58380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04C5DCEB-C88E-423B-97E3-99DAB13CE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4</xdr:row>
      <xdr:rowOff>21772</xdr:rowOff>
    </xdr:from>
    <xdr:to>
      <xdr:col>40</xdr:col>
      <xdr:colOff>279631</xdr:colOff>
      <xdr:row>33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E3A29FBB-AB07-4F2E-BAF1-22B6C2F31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4</xdr:row>
      <xdr:rowOff>0</xdr:rowOff>
    </xdr:from>
    <xdr:to>
      <xdr:col>47</xdr:col>
      <xdr:colOff>542250</xdr:colOff>
      <xdr:row>33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E5C7DA5D-8782-4AA8-A867-F4C5ADDFA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23</xdr:col>
          <xdr:colOff>911262</xdr:colOff>
          <xdr:row>6</xdr:row>
          <xdr:rowOff>0</xdr:rowOff>
        </xdr:to>
        <xdr:sp macro="" textlink="">
          <xdr:nvSpPr>
            <xdr:cNvPr id="3073" name="Scroll Ba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A7F2CDF9-3CA9-423B-8C41-8006021EC4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23</xdr:col>
          <xdr:colOff>911262</xdr:colOff>
          <xdr:row>7</xdr:row>
          <xdr:rowOff>0</xdr:rowOff>
        </xdr:to>
        <xdr:sp macro="" textlink="">
          <xdr:nvSpPr>
            <xdr:cNvPr id="3074" name="Scroll Bar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A01F33A9-47E1-491C-918C-6B4AC3984A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23</xdr:col>
          <xdr:colOff>911262</xdr:colOff>
          <xdr:row>8</xdr:row>
          <xdr:rowOff>0</xdr:rowOff>
        </xdr:to>
        <xdr:sp macro="" textlink="">
          <xdr:nvSpPr>
            <xdr:cNvPr id="3075" name="Scroll Bar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C571D6C-DDC8-4F88-AA05-61B95EB3B1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23</xdr:col>
          <xdr:colOff>911262</xdr:colOff>
          <xdr:row>10</xdr:row>
          <xdr:rowOff>0</xdr:rowOff>
        </xdr:to>
        <xdr:sp macro="" textlink="">
          <xdr:nvSpPr>
            <xdr:cNvPr id="3076" name="Scroll Bar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1FE0F195-EF11-4129-AD38-3672D2F2EB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23</xdr:col>
          <xdr:colOff>911262</xdr:colOff>
          <xdr:row>9</xdr:row>
          <xdr:rowOff>0</xdr:rowOff>
        </xdr:to>
        <xdr:sp macro="" textlink="">
          <xdr:nvSpPr>
            <xdr:cNvPr id="3077" name="Scroll Bar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7880755C-2E5C-404F-A3AB-E23AFB2F82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23</xdr:col>
          <xdr:colOff>911262</xdr:colOff>
          <xdr:row>11</xdr:row>
          <xdr:rowOff>0</xdr:rowOff>
        </xdr:to>
        <xdr:sp macro="" textlink="">
          <xdr:nvSpPr>
            <xdr:cNvPr id="3078" name="Scroll Bar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EEA4941D-F59E-43EC-8E3B-240E8F1959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29</xdr:col>
      <xdr:colOff>333551</xdr:colOff>
      <xdr:row>17</xdr:row>
      <xdr:rowOff>19050</xdr:rowOff>
    </xdr:from>
    <xdr:to>
      <xdr:col>29</xdr:col>
      <xdr:colOff>781051</xdr:colOff>
      <xdr:row>19</xdr:row>
      <xdr:rowOff>112451</xdr:rowOff>
    </xdr:to>
    <xdr:pic>
      <xdr:nvPicPr>
        <xdr:cNvPr id="5" name="Grafik 13">
          <a:extLst>
            <a:ext uri="{FF2B5EF4-FFF2-40B4-BE49-F238E27FC236}">
              <a16:creationId xmlns:a16="http://schemas.microsoft.com/office/drawing/2014/main" id="{E221EF14-E61B-4960-A925-D800E4159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2837" b="99882" l="4934" r="98917">
                      <a14:foregroundMark x1="4934" y1="49527" x2="5656" y2="44444"/>
                      <a14:foregroundMark x1="5656" y1="44681" x2="10469" y2="28605"/>
                      <a14:foregroundMark x1="12274" y1="24823" x2="12274" y2="24823"/>
                      <a14:foregroundMark x1="15162" y1="19858" x2="15162" y2="19858"/>
                      <a14:foregroundMark x1="16005" y1="3191" x2="16005" y2="3191"/>
                      <a14:foregroundMark x1="87846" y1="3783" x2="87846" y2="3783"/>
                      <a14:foregroundMark x1="89049" y1="19149" x2="89049" y2="19149"/>
                      <a14:foregroundMark x1="94224" y1="27305" x2="94224" y2="27305"/>
                      <a14:foregroundMark x1="98556" y1="40071" x2="98556" y2="40071"/>
                      <a14:foregroundMark x1="99037" y1="50827" x2="99037" y2="50827"/>
                      <a14:foregroundMark x1="97593" y1="61939" x2="97593" y2="61939"/>
                      <a14:foregroundMark x1="96149" y1="64894" x2="96149" y2="64894"/>
                      <a14:foregroundMark x1="94344" y1="69858" x2="94344" y2="69858"/>
                      <a14:foregroundMark x1="71600" y1="86407" x2="71600" y2="86407"/>
                      <a14:foregroundMark x1="31889" y1="87234" x2="72563" y2="89125"/>
                      <a14:foregroundMark x1="40072" y1="93972" x2="48616" y2="95154"/>
                      <a14:foregroundMark x1="48496" y1="97045" x2="48977" y2="99882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0800000">
          <a:off x="15076346" y="3129915"/>
          <a:ext cx="445595" cy="459161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xdr:twoCellAnchor editAs="oneCell">
    <xdr:from>
      <xdr:col>43</xdr:col>
      <xdr:colOff>571829</xdr:colOff>
      <xdr:row>14</xdr:row>
      <xdr:rowOff>126124</xdr:rowOff>
    </xdr:from>
    <xdr:to>
      <xdr:col>44</xdr:col>
      <xdr:colOff>421976</xdr:colOff>
      <xdr:row>18</xdr:row>
      <xdr:rowOff>91902</xdr:rowOff>
    </xdr:to>
    <xdr:pic>
      <xdr:nvPicPr>
        <xdr:cNvPr id="6" name="Grafik 14">
          <a:extLst>
            <a:ext uri="{FF2B5EF4-FFF2-40B4-BE49-F238E27FC236}">
              <a16:creationId xmlns:a16="http://schemas.microsoft.com/office/drawing/2014/main" id="{48FF0E59-69DC-4224-80D3-17CAC7A577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4248" b="96670" l="0" r="97257">
                      <a14:foregroundMark x1="39776" y1="29966" x2="40773" y2="13088"/>
                      <a14:foregroundMark x1="41272" y1="12514" x2="47631" y2="8496"/>
                      <a14:foregroundMark x1="48753" y1="9070" x2="89027" y2="4248"/>
                      <a14:foregroundMark x1="88778" y1="5970" x2="92519" y2="11022"/>
                      <a14:foregroundMark x1="90524" y1="10792" x2="97257" y2="9759"/>
                      <a14:foregroundMark x1="40025" y1="57865" x2="40025" y2="67853"/>
                      <a14:foregroundMark x1="40150" y1="68427" x2="32544" y2="91734"/>
                      <a14:foregroundMark x1="32544" y1="92997" x2="0" y2="91963"/>
                      <a14:foregroundMark x1="873" y1="96670" x2="32419" y2="96556"/>
                    </a14:backgroundRemoval>
                  </a14:imgEffect>
                </a14:imgLayer>
              </a14:imgProps>
            </a:ext>
          </a:extLst>
        </a:blip>
        <a:srcRect t="629"/>
        <a:stretch/>
      </xdr:blipFill>
      <xdr:spPr>
        <a:xfrm>
          <a:off x="26413154" y="2692159"/>
          <a:ext cx="640722" cy="691583"/>
        </a:xfrm>
        <a:prstGeom prst="rect">
          <a:avLst/>
        </a:prstGeom>
      </xdr:spPr>
    </xdr:pic>
    <xdr:clientData/>
  </xdr:twoCellAnchor>
  <xdr:twoCellAnchor editAs="oneCell">
    <xdr:from>
      <xdr:col>36</xdr:col>
      <xdr:colOff>514949</xdr:colOff>
      <xdr:row>14</xdr:row>
      <xdr:rowOff>138553</xdr:rowOff>
    </xdr:from>
    <xdr:to>
      <xdr:col>37</xdr:col>
      <xdr:colOff>211128</xdr:colOff>
      <xdr:row>18</xdr:row>
      <xdr:rowOff>130366</xdr:rowOff>
    </xdr:to>
    <xdr:pic>
      <xdr:nvPicPr>
        <xdr:cNvPr id="7" name="Grafik 15">
          <a:extLst>
            <a:ext uri="{FF2B5EF4-FFF2-40B4-BE49-F238E27FC236}">
              <a16:creationId xmlns:a16="http://schemas.microsoft.com/office/drawing/2014/main" id="{08115E11-DE5F-4621-92DC-BDB54BF56D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5530" b="95737" l="3964" r="96216">
                      <a14:foregroundMark x1="13694" y1="21544" x2="13694" y2="21544"/>
                      <a14:foregroundMark x1="14414" y1="19700" x2="17297" y2="5760"/>
                      <a14:foregroundMark x1="14595" y1="24539" x2="15495" y2="65553"/>
                      <a14:foregroundMark x1="15135" y1="66475" x2="4144" y2="95276"/>
                      <a14:foregroundMark x1="7207" y1="95737" x2="96216" y2="95622"/>
                      <a14:foregroundMark x1="47027" y1="94009" x2="55315" y2="89055"/>
                    </a14:backgroundRemoval>
                  </a14:imgEffect>
                </a14:imgLayer>
              </a14:imgProps>
            </a:ext>
          </a:extLst>
        </a:blip>
        <a:srcRect l="-1" r="-2209"/>
        <a:stretch/>
      </xdr:blipFill>
      <xdr:spPr>
        <a:xfrm>
          <a:off x="20818439" y="2696968"/>
          <a:ext cx="481038" cy="721428"/>
        </a:xfrm>
        <a:prstGeom prst="rect">
          <a:avLst/>
        </a:prstGeom>
      </xdr:spPr>
    </xdr:pic>
    <xdr:clientData/>
  </xdr:twoCellAnchor>
  <xdr:twoCellAnchor>
    <xdr:from>
      <xdr:col>12</xdr:col>
      <xdr:colOff>851647</xdr:colOff>
      <xdr:row>19</xdr:row>
      <xdr:rowOff>8964</xdr:rowOff>
    </xdr:from>
    <xdr:to>
      <xdr:col>15</xdr:col>
      <xdr:colOff>304800</xdr:colOff>
      <xdr:row>21</xdr:row>
      <xdr:rowOff>98610</xdr:rowOff>
    </xdr:to>
    <xdr:sp macro="" textlink="">
      <xdr:nvSpPr>
        <xdr:cNvPr id="8" name="Pfeil nach unten 16">
          <a:extLst>
            <a:ext uri="{FF2B5EF4-FFF2-40B4-BE49-F238E27FC236}">
              <a16:creationId xmlns:a16="http://schemas.microsoft.com/office/drawing/2014/main" id="{1A62DE3E-53DD-4664-9916-0CB210F88A60}"/>
            </a:ext>
          </a:extLst>
        </xdr:cNvPr>
        <xdr:cNvSpPr/>
      </xdr:nvSpPr>
      <xdr:spPr>
        <a:xfrm>
          <a:off x="3027157" y="3487494"/>
          <a:ext cx="2259218" cy="44588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/>
            <a:t>* 1T2</a:t>
          </a:r>
        </a:p>
      </xdr:txBody>
    </xdr:sp>
    <xdr:clientData/>
  </xdr:twoCellAnchor>
  <xdr:twoCellAnchor>
    <xdr:from>
      <xdr:col>12</xdr:col>
      <xdr:colOff>842681</xdr:colOff>
      <xdr:row>27</xdr:row>
      <xdr:rowOff>9008</xdr:rowOff>
    </xdr:from>
    <xdr:to>
      <xdr:col>15</xdr:col>
      <xdr:colOff>295834</xdr:colOff>
      <xdr:row>29</xdr:row>
      <xdr:rowOff>98654</xdr:rowOff>
    </xdr:to>
    <xdr:sp macro="" textlink="">
      <xdr:nvSpPr>
        <xdr:cNvPr id="9" name="Pfeil nach unten 24">
          <a:extLst>
            <a:ext uri="{FF2B5EF4-FFF2-40B4-BE49-F238E27FC236}">
              <a16:creationId xmlns:a16="http://schemas.microsoft.com/office/drawing/2014/main" id="{FBE975BE-351A-4F8E-890E-E9D872E8D505}"/>
            </a:ext>
          </a:extLst>
        </xdr:cNvPr>
        <xdr:cNvSpPr/>
      </xdr:nvSpPr>
      <xdr:spPr>
        <a:xfrm>
          <a:off x="3016286" y="4935338"/>
          <a:ext cx="2259218" cy="445881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2T3</a:t>
          </a:r>
        </a:p>
      </xdr:txBody>
    </xdr:sp>
    <xdr:clientData/>
  </xdr:twoCellAnchor>
  <xdr:twoCellAnchor>
    <xdr:from>
      <xdr:col>12</xdr:col>
      <xdr:colOff>842680</xdr:colOff>
      <xdr:row>35</xdr:row>
      <xdr:rowOff>9053</xdr:rowOff>
    </xdr:from>
    <xdr:to>
      <xdr:col>15</xdr:col>
      <xdr:colOff>295833</xdr:colOff>
      <xdr:row>37</xdr:row>
      <xdr:rowOff>98699</xdr:rowOff>
    </xdr:to>
    <xdr:sp macro="" textlink="">
      <xdr:nvSpPr>
        <xdr:cNvPr id="10" name="Pfeil nach unten 26">
          <a:extLst>
            <a:ext uri="{FF2B5EF4-FFF2-40B4-BE49-F238E27FC236}">
              <a16:creationId xmlns:a16="http://schemas.microsoft.com/office/drawing/2014/main" id="{3D3BC6CB-981D-436C-81C3-26AE0D8869B7}"/>
            </a:ext>
          </a:extLst>
        </xdr:cNvPr>
        <xdr:cNvSpPr/>
      </xdr:nvSpPr>
      <xdr:spPr>
        <a:xfrm>
          <a:off x="3016285" y="6383183"/>
          <a:ext cx="2259218" cy="455406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3T4</a:t>
          </a:r>
        </a:p>
      </xdr:txBody>
    </xdr:sp>
    <xdr:clientData/>
  </xdr:twoCellAnchor>
  <xdr:twoCellAnchor>
    <xdr:from>
      <xdr:col>12</xdr:col>
      <xdr:colOff>842681</xdr:colOff>
      <xdr:row>43</xdr:row>
      <xdr:rowOff>9006</xdr:rowOff>
    </xdr:from>
    <xdr:to>
      <xdr:col>15</xdr:col>
      <xdr:colOff>295834</xdr:colOff>
      <xdr:row>45</xdr:row>
      <xdr:rowOff>98653</xdr:rowOff>
    </xdr:to>
    <xdr:sp macro="" textlink="">
      <xdr:nvSpPr>
        <xdr:cNvPr id="11" name="Pfeil nach unten 27">
          <a:extLst>
            <a:ext uri="{FF2B5EF4-FFF2-40B4-BE49-F238E27FC236}">
              <a16:creationId xmlns:a16="http://schemas.microsoft.com/office/drawing/2014/main" id="{EFDE865C-0404-4EC2-8CC7-50A83E66A138}"/>
            </a:ext>
          </a:extLst>
        </xdr:cNvPr>
        <xdr:cNvSpPr/>
      </xdr:nvSpPr>
      <xdr:spPr>
        <a:xfrm>
          <a:off x="3016286" y="7849986"/>
          <a:ext cx="2259218" cy="445882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4T5</a:t>
          </a:r>
        </a:p>
      </xdr:txBody>
    </xdr:sp>
    <xdr:clientData/>
  </xdr:twoCellAnchor>
  <xdr:twoCellAnchor>
    <xdr:from>
      <xdr:col>12</xdr:col>
      <xdr:colOff>842681</xdr:colOff>
      <xdr:row>51</xdr:row>
      <xdr:rowOff>9048</xdr:rowOff>
    </xdr:from>
    <xdr:to>
      <xdr:col>15</xdr:col>
      <xdr:colOff>295834</xdr:colOff>
      <xdr:row>53</xdr:row>
      <xdr:rowOff>98695</xdr:rowOff>
    </xdr:to>
    <xdr:sp macro="" textlink="">
      <xdr:nvSpPr>
        <xdr:cNvPr id="12" name="Pfeil nach unten 28">
          <a:extLst>
            <a:ext uri="{FF2B5EF4-FFF2-40B4-BE49-F238E27FC236}">
              <a16:creationId xmlns:a16="http://schemas.microsoft.com/office/drawing/2014/main" id="{31559BDE-CABA-403D-89B3-6178290D7C96}"/>
            </a:ext>
          </a:extLst>
        </xdr:cNvPr>
        <xdr:cNvSpPr/>
      </xdr:nvSpPr>
      <xdr:spPr>
        <a:xfrm>
          <a:off x="3016286" y="9297828"/>
          <a:ext cx="2259218" cy="445882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5T6</a:t>
          </a:r>
        </a:p>
      </xdr:txBody>
    </xdr:sp>
    <xdr:clientData/>
  </xdr:twoCellAnchor>
  <xdr:twoCellAnchor>
    <xdr:from>
      <xdr:col>16</xdr:col>
      <xdr:colOff>26899</xdr:colOff>
      <xdr:row>53</xdr:row>
      <xdr:rowOff>179291</xdr:rowOff>
    </xdr:from>
    <xdr:to>
      <xdr:col>20</xdr:col>
      <xdr:colOff>161372</xdr:colOff>
      <xdr:row>60</xdr:row>
      <xdr:rowOff>8963</xdr:rowOff>
    </xdr:to>
    <xdr:sp macro="" textlink="">
      <xdr:nvSpPr>
        <xdr:cNvPr id="13" name="Pfeil nach unten 29">
          <a:extLst>
            <a:ext uri="{FF2B5EF4-FFF2-40B4-BE49-F238E27FC236}">
              <a16:creationId xmlns:a16="http://schemas.microsoft.com/office/drawing/2014/main" id="{C771EA06-6CC0-4111-875D-58FA58D43924}"/>
            </a:ext>
          </a:extLst>
        </xdr:cNvPr>
        <xdr:cNvSpPr/>
      </xdr:nvSpPr>
      <xdr:spPr>
        <a:xfrm rot="16200000">
          <a:off x="6278157" y="9345198"/>
          <a:ext cx="1119357" cy="2081383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Result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0T1*1T2*2T3*3T4*4T5*5T6</a:t>
          </a:r>
        </a:p>
      </xdr:txBody>
    </xdr:sp>
    <xdr:clientData/>
  </xdr:twoCellAnchor>
  <xdr:twoCellAnchor>
    <xdr:from>
      <xdr:col>16</xdr:col>
      <xdr:colOff>35864</xdr:colOff>
      <xdr:row>46</xdr:row>
      <xdr:rowOff>116538</xdr:rowOff>
    </xdr:from>
    <xdr:to>
      <xdr:col>20</xdr:col>
      <xdr:colOff>170337</xdr:colOff>
      <xdr:row>51</xdr:row>
      <xdr:rowOff>53788</xdr:rowOff>
    </xdr:to>
    <xdr:sp macro="" textlink="">
      <xdr:nvSpPr>
        <xdr:cNvPr id="14" name="Pfeil nach unten 30">
          <a:extLst>
            <a:ext uri="{FF2B5EF4-FFF2-40B4-BE49-F238E27FC236}">
              <a16:creationId xmlns:a16="http://schemas.microsoft.com/office/drawing/2014/main" id="{4E700CDF-2BDA-4FFA-B35D-2A4A1044F747}"/>
            </a:ext>
          </a:extLst>
        </xdr:cNvPr>
        <xdr:cNvSpPr/>
      </xdr:nvSpPr>
      <xdr:spPr>
        <a:xfrm rot="16200000">
          <a:off x="6425738" y="7880814"/>
          <a:ext cx="845935" cy="2081383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53795</xdr:colOff>
      <xdr:row>38</xdr:row>
      <xdr:rowOff>170327</xdr:rowOff>
    </xdr:from>
    <xdr:to>
      <xdr:col>21</xdr:col>
      <xdr:colOff>9</xdr:colOff>
      <xdr:row>43</xdr:row>
      <xdr:rowOff>107577</xdr:rowOff>
    </xdr:to>
    <xdr:sp macro="" textlink="">
      <xdr:nvSpPr>
        <xdr:cNvPr id="15" name="Pfeil nach unten 31">
          <a:extLst>
            <a:ext uri="{FF2B5EF4-FFF2-40B4-BE49-F238E27FC236}">
              <a16:creationId xmlns:a16="http://schemas.microsoft.com/office/drawing/2014/main" id="{69179CD7-1396-4835-A09E-261520FC3A24}"/>
            </a:ext>
          </a:extLst>
        </xdr:cNvPr>
        <xdr:cNvSpPr/>
      </xdr:nvSpPr>
      <xdr:spPr>
        <a:xfrm rot="16200000">
          <a:off x="6440027" y="6488540"/>
          <a:ext cx="845935" cy="20664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44831</xdr:colOff>
      <xdr:row>30</xdr:row>
      <xdr:rowOff>152398</xdr:rowOff>
    </xdr:from>
    <xdr:to>
      <xdr:col>20</xdr:col>
      <xdr:colOff>179304</xdr:colOff>
      <xdr:row>35</xdr:row>
      <xdr:rowOff>89648</xdr:rowOff>
    </xdr:to>
    <xdr:sp macro="" textlink="">
      <xdr:nvSpPr>
        <xdr:cNvPr id="16" name="Pfeil nach unten 32">
          <a:extLst>
            <a:ext uri="{FF2B5EF4-FFF2-40B4-BE49-F238E27FC236}">
              <a16:creationId xmlns:a16="http://schemas.microsoft.com/office/drawing/2014/main" id="{0BFC0531-F95D-43D8-BBA2-94837C59DDB9}"/>
            </a:ext>
          </a:extLst>
        </xdr:cNvPr>
        <xdr:cNvSpPr/>
      </xdr:nvSpPr>
      <xdr:spPr>
        <a:xfrm rot="16200000">
          <a:off x="6432800" y="5005834"/>
          <a:ext cx="845935" cy="2073763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44832</xdr:colOff>
      <xdr:row>22</xdr:row>
      <xdr:rowOff>179292</xdr:rowOff>
    </xdr:from>
    <xdr:to>
      <xdr:col>20</xdr:col>
      <xdr:colOff>179305</xdr:colOff>
      <xdr:row>27</xdr:row>
      <xdr:rowOff>116542</xdr:rowOff>
    </xdr:to>
    <xdr:sp macro="" textlink="">
      <xdr:nvSpPr>
        <xdr:cNvPr id="17" name="Pfeil nach unten 33">
          <a:extLst>
            <a:ext uri="{FF2B5EF4-FFF2-40B4-BE49-F238E27FC236}">
              <a16:creationId xmlns:a16="http://schemas.microsoft.com/office/drawing/2014/main" id="{C07AE152-4DDC-4F64-9E76-307883E74220}"/>
            </a:ext>
          </a:extLst>
        </xdr:cNvPr>
        <xdr:cNvSpPr/>
      </xdr:nvSpPr>
      <xdr:spPr>
        <a:xfrm rot="16200000">
          <a:off x="6433754" y="3582070"/>
          <a:ext cx="844030" cy="2073763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4</xdr:row>
      <xdr:rowOff>11430</xdr:rowOff>
    </xdr:from>
    <xdr:to>
      <xdr:col>33</xdr:col>
      <xdr:colOff>94574</xdr:colOff>
      <xdr:row>33</xdr:row>
      <xdr:rowOff>58380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4</xdr:row>
      <xdr:rowOff>21772</xdr:rowOff>
    </xdr:from>
    <xdr:to>
      <xdr:col>40</xdr:col>
      <xdr:colOff>279631</xdr:colOff>
      <xdr:row>33</xdr:row>
      <xdr:rowOff>68722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4</xdr:row>
      <xdr:rowOff>0</xdr:rowOff>
    </xdr:from>
    <xdr:to>
      <xdr:col>47</xdr:col>
      <xdr:colOff>542250</xdr:colOff>
      <xdr:row>33</xdr:row>
      <xdr:rowOff>46950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24</xdr:col>
          <xdr:colOff>0</xdr:colOff>
          <xdr:row>6</xdr:row>
          <xdr:rowOff>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0</xdr:colOff>
          <xdr:row>7</xdr:row>
          <xdr:rowOff>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0</xdr:colOff>
          <xdr:row>8</xdr:row>
          <xdr:rowOff>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0</xdr:colOff>
          <xdr:row>10</xdr:row>
          <xdr:rowOff>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0</xdr:colOff>
          <xdr:row>9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0</xdr:colOff>
          <xdr:row>11</xdr:row>
          <xdr:rowOff>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29</xdr:col>
      <xdr:colOff>333551</xdr:colOff>
      <xdr:row>17</xdr:row>
      <xdr:rowOff>19050</xdr:rowOff>
    </xdr:from>
    <xdr:to>
      <xdr:col>29</xdr:col>
      <xdr:colOff>781051</xdr:colOff>
      <xdr:row>19</xdr:row>
      <xdr:rowOff>112451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2837" b="99882" l="4934" r="98917">
                      <a14:foregroundMark x1="4934" y1="49527" x2="5656" y2="44444"/>
                      <a14:foregroundMark x1="5656" y1="44681" x2="10469" y2="28605"/>
                      <a14:foregroundMark x1="12274" y1="24823" x2="12274" y2="24823"/>
                      <a14:foregroundMark x1="15162" y1="19858" x2="15162" y2="19858"/>
                      <a14:foregroundMark x1="16005" y1="3191" x2="16005" y2="3191"/>
                      <a14:foregroundMark x1="87846" y1="3783" x2="87846" y2="3783"/>
                      <a14:foregroundMark x1="89049" y1="19149" x2="89049" y2="19149"/>
                      <a14:foregroundMark x1="94224" y1="27305" x2="94224" y2="27305"/>
                      <a14:foregroundMark x1="98556" y1="40071" x2="98556" y2="40071"/>
                      <a14:foregroundMark x1="99037" y1="50827" x2="99037" y2="50827"/>
                      <a14:foregroundMark x1="97593" y1="61939" x2="97593" y2="61939"/>
                      <a14:foregroundMark x1="96149" y1="64894" x2="96149" y2="64894"/>
                      <a14:foregroundMark x1="94344" y1="69858" x2="94344" y2="69858"/>
                      <a14:foregroundMark x1="71600" y1="86407" x2="71600" y2="86407"/>
                      <a14:foregroundMark x1="31889" y1="87234" x2="72563" y2="89125"/>
                      <a14:foregroundMark x1="40072" y1="93972" x2="48616" y2="95154"/>
                      <a14:foregroundMark x1="48496" y1="97045" x2="48977" y2="99882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0800000">
          <a:off x="15221126" y="3209925"/>
          <a:ext cx="447500" cy="455351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xdr:twoCellAnchor editAs="oneCell">
    <xdr:from>
      <xdr:col>43</xdr:col>
      <xdr:colOff>571829</xdr:colOff>
      <xdr:row>14</xdr:row>
      <xdr:rowOff>126124</xdr:rowOff>
    </xdr:from>
    <xdr:to>
      <xdr:col>44</xdr:col>
      <xdr:colOff>421976</xdr:colOff>
      <xdr:row>18</xdr:row>
      <xdr:rowOff>86187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4248" b="96670" l="0" r="97257">
                      <a14:foregroundMark x1="39776" y1="29966" x2="40773" y2="13088"/>
                      <a14:foregroundMark x1="41272" y1="12514" x2="47631" y2="8496"/>
                      <a14:foregroundMark x1="48753" y1="9070" x2="89027" y2="4248"/>
                      <a14:foregroundMark x1="88778" y1="5970" x2="92519" y2="11022"/>
                      <a14:foregroundMark x1="90524" y1="10792" x2="97257" y2="9759"/>
                      <a14:foregroundMark x1="40025" y1="57865" x2="40025" y2="67853"/>
                      <a14:foregroundMark x1="40150" y1="68427" x2="32544" y2="91734"/>
                      <a14:foregroundMark x1="32544" y1="92997" x2="0" y2="91963"/>
                      <a14:foregroundMark x1="873" y1="96670" x2="32419" y2="96556"/>
                    </a14:backgroundRemoval>
                  </a14:imgEffect>
                </a14:imgLayer>
              </a14:imgProps>
            </a:ext>
          </a:extLst>
        </a:blip>
        <a:srcRect t="629"/>
        <a:stretch/>
      </xdr:blipFill>
      <xdr:spPr>
        <a:xfrm>
          <a:off x="26616463" y="2774731"/>
          <a:ext cx="643679" cy="701042"/>
        </a:xfrm>
        <a:prstGeom prst="rect">
          <a:avLst/>
        </a:prstGeom>
      </xdr:spPr>
    </xdr:pic>
    <xdr:clientData/>
  </xdr:twoCellAnchor>
  <xdr:twoCellAnchor editAs="oneCell">
    <xdr:from>
      <xdr:col>36</xdr:col>
      <xdr:colOff>514949</xdr:colOff>
      <xdr:row>14</xdr:row>
      <xdr:rowOff>138553</xdr:rowOff>
    </xdr:from>
    <xdr:to>
      <xdr:col>37</xdr:col>
      <xdr:colOff>199697</xdr:colOff>
      <xdr:row>18</xdr:row>
      <xdr:rowOff>120841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5530" b="95737" l="3964" r="96216">
                      <a14:foregroundMark x1="13694" y1="21544" x2="13694" y2="21544"/>
                      <a14:foregroundMark x1="14414" y1="19700" x2="17297" y2="5760"/>
                      <a14:foregroundMark x1="14595" y1="24539" x2="15495" y2="65553"/>
                      <a14:foregroundMark x1="15135" y1="66475" x2="4144" y2="95276"/>
                      <a14:foregroundMark x1="7207" y1="95737" x2="96216" y2="95622"/>
                      <a14:foregroundMark x1="47027" y1="94009" x2="55315" y2="89055"/>
                    </a14:backgroundRemoval>
                  </a14:imgEffect>
                </a14:imgLayer>
              </a14:imgProps>
            </a:ext>
          </a:extLst>
        </a:blip>
        <a:srcRect l="-1" r="-2209"/>
        <a:stretch/>
      </xdr:blipFill>
      <xdr:spPr>
        <a:xfrm>
          <a:off x="21004866" y="2787160"/>
          <a:ext cx="478279" cy="723267"/>
        </a:xfrm>
        <a:prstGeom prst="rect">
          <a:avLst/>
        </a:prstGeom>
      </xdr:spPr>
    </xdr:pic>
    <xdr:clientData/>
  </xdr:twoCellAnchor>
  <xdr:twoCellAnchor>
    <xdr:from>
      <xdr:col>12</xdr:col>
      <xdr:colOff>851647</xdr:colOff>
      <xdr:row>19</xdr:row>
      <xdr:rowOff>8964</xdr:rowOff>
    </xdr:from>
    <xdr:to>
      <xdr:col>15</xdr:col>
      <xdr:colOff>304800</xdr:colOff>
      <xdr:row>21</xdr:row>
      <xdr:rowOff>98610</xdr:rowOff>
    </xdr:to>
    <xdr:sp macro="" textlink="">
      <xdr:nvSpPr>
        <xdr:cNvPr id="17" name="Pfeil nach unt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110753" y="3532093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/>
            <a:t>* 1T2</a:t>
          </a:r>
        </a:p>
      </xdr:txBody>
    </xdr:sp>
    <xdr:clientData/>
  </xdr:twoCellAnchor>
  <xdr:twoCellAnchor>
    <xdr:from>
      <xdr:col>12</xdr:col>
      <xdr:colOff>842681</xdr:colOff>
      <xdr:row>27</xdr:row>
      <xdr:rowOff>9008</xdr:rowOff>
    </xdr:from>
    <xdr:to>
      <xdr:col>15</xdr:col>
      <xdr:colOff>295834</xdr:colOff>
      <xdr:row>29</xdr:row>
      <xdr:rowOff>98654</xdr:rowOff>
    </xdr:to>
    <xdr:sp macro="" textlink="">
      <xdr:nvSpPr>
        <xdr:cNvPr id="25" name="Pfeil nach unt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101787" y="4966490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2T3</a:t>
          </a:r>
        </a:p>
      </xdr:txBody>
    </xdr:sp>
    <xdr:clientData/>
  </xdr:twoCellAnchor>
  <xdr:twoCellAnchor>
    <xdr:from>
      <xdr:col>12</xdr:col>
      <xdr:colOff>842680</xdr:colOff>
      <xdr:row>35</xdr:row>
      <xdr:rowOff>9053</xdr:rowOff>
    </xdr:from>
    <xdr:to>
      <xdr:col>15</xdr:col>
      <xdr:colOff>295833</xdr:colOff>
      <xdr:row>37</xdr:row>
      <xdr:rowOff>98699</xdr:rowOff>
    </xdr:to>
    <xdr:sp macro="" textlink="">
      <xdr:nvSpPr>
        <xdr:cNvPr id="27" name="Pfeil nach unten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101786" y="6400888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3T4</a:t>
          </a:r>
        </a:p>
      </xdr:txBody>
    </xdr:sp>
    <xdr:clientData/>
  </xdr:twoCellAnchor>
  <xdr:twoCellAnchor>
    <xdr:from>
      <xdr:col>12</xdr:col>
      <xdr:colOff>842681</xdr:colOff>
      <xdr:row>43</xdr:row>
      <xdr:rowOff>9006</xdr:rowOff>
    </xdr:from>
    <xdr:to>
      <xdr:col>15</xdr:col>
      <xdr:colOff>295834</xdr:colOff>
      <xdr:row>45</xdr:row>
      <xdr:rowOff>98653</xdr:rowOff>
    </xdr:to>
    <xdr:sp macro="" textlink="">
      <xdr:nvSpPr>
        <xdr:cNvPr id="28" name="Pfeil nach unten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101787" y="7835194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4T5</a:t>
          </a:r>
        </a:p>
      </xdr:txBody>
    </xdr:sp>
    <xdr:clientData/>
  </xdr:twoCellAnchor>
  <xdr:twoCellAnchor>
    <xdr:from>
      <xdr:col>12</xdr:col>
      <xdr:colOff>842681</xdr:colOff>
      <xdr:row>51</xdr:row>
      <xdr:rowOff>9048</xdr:rowOff>
    </xdr:from>
    <xdr:to>
      <xdr:col>15</xdr:col>
      <xdr:colOff>295834</xdr:colOff>
      <xdr:row>53</xdr:row>
      <xdr:rowOff>98695</xdr:rowOff>
    </xdr:to>
    <xdr:sp macro="" textlink="">
      <xdr:nvSpPr>
        <xdr:cNvPr id="29" name="Pfeil nach unt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101787" y="9269589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5T6</a:t>
          </a:r>
        </a:p>
      </xdr:txBody>
    </xdr:sp>
    <xdr:clientData/>
  </xdr:twoCellAnchor>
  <xdr:twoCellAnchor>
    <xdr:from>
      <xdr:col>16</xdr:col>
      <xdr:colOff>26899</xdr:colOff>
      <xdr:row>53</xdr:row>
      <xdr:rowOff>179291</xdr:rowOff>
    </xdr:from>
    <xdr:to>
      <xdr:col>20</xdr:col>
      <xdr:colOff>161372</xdr:colOff>
      <xdr:row>60</xdr:row>
      <xdr:rowOff>8963</xdr:rowOff>
    </xdr:to>
    <xdr:sp macro="" textlink="">
      <xdr:nvSpPr>
        <xdr:cNvPr id="30" name="Pfeil nach unten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16200000">
          <a:off x="6391840" y="9305361"/>
          <a:ext cx="1102661" cy="2088779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Result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0T1*1T2*2T3*3T4*4T5*5T6</a:t>
          </a:r>
        </a:p>
      </xdr:txBody>
    </xdr:sp>
    <xdr:clientData/>
  </xdr:twoCellAnchor>
  <xdr:twoCellAnchor>
    <xdr:from>
      <xdr:col>16</xdr:col>
      <xdr:colOff>35864</xdr:colOff>
      <xdr:row>46</xdr:row>
      <xdr:rowOff>116538</xdr:rowOff>
    </xdr:from>
    <xdr:to>
      <xdr:col>20</xdr:col>
      <xdr:colOff>170337</xdr:colOff>
      <xdr:row>51</xdr:row>
      <xdr:rowOff>53788</xdr:rowOff>
    </xdr:to>
    <xdr:sp macro="" textlink="">
      <xdr:nvSpPr>
        <xdr:cNvPr id="31" name="Pfeil nach unt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16200000">
          <a:off x="6535276" y="7853079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53795</xdr:colOff>
      <xdr:row>38</xdr:row>
      <xdr:rowOff>170327</xdr:rowOff>
    </xdr:from>
    <xdr:to>
      <xdr:col>21</xdr:col>
      <xdr:colOff>9</xdr:colOff>
      <xdr:row>43</xdr:row>
      <xdr:rowOff>107577</xdr:rowOff>
    </xdr:to>
    <xdr:sp macro="" textlink="">
      <xdr:nvSpPr>
        <xdr:cNvPr id="32" name="Pfeil nach unte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6200000">
          <a:off x="6553207" y="6472515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44831</xdr:colOff>
      <xdr:row>30</xdr:row>
      <xdr:rowOff>152398</xdr:rowOff>
    </xdr:from>
    <xdr:to>
      <xdr:col>20</xdr:col>
      <xdr:colOff>179304</xdr:colOff>
      <xdr:row>35</xdr:row>
      <xdr:rowOff>89648</xdr:rowOff>
    </xdr:to>
    <xdr:sp macro="" textlink="">
      <xdr:nvSpPr>
        <xdr:cNvPr id="33" name="Pfeil nach unt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6200000">
          <a:off x="6544243" y="5020233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44832</xdr:colOff>
      <xdr:row>22</xdr:row>
      <xdr:rowOff>179292</xdr:rowOff>
    </xdr:from>
    <xdr:to>
      <xdr:col>20</xdr:col>
      <xdr:colOff>179305</xdr:colOff>
      <xdr:row>27</xdr:row>
      <xdr:rowOff>116542</xdr:rowOff>
    </xdr:to>
    <xdr:sp macro="" textlink="">
      <xdr:nvSpPr>
        <xdr:cNvPr id="34" name="Pfeil nach unte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16200000">
          <a:off x="6544244" y="3612774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Relationship Id="rId9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43F0-136F-4C0C-84F7-04B5F371505C}">
  <dimension ref="F1:AQ63"/>
  <sheetViews>
    <sheetView tabSelected="1" topLeftCell="A3" zoomScale="85" zoomScaleNormal="85" workbookViewId="0">
      <selection activeCell="M31" sqref="M31:P31"/>
    </sheetView>
  </sheetViews>
  <sheetFormatPr defaultColWidth="11.5546875" defaultRowHeight="14.4" x14ac:dyDescent="0.3"/>
  <cols>
    <col min="1" max="12" width="2.6640625" customWidth="1"/>
    <col min="13" max="13" width="16.44140625" customWidth="1"/>
    <col min="14" max="14" width="12.6640625" bestFit="1" customWidth="1"/>
    <col min="15" max="15" width="22.88671875" bestFit="1" customWidth="1"/>
    <col min="18" max="18" width="12.5546875" bestFit="1" customWidth="1"/>
    <col min="19" max="21" width="2.6640625" customWidth="1"/>
    <col min="22" max="25" width="13.33203125" customWidth="1"/>
    <col min="29" max="30" width="12" bestFit="1" customWidth="1"/>
  </cols>
  <sheetData>
    <row r="1" spans="6:24" x14ac:dyDescent="0.3">
      <c r="O1" s="85" t="s">
        <v>7</v>
      </c>
      <c r="P1" s="85"/>
      <c r="Q1" s="85"/>
      <c r="R1" s="85"/>
    </row>
    <row r="2" spans="6:24" x14ac:dyDescent="0.3">
      <c r="O2" s="86" t="s">
        <v>27</v>
      </c>
      <c r="P2" s="86" t="s">
        <v>28</v>
      </c>
      <c r="Q2" s="86"/>
      <c r="R2" s="86"/>
    </row>
    <row r="3" spans="6:24" x14ac:dyDescent="0.3">
      <c r="O3" s="87"/>
      <c r="P3" s="87"/>
      <c r="Q3" s="87"/>
      <c r="R3" s="87"/>
    </row>
    <row r="4" spans="6:24" x14ac:dyDescent="0.3">
      <c r="M4" s="83" t="s">
        <v>0</v>
      </c>
      <c r="N4" s="83"/>
      <c r="O4" s="83"/>
      <c r="P4" s="83"/>
      <c r="Q4" s="83"/>
      <c r="R4" s="83"/>
    </row>
    <row r="5" spans="6:24" ht="15.6" x14ac:dyDescent="0.3">
      <c r="M5" s="15" t="s">
        <v>1</v>
      </c>
      <c r="N5" s="15" t="s">
        <v>6</v>
      </c>
      <c r="O5" s="15" t="s">
        <v>4</v>
      </c>
      <c r="P5" s="15" t="s">
        <v>2</v>
      </c>
      <c r="Q5" s="15" t="s">
        <v>3</v>
      </c>
      <c r="R5" s="15" t="s">
        <v>5</v>
      </c>
    </row>
    <row r="6" spans="6:24" x14ac:dyDescent="0.3">
      <c r="K6" s="2"/>
      <c r="L6" s="2"/>
      <c r="M6" s="16" t="s">
        <v>8</v>
      </c>
      <c r="N6" s="17">
        <v>0</v>
      </c>
      <c r="O6" s="93">
        <f>RADIANS(N6)+3.21265441263762E-08</f>
        <v>3.2126544126376198E-8</v>
      </c>
      <c r="P6" s="19">
        <f>0+0.0000196439486059844</f>
        <v>1.9643948605984401E-5</v>
      </c>
      <c r="Q6" s="19">
        <f>0.1625+-0.000417760743704309</f>
        <v>0.1620822392562957</v>
      </c>
      <c r="R6" s="18">
        <f>PI()/2-0.00149187545876361</f>
        <v>1.5693044513361329</v>
      </c>
    </row>
    <row r="7" spans="6:24" x14ac:dyDescent="0.3">
      <c r="J7" s="3"/>
      <c r="K7" s="3"/>
      <c r="L7" s="3"/>
      <c r="M7" s="20" t="s">
        <v>9</v>
      </c>
      <c r="N7" s="21">
        <v>0</v>
      </c>
      <c r="O7" s="94">
        <f>RADIANS(N7)+0.993923061602969</f>
        <v>0.99392306160296895</v>
      </c>
      <c r="P7" s="23">
        <f>-0.425+0.193342065026589</f>
        <v>-0.231657934973411</v>
      </c>
      <c r="Q7" s="23">
        <f>0+123.190176207314</f>
        <v>123.190176207314</v>
      </c>
      <c r="R7" s="22">
        <f>0+0.00288995658036257</f>
        <v>2.88995658036257E-3</v>
      </c>
    </row>
    <row r="8" spans="6:24" x14ac:dyDescent="0.3">
      <c r="I8" s="5"/>
      <c r="J8" s="5"/>
      <c r="K8" s="5"/>
      <c r="L8" s="5"/>
      <c r="M8" s="24" t="s">
        <v>10</v>
      </c>
      <c r="N8" s="25">
        <v>0</v>
      </c>
      <c r="O8" s="95">
        <f>RADIANS(N8)+4.66218319118734</f>
        <v>4.6621831911873404</v>
      </c>
      <c r="P8" s="27">
        <f>-0.3922+ 0.0750747808144029</f>
        <v>-0.31712521918559711</v>
      </c>
      <c r="Q8" s="27">
        <f>0+-180.284242205281</f>
        <v>-180.284242205281</v>
      </c>
      <c r="R8" s="26">
        <f>0+0.00402498419568997</f>
        <v>4.02498419568997E-3</v>
      </c>
    </row>
    <row r="9" spans="6:24" x14ac:dyDescent="0.3">
      <c r="H9" s="7"/>
      <c r="I9" s="7"/>
      <c r="J9" s="7"/>
      <c r="K9" s="7"/>
      <c r="L9" s="7"/>
      <c r="M9" s="28" t="s">
        <v>11</v>
      </c>
      <c r="N9" s="29">
        <v>0</v>
      </c>
      <c r="O9" s="96">
        <f>RADIANS(N9)+0.627072051612249</f>
        <v>0.62707205161224899</v>
      </c>
      <c r="P9" s="31">
        <f>0+0.0000109652085438549</f>
        <v>1.09652085438549E-5</v>
      </c>
      <c r="Q9" s="31">
        <f>0.1333+57.0940397453512</f>
        <v>57.227339745351202</v>
      </c>
      <c r="R9" s="30">
        <f>PI()/2 -0.000871253415242412</f>
        <v>1.5699250733796541</v>
      </c>
    </row>
    <row r="10" spans="6:24" x14ac:dyDescent="0.3">
      <c r="G10" s="10"/>
      <c r="H10" s="10"/>
      <c r="I10" s="10"/>
      <c r="J10" s="10"/>
      <c r="K10" s="10"/>
      <c r="L10" s="10"/>
      <c r="M10" s="32" t="s">
        <v>12</v>
      </c>
      <c r="N10" s="33">
        <v>0</v>
      </c>
      <c r="O10" s="97">
        <f>RADIANS(N10)+8.96026708424764E-07</f>
        <v>8.9602670842476403E-7</v>
      </c>
      <c r="P10" s="35">
        <f>0+0.0000549689101715195</f>
        <v>5.4968910171519498E-5</v>
      </c>
      <c r="Q10" s="35">
        <f>0.0997-0.000176097537962202</f>
        <v>9.9523902462037794E-2</v>
      </c>
      <c r="R10" s="34">
        <f>(PI()/2)*(-1)+ 0.00177078634308913</f>
        <v>-1.5690255404518074</v>
      </c>
    </row>
    <row r="11" spans="6:24" x14ac:dyDescent="0.3">
      <c r="F11" s="41"/>
      <c r="G11" s="41"/>
      <c r="H11" s="41"/>
      <c r="I11" s="41"/>
      <c r="J11" s="41"/>
      <c r="K11" s="41"/>
      <c r="L11" s="41"/>
      <c r="M11" s="36" t="s">
        <v>13</v>
      </c>
      <c r="N11" s="37">
        <v>0</v>
      </c>
      <c r="O11" s="98">
        <f>RADIANS(N11)+-1.79870334136248E-07</f>
        <v>-1.79870334136248E-7</v>
      </c>
      <c r="P11" s="39">
        <v>0</v>
      </c>
      <c r="Q11" s="39">
        <f>0.0996-0.000260164467127427</f>
        <v>9.9339835532872567E-2</v>
      </c>
      <c r="R11" s="38">
        <v>0</v>
      </c>
    </row>
    <row r="12" spans="6:24" ht="15" x14ac:dyDescent="0.3">
      <c r="F12" s="88" t="s">
        <v>29</v>
      </c>
      <c r="G12" s="89" t="s">
        <v>30</v>
      </c>
      <c r="H12" s="92" t="s">
        <v>31</v>
      </c>
      <c r="I12" s="91" t="s">
        <v>32</v>
      </c>
      <c r="J12" s="90" t="s">
        <v>33</v>
      </c>
      <c r="K12" s="43" t="s">
        <v>20</v>
      </c>
    </row>
    <row r="13" spans="6:24" x14ac:dyDescent="0.3">
      <c r="F13" s="88"/>
      <c r="G13" s="89"/>
      <c r="H13" s="92"/>
      <c r="I13" s="91"/>
      <c r="J13" s="90"/>
      <c r="K13" s="2"/>
      <c r="L13" s="69"/>
      <c r="M13" s="69"/>
      <c r="N13" s="69"/>
      <c r="O13" s="69"/>
      <c r="P13" s="69"/>
      <c r="S13" s="40"/>
      <c r="T13" s="40"/>
      <c r="U13" s="40"/>
      <c r="V13" s="40"/>
      <c r="W13" s="40"/>
      <c r="X13" s="40"/>
    </row>
    <row r="14" spans="6:24" x14ac:dyDescent="0.3">
      <c r="F14" s="88"/>
      <c r="G14" s="89"/>
      <c r="H14" s="92"/>
      <c r="I14" s="91"/>
      <c r="J14" s="90"/>
      <c r="K14" s="2"/>
      <c r="L14" s="69"/>
      <c r="M14" s="69"/>
      <c r="N14" s="69"/>
      <c r="O14" s="69"/>
      <c r="P14" s="69"/>
      <c r="S14" s="40"/>
      <c r="T14" s="40"/>
      <c r="U14" s="40"/>
      <c r="V14" s="40"/>
      <c r="W14" s="40"/>
      <c r="X14" s="40"/>
    </row>
    <row r="15" spans="6:24" ht="15" customHeight="1" x14ac:dyDescent="0.3">
      <c r="F15" s="88"/>
      <c r="G15" s="89"/>
      <c r="H15" s="92"/>
      <c r="I15" s="91"/>
      <c r="J15" s="90"/>
      <c r="K15" s="2"/>
      <c r="L15" s="13"/>
      <c r="M15" s="84" t="s">
        <v>14</v>
      </c>
      <c r="N15" s="84"/>
      <c r="O15" s="84"/>
      <c r="P15" s="84"/>
    </row>
    <row r="16" spans="6:24" x14ac:dyDescent="0.3">
      <c r="F16" s="88"/>
      <c r="G16" s="89"/>
      <c r="H16" s="92"/>
      <c r="I16" s="91"/>
      <c r="J16" s="90"/>
      <c r="K16" s="2"/>
      <c r="L16" s="2"/>
      <c r="M16" s="1">
        <f>COS(O6)</f>
        <v>0.99999999999999944</v>
      </c>
      <c r="N16" s="1">
        <f>-(SIN(O6))*COS(R6)</f>
        <v>-4.7928784977902367E-11</v>
      </c>
      <c r="O16" s="1">
        <f>SIN(O6)*SIN(R6)</f>
        <v>3.2126508374480521E-8</v>
      </c>
      <c r="P16" s="1">
        <f>P6*COS(O6)</f>
        <v>1.964394860598439E-5</v>
      </c>
      <c r="Q16" s="14"/>
    </row>
    <row r="17" spans="6:25" x14ac:dyDescent="0.3">
      <c r="F17" s="88"/>
      <c r="G17" s="89"/>
      <c r="H17" s="92"/>
      <c r="I17" s="91"/>
      <c r="J17" s="90"/>
      <c r="K17" s="2"/>
      <c r="L17" s="82"/>
      <c r="M17" s="1">
        <f>SIN(O6)</f>
        <v>3.2126544126376191E-8</v>
      </c>
      <c r="N17" s="1">
        <f>COS(O6)*COS(R6)</f>
        <v>1.4918749053544282E-3</v>
      </c>
      <c r="O17" s="1">
        <f>-(COS(O6))*SIN(R6)</f>
        <v>-0.99999888715401364</v>
      </c>
      <c r="P17" s="1">
        <f>P6*SIN(O6)</f>
        <v>6.310921817064239E-13</v>
      </c>
      <c r="Q17" s="14"/>
    </row>
    <row r="18" spans="6:25" x14ac:dyDescent="0.3">
      <c r="F18" s="88"/>
      <c r="G18" s="89"/>
      <c r="H18" s="92"/>
      <c r="I18" s="91"/>
      <c r="J18" s="90"/>
      <c r="K18" s="2"/>
      <c r="L18" s="82"/>
      <c r="M18" s="1">
        <v>0</v>
      </c>
      <c r="N18" s="1">
        <f>SIN(R6)</f>
        <v>0.99999888715401419</v>
      </c>
      <c r="O18" s="1">
        <f>COS(R6)</f>
        <v>1.491874905354429E-3</v>
      </c>
      <c r="P18" s="1">
        <f>Q6</f>
        <v>0.1620822392562957</v>
      </c>
      <c r="Q18" s="14"/>
    </row>
    <row r="19" spans="6:25" x14ac:dyDescent="0.3">
      <c r="F19" s="88"/>
      <c r="G19" s="89"/>
      <c r="H19" s="92"/>
      <c r="I19" s="91"/>
      <c r="J19" s="90"/>
      <c r="K19" s="2"/>
      <c r="L19" s="2"/>
      <c r="M19" s="1">
        <v>0</v>
      </c>
      <c r="N19" s="1">
        <v>0</v>
      </c>
      <c r="O19" s="1">
        <v>0</v>
      </c>
      <c r="P19" s="1">
        <v>1</v>
      </c>
      <c r="Q19" s="14"/>
    </row>
    <row r="20" spans="6:25" x14ac:dyDescent="0.3">
      <c r="F20" s="88"/>
      <c r="G20" s="89"/>
      <c r="H20" s="92"/>
      <c r="I20" s="91"/>
      <c r="J20" s="90"/>
      <c r="Q20" s="14"/>
      <c r="R20" s="14"/>
      <c r="S20" s="46"/>
      <c r="T20" s="46"/>
      <c r="U20" s="47"/>
    </row>
    <row r="21" spans="6:25" x14ac:dyDescent="0.3">
      <c r="F21" s="88"/>
      <c r="G21" s="89"/>
      <c r="H21" s="92"/>
      <c r="I21" s="91"/>
      <c r="J21" s="3"/>
      <c r="K21" s="13"/>
      <c r="L21" s="13"/>
      <c r="M21" s="69"/>
      <c r="N21" s="69"/>
      <c r="O21" s="69"/>
      <c r="P21" s="69"/>
      <c r="Q21" s="14"/>
      <c r="R21" s="14"/>
      <c r="S21" s="46"/>
      <c r="T21" s="46"/>
      <c r="U21" s="47"/>
    </row>
    <row r="22" spans="6:25" x14ac:dyDescent="0.3">
      <c r="F22" s="88"/>
      <c r="G22" s="89"/>
      <c r="H22" s="92"/>
      <c r="I22" s="91"/>
      <c r="J22" s="3"/>
      <c r="K22" s="13"/>
      <c r="L22" s="13"/>
      <c r="M22" s="69"/>
      <c r="N22" s="69"/>
      <c r="O22" s="69"/>
      <c r="P22" s="69"/>
      <c r="Q22" s="14"/>
      <c r="R22" s="14"/>
      <c r="S22" s="46"/>
      <c r="T22" s="46"/>
      <c r="U22" s="47"/>
    </row>
    <row r="23" spans="6:25" x14ac:dyDescent="0.3">
      <c r="F23" s="88"/>
      <c r="G23" s="89"/>
      <c r="H23" s="92"/>
      <c r="I23" s="91"/>
      <c r="J23" s="3"/>
      <c r="K23" s="13"/>
      <c r="L23" s="13"/>
      <c r="M23" s="84" t="s">
        <v>15</v>
      </c>
      <c r="N23" s="84"/>
      <c r="O23" s="84"/>
      <c r="P23" s="84"/>
      <c r="Q23" s="14"/>
      <c r="R23" s="47"/>
      <c r="S23" s="46"/>
      <c r="T23" s="46"/>
      <c r="U23" s="47"/>
    </row>
    <row r="24" spans="6:25" x14ac:dyDescent="0.3">
      <c r="F24" s="88"/>
      <c r="G24" s="89"/>
      <c r="H24" s="92"/>
      <c r="I24" s="91"/>
      <c r="J24" s="3"/>
      <c r="K24" s="3"/>
      <c r="L24" s="3"/>
      <c r="M24" s="4">
        <f>COS(O7)</f>
        <v>0.5454058653025281</v>
      </c>
      <c r="N24" s="4">
        <f>-(SIN(O7))*COS(R7)</f>
        <v>-0.83816858367814995</v>
      </c>
      <c r="O24" s="4">
        <f>SIN(O7)*SIN(R7)</f>
        <v>2.4222775573564271E-3</v>
      </c>
      <c r="P24" s="4">
        <f>P7*COS(O7)</f>
        <v>-0.12634759647837002</v>
      </c>
      <c r="Q24" s="14"/>
      <c r="R24" s="48"/>
      <c r="S24" s="48"/>
      <c r="T24" s="47"/>
      <c r="U24" s="49"/>
      <c r="V24" s="50">
        <f t="array" ref="V24:Y27">MMULT(M16:P19,M24:P27)</f>
        <v>0.54540586526235524</v>
      </c>
      <c r="W24" s="50">
        <v>-0.83816858361144597</v>
      </c>
      <c r="X24" s="50">
        <v>2.4223096838061875E-3</v>
      </c>
      <c r="Y24" s="52">
        <v>-0.12632399485023008</v>
      </c>
    </row>
    <row r="25" spans="6:25" x14ac:dyDescent="0.3">
      <c r="F25" s="88"/>
      <c r="G25" s="89"/>
      <c r="H25" s="92"/>
      <c r="I25" s="91"/>
      <c r="J25" s="3"/>
      <c r="K25" s="3"/>
      <c r="L25" s="3"/>
      <c r="M25" s="4">
        <f>SIN(O7)</f>
        <v>0.83817208381906916</v>
      </c>
      <c r="N25" s="4">
        <f>COS(O7)*COS(R7)</f>
        <v>0.545403587730388</v>
      </c>
      <c r="O25" s="4">
        <f>-(COS(O7))*SIN(R7)</f>
        <v>-1.576197075370574E-3</v>
      </c>
      <c r="P25" s="4">
        <f>P7*SIN(O7)</f>
        <v>-0.19416921408988633</v>
      </c>
      <c r="Q25" s="14"/>
      <c r="R25" s="14"/>
      <c r="S25" s="14"/>
      <c r="T25" s="47"/>
      <c r="U25" s="49"/>
      <c r="V25" s="50">
        <v>1.2504654202238961E-3</v>
      </c>
      <c r="W25" s="50">
        <v>-2.0763023431800494E-3</v>
      </c>
      <c r="X25" s="50">
        <v>-0.99999706264809218</v>
      </c>
      <c r="Y25" s="53">
        <v>-123.19032879585723</v>
      </c>
    </row>
    <row r="26" spans="6:25" x14ac:dyDescent="0.3">
      <c r="F26" s="88"/>
      <c r="G26" s="89"/>
      <c r="H26" s="92"/>
      <c r="I26" s="91"/>
      <c r="J26" s="3"/>
      <c r="K26" s="3"/>
      <c r="L26" s="3"/>
      <c r="M26" s="4">
        <v>0</v>
      </c>
      <c r="N26" s="4">
        <f>SIN(R7)</f>
        <v>2.8899525576174031E-3</v>
      </c>
      <c r="O26" s="4">
        <f>COS(R7)</f>
        <v>0.99999582407838816</v>
      </c>
      <c r="P26" s="4">
        <f>Q7</f>
        <v>123.190176207314</v>
      </c>
      <c r="Q26" s="14"/>
      <c r="R26" s="14"/>
      <c r="S26" s="14"/>
      <c r="T26" s="47"/>
      <c r="U26" s="49"/>
      <c r="V26" s="50">
        <v>0.83817115106263029</v>
      </c>
      <c r="W26" s="50">
        <v>0.54540729222789319</v>
      </c>
      <c r="X26" s="50">
        <v>-8.4326645904216199E-5</v>
      </c>
      <c r="Y26" s="54">
        <v>0.15169757371672185</v>
      </c>
    </row>
    <row r="27" spans="6:25" x14ac:dyDescent="0.3">
      <c r="F27" s="88"/>
      <c r="G27" s="89"/>
      <c r="H27" s="92"/>
      <c r="I27" s="91"/>
      <c r="J27" s="3"/>
      <c r="K27" s="3"/>
      <c r="L27" s="3"/>
      <c r="M27" s="4">
        <v>0</v>
      </c>
      <c r="N27" s="4">
        <v>0</v>
      </c>
      <c r="O27" s="4">
        <v>0</v>
      </c>
      <c r="P27" s="4">
        <v>1</v>
      </c>
      <c r="Q27" s="14"/>
      <c r="R27" s="14"/>
      <c r="S27" s="14"/>
      <c r="T27" s="47"/>
      <c r="U27" s="49"/>
      <c r="V27" s="50">
        <v>0</v>
      </c>
      <c r="W27" s="50">
        <v>0</v>
      </c>
      <c r="X27" s="50">
        <v>0</v>
      </c>
      <c r="Y27" s="50">
        <v>1</v>
      </c>
    </row>
    <row r="28" spans="6:25" x14ac:dyDescent="0.3">
      <c r="F28" s="88"/>
      <c r="G28" s="89"/>
      <c r="H28" s="92"/>
      <c r="I28" s="91"/>
      <c r="Q28" s="14"/>
      <c r="R28" s="14"/>
      <c r="S28" s="14"/>
      <c r="T28" s="14"/>
      <c r="U28" s="14"/>
      <c r="V28" s="51"/>
      <c r="W28" s="51"/>
      <c r="X28" s="51"/>
      <c r="Y28" s="51"/>
    </row>
    <row r="29" spans="6:25" x14ac:dyDescent="0.3">
      <c r="F29" s="88"/>
      <c r="G29" s="89"/>
      <c r="H29" s="92"/>
      <c r="I29" s="42"/>
      <c r="J29" s="13"/>
      <c r="K29" s="13"/>
      <c r="L29" s="13"/>
      <c r="M29" s="69"/>
      <c r="N29" s="69"/>
      <c r="O29" s="69"/>
      <c r="P29" s="69"/>
      <c r="Q29" s="14"/>
      <c r="R29" s="14"/>
      <c r="S29" s="14"/>
      <c r="T29" s="14"/>
      <c r="U29" s="14"/>
      <c r="V29" s="51"/>
      <c r="W29" s="51"/>
      <c r="X29" s="51"/>
      <c r="Y29" s="51"/>
    </row>
    <row r="30" spans="6:25" x14ac:dyDescent="0.3">
      <c r="F30" s="88"/>
      <c r="G30" s="89"/>
      <c r="H30" s="92"/>
      <c r="I30" s="5"/>
      <c r="J30" s="13"/>
      <c r="K30" s="13"/>
      <c r="L30" s="13"/>
      <c r="M30" s="69"/>
      <c r="N30" s="69"/>
      <c r="O30" s="69"/>
      <c r="P30" s="69"/>
      <c r="Q30" s="14"/>
      <c r="R30" s="14"/>
      <c r="S30" s="14"/>
      <c r="T30" s="14"/>
      <c r="U30" s="14"/>
      <c r="V30" s="51"/>
      <c r="W30" s="51"/>
      <c r="X30" s="51"/>
      <c r="Y30" s="51"/>
    </row>
    <row r="31" spans="6:25" x14ac:dyDescent="0.3">
      <c r="F31" s="88"/>
      <c r="G31" s="89"/>
      <c r="H31" s="92"/>
      <c r="I31" s="5"/>
      <c r="J31" s="13"/>
      <c r="K31" s="13"/>
      <c r="L31" s="13"/>
      <c r="M31" s="84" t="s">
        <v>16</v>
      </c>
      <c r="N31" s="84"/>
      <c r="O31" s="84"/>
      <c r="P31" s="84"/>
      <c r="Q31" s="14"/>
      <c r="R31" s="14"/>
      <c r="S31" s="14"/>
      <c r="T31" s="14"/>
      <c r="U31" s="14"/>
      <c r="V31" s="51"/>
      <c r="W31" s="51"/>
      <c r="X31" s="51"/>
      <c r="Y31" s="51"/>
    </row>
    <row r="32" spans="6:25" x14ac:dyDescent="0.3">
      <c r="F32" s="88"/>
      <c r="G32" s="89"/>
      <c r="H32" s="92"/>
      <c r="I32" s="5"/>
      <c r="J32" s="5"/>
      <c r="K32" s="5"/>
      <c r="L32" s="5"/>
      <c r="M32" s="6">
        <f>COS(O8)</f>
        <v>-5.0184700225378159E-2</v>
      </c>
      <c r="N32" s="6">
        <f>-(SIN(O8))*COS(R8)</f>
        <v>0.99873186404249614</v>
      </c>
      <c r="O32" s="6">
        <f>SIN(O8)*SIN(R8)</f>
        <v>-4.0199016766625326E-3</v>
      </c>
      <c r="P32" s="6">
        <f>P8*COS(O8)</f>
        <v>1.5914834058736532E-2</v>
      </c>
      <c r="Q32" s="14"/>
      <c r="R32" s="14"/>
      <c r="S32" s="14"/>
      <c r="T32" s="14"/>
      <c r="U32" s="14"/>
      <c r="V32" s="50">
        <f t="array" ref="V32:Y35">MMULT(V24:Y27,M32:P35)</f>
        <v>0.80974142285282347</v>
      </c>
      <c r="W32" s="50">
        <v>0.58678686458967622</v>
      </c>
      <c r="X32" s="50">
        <v>6.0508694801084638E-5</v>
      </c>
      <c r="Y32" s="52">
        <v>-0.81981768678760136</v>
      </c>
    </row>
    <row r="33" spans="6:43" x14ac:dyDescent="0.3">
      <c r="F33" s="88"/>
      <c r="G33" s="89"/>
      <c r="H33" s="92"/>
      <c r="I33" s="5"/>
      <c r="J33" s="5"/>
      <c r="K33" s="5"/>
      <c r="L33" s="5"/>
      <c r="M33" s="6">
        <f>SIN(O8)</f>
        <v>-0.99873995407377636</v>
      </c>
      <c r="N33" s="6">
        <f>COS(O8)*COS(R8)</f>
        <v>-5.0184293717364784E-2</v>
      </c>
      <c r="O33" s="6">
        <f>-(COS(O8))*SIN(R8)</f>
        <v>2.0199207987618169E-4</v>
      </c>
      <c r="P33" s="6">
        <f>P8*SIN(O8)</f>
        <v>0.3167256268450595</v>
      </c>
      <c r="Q33" s="14"/>
      <c r="R33" s="14"/>
      <c r="S33" s="14"/>
      <c r="T33" s="14"/>
      <c r="U33" s="14"/>
      <c r="V33" s="50">
        <v>2.0109318746147791E-3</v>
      </c>
      <c r="W33" s="50">
        <v>-2.6718840784473426E-3</v>
      </c>
      <c r="X33" s="50">
        <v>-0.99999440857860156</v>
      </c>
      <c r="Y33" s="53">
        <v>57.092746133949476</v>
      </c>
    </row>
    <row r="34" spans="6:43" x14ac:dyDescent="0.3">
      <c r="F34" s="88"/>
      <c r="G34" s="89"/>
      <c r="H34" s="92"/>
      <c r="I34" s="5"/>
      <c r="J34" s="5"/>
      <c r="K34" s="5"/>
      <c r="L34" s="5"/>
      <c r="M34" s="6">
        <v>0</v>
      </c>
      <c r="N34" s="6">
        <f>SIN(R8)</f>
        <v>4.0249733279075217E-3</v>
      </c>
      <c r="O34" s="6">
        <f>COS(R8)</f>
        <v>0.99999189976204794</v>
      </c>
      <c r="P34" s="6">
        <f>Q8</f>
        <v>-180.284242205281</v>
      </c>
      <c r="Q34" s="14"/>
      <c r="R34" s="14"/>
      <c r="S34" s="14"/>
      <c r="T34" s="14"/>
      <c r="U34" s="14"/>
      <c r="V34" s="50">
        <v>-0.58678342194482702</v>
      </c>
      <c r="W34" s="50">
        <v>0.80973701692616762</v>
      </c>
      <c r="X34" s="50">
        <v>-3.3435236249884028E-3</v>
      </c>
      <c r="Y34" s="54">
        <v>0.35298416047000447</v>
      </c>
    </row>
    <row r="35" spans="6:43" x14ac:dyDescent="0.3">
      <c r="F35" s="88"/>
      <c r="G35" s="89"/>
      <c r="H35" s="92"/>
      <c r="I35" s="5"/>
      <c r="J35" s="5"/>
      <c r="K35" s="5"/>
      <c r="L35" s="5"/>
      <c r="M35" s="6">
        <v>0</v>
      </c>
      <c r="N35" s="6">
        <v>0</v>
      </c>
      <c r="O35" s="6">
        <v>0</v>
      </c>
      <c r="P35" s="6">
        <v>1</v>
      </c>
      <c r="Q35" s="14"/>
      <c r="R35" s="14"/>
      <c r="S35" s="14"/>
      <c r="T35" s="14"/>
      <c r="U35" s="14"/>
      <c r="V35" s="50">
        <v>0</v>
      </c>
      <c r="W35" s="50">
        <v>0</v>
      </c>
      <c r="X35" s="50">
        <v>0</v>
      </c>
      <c r="Y35" s="50">
        <v>1</v>
      </c>
    </row>
    <row r="36" spans="6:43" x14ac:dyDescent="0.3">
      <c r="F36" s="88"/>
      <c r="G36" s="89"/>
      <c r="H36" s="92"/>
      <c r="V36" s="51"/>
      <c r="W36" s="51"/>
      <c r="X36" s="51"/>
      <c r="Y36" s="51"/>
    </row>
    <row r="37" spans="6:43" ht="15" thickBot="1" x14ac:dyDescent="0.35">
      <c r="F37" s="88"/>
      <c r="G37" s="89"/>
      <c r="H37" s="7"/>
      <c r="I37" s="13"/>
      <c r="J37" s="13"/>
      <c r="K37" s="13"/>
      <c r="L37" s="13"/>
      <c r="M37" s="69"/>
      <c r="N37" s="69"/>
      <c r="O37" s="69"/>
      <c r="P37" s="69"/>
      <c r="V37" s="51"/>
      <c r="W37" s="51"/>
      <c r="X37" s="51"/>
      <c r="Y37" s="51"/>
    </row>
    <row r="38" spans="6:43" x14ac:dyDescent="0.3">
      <c r="F38" s="88"/>
      <c r="G38" s="89"/>
      <c r="H38" s="7"/>
      <c r="I38" s="13"/>
      <c r="J38" s="13"/>
      <c r="K38" s="13"/>
      <c r="L38" s="13"/>
      <c r="M38" s="69"/>
      <c r="N38" s="69"/>
      <c r="O38" s="69"/>
      <c r="P38" s="69"/>
      <c r="V38" s="51"/>
      <c r="W38" s="51"/>
      <c r="X38" s="51"/>
      <c r="Y38" s="51"/>
      <c r="AB38" s="55" t="s">
        <v>21</v>
      </c>
      <c r="AC38" s="55" t="s">
        <v>22</v>
      </c>
      <c r="AD38" s="55" t="s">
        <v>23</v>
      </c>
      <c r="AG38" s="71" t="s">
        <v>34</v>
      </c>
      <c r="AH38" s="72"/>
      <c r="AI38" s="72"/>
      <c r="AJ38" s="72"/>
      <c r="AK38" s="72"/>
      <c r="AL38" s="72"/>
      <c r="AM38" s="72"/>
      <c r="AN38" s="72"/>
      <c r="AO38" s="72"/>
      <c r="AP38" s="72"/>
      <c r="AQ38" s="73"/>
    </row>
    <row r="39" spans="6:43" x14ac:dyDescent="0.3">
      <c r="F39" s="88"/>
      <c r="G39" s="89"/>
      <c r="H39" s="7"/>
      <c r="I39" s="13"/>
      <c r="J39" s="13"/>
      <c r="K39" s="13"/>
      <c r="L39" s="13"/>
      <c r="M39" s="84" t="s">
        <v>17</v>
      </c>
      <c r="N39" s="84"/>
      <c r="O39" s="84"/>
      <c r="P39" s="84"/>
      <c r="V39" s="51"/>
      <c r="W39" s="51"/>
      <c r="X39" s="51"/>
      <c r="Y39" s="51"/>
      <c r="AB39" s="55">
        <f>P16</f>
        <v>1.964394860598439E-5</v>
      </c>
      <c r="AC39" s="55">
        <f>P17</f>
        <v>6.310921817064239E-13</v>
      </c>
      <c r="AD39" s="55">
        <f>P18</f>
        <v>0.1620822392562957</v>
      </c>
      <c r="AG39" s="74"/>
      <c r="AH39" s="75"/>
      <c r="AI39" s="75"/>
      <c r="AJ39" s="75"/>
      <c r="AK39" s="75"/>
      <c r="AL39" s="75"/>
      <c r="AM39" s="75"/>
      <c r="AN39" s="75"/>
      <c r="AO39" s="75"/>
      <c r="AP39" s="75"/>
      <c r="AQ39" s="76"/>
    </row>
    <row r="40" spans="6:43" x14ac:dyDescent="0.3">
      <c r="F40" s="88"/>
      <c r="G40" s="89"/>
      <c r="H40" s="7"/>
      <c r="I40" s="7"/>
      <c r="J40" s="7"/>
      <c r="K40" s="7"/>
      <c r="L40" s="7"/>
      <c r="M40" s="8">
        <f>COS(O9)</f>
        <v>0.80974902773196933</v>
      </c>
      <c r="N40" s="8">
        <f>-(SIN(O9))*COS(R9)</f>
        <v>-5.1123085441283648E-4</v>
      </c>
      <c r="O40" s="8">
        <f>SIN(O9)*SIN(R9)</f>
        <v>0.58677615044422515</v>
      </c>
      <c r="P40" s="8">
        <f>P9*COS(O9)</f>
        <v>8.8790669572647881E-6</v>
      </c>
      <c r="V40" s="50">
        <f t="array" ref="V40:Y43">MMULT(V32:Y35,M40:P43)</f>
        <v>0.99999999808539686</v>
      </c>
      <c r="W40" s="50">
        <v>6.051996135851214E-5</v>
      </c>
      <c r="X40" s="50">
        <v>-1.2905073119335547E-5</v>
      </c>
      <c r="Y40" s="52">
        <v>-0.81634396994414904</v>
      </c>
      <c r="AB40" s="56">
        <f>Y24</f>
        <v>-0.12632399485023008</v>
      </c>
      <c r="AC40" s="56">
        <f>Y25</f>
        <v>-123.19032879585723</v>
      </c>
      <c r="AD40" s="56">
        <f>Y26</f>
        <v>0.15169757371672185</v>
      </c>
      <c r="AG40" s="74"/>
      <c r="AH40" s="75"/>
      <c r="AI40" s="75"/>
      <c r="AJ40" s="75"/>
      <c r="AK40" s="75"/>
      <c r="AL40" s="75"/>
      <c r="AM40" s="75"/>
      <c r="AN40" s="75"/>
      <c r="AO40" s="75"/>
      <c r="AP40" s="75"/>
      <c r="AQ40" s="76"/>
    </row>
    <row r="41" spans="6:43" x14ac:dyDescent="0.3">
      <c r="F41" s="88"/>
      <c r="G41" s="89"/>
      <c r="H41" s="7"/>
      <c r="I41" s="7"/>
      <c r="J41" s="7"/>
      <c r="K41" s="7"/>
      <c r="L41" s="7"/>
      <c r="M41" s="8">
        <f>SIN(O9)</f>
        <v>0.58677637315005315</v>
      </c>
      <c r="N41" s="8">
        <f>COS(O9)*COS(R9)</f>
        <v>7.0549651664573131E-4</v>
      </c>
      <c r="O41" s="8">
        <f>-(COS(O9))*SIN(R9)</f>
        <v>-0.80974872039882506</v>
      </c>
      <c r="P41" s="8">
        <f>P9*SIN(O9)</f>
        <v>6.4341253001971535E-6</v>
      </c>
      <c r="V41" s="50">
        <v>6.0551681275840047E-5</v>
      </c>
      <c r="W41" s="50">
        <v>-0.99999694209482159</v>
      </c>
      <c r="X41" s="50">
        <v>2.4722731442962131E-3</v>
      </c>
      <c r="Y41" s="53">
        <v>-0.13427362856573666</v>
      </c>
      <c r="AB41" s="56">
        <f>Y32</f>
        <v>-0.81981768678760136</v>
      </c>
      <c r="AC41" s="56">
        <f>Y33</f>
        <v>57.092746133949476</v>
      </c>
      <c r="AD41" s="56">
        <f>Y34</f>
        <v>0.35298416047000447</v>
      </c>
      <c r="AG41" s="74"/>
      <c r="AH41" s="75"/>
      <c r="AI41" s="75"/>
      <c r="AJ41" s="75"/>
      <c r="AK41" s="75"/>
      <c r="AL41" s="75"/>
      <c r="AM41" s="75"/>
      <c r="AN41" s="75"/>
      <c r="AO41" s="75"/>
      <c r="AP41" s="75"/>
      <c r="AQ41" s="76"/>
    </row>
    <row r="42" spans="6:43" ht="15" thickBot="1" x14ac:dyDescent="0.35">
      <c r="F42" s="88"/>
      <c r="G42" s="89"/>
      <c r="H42" s="7"/>
      <c r="I42" s="7"/>
      <c r="J42" s="7"/>
      <c r="K42" s="7"/>
      <c r="L42" s="7"/>
      <c r="M42" s="8">
        <v>0</v>
      </c>
      <c r="N42" s="8">
        <f>SIN(R9)</f>
        <v>0.99999962045876722</v>
      </c>
      <c r="O42" s="8">
        <f>COS(R9)</f>
        <v>8.7125330501693901E-4</v>
      </c>
      <c r="P42" s="9">
        <f>Q9</f>
        <v>57.227339745351202</v>
      </c>
      <c r="V42" s="50">
        <v>-1.275541178175077E-5</v>
      </c>
      <c r="W42" s="50">
        <v>-2.4722739209866655E-3</v>
      </c>
      <c r="X42" s="50">
        <v>-0.99999694384480975</v>
      </c>
      <c r="Y42" s="54">
        <v>0.16164319789631917</v>
      </c>
      <c r="AB42" s="56">
        <f>Y40</f>
        <v>-0.81634396994414904</v>
      </c>
      <c r="AC42" s="56">
        <f>Y41</f>
        <v>-0.13427362856573666</v>
      </c>
      <c r="AD42" s="56">
        <f>Y42</f>
        <v>0.16164319789631917</v>
      </c>
      <c r="AG42" s="77"/>
      <c r="AH42" s="78"/>
      <c r="AI42" s="78"/>
      <c r="AJ42" s="78"/>
      <c r="AK42" s="78"/>
      <c r="AL42" s="78"/>
      <c r="AM42" s="78"/>
      <c r="AN42" s="78"/>
      <c r="AO42" s="78"/>
      <c r="AP42" s="78"/>
      <c r="AQ42" s="79"/>
    </row>
    <row r="43" spans="6:43" x14ac:dyDescent="0.3">
      <c r="F43" s="88"/>
      <c r="G43" s="89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</v>
      </c>
      <c r="V43" s="50">
        <v>0</v>
      </c>
      <c r="W43" s="50">
        <v>0</v>
      </c>
      <c r="X43" s="50">
        <v>0</v>
      </c>
      <c r="Y43" s="50">
        <v>1</v>
      </c>
      <c r="AB43" s="56">
        <f>Y48</f>
        <v>-0.81629028539731818</v>
      </c>
      <c r="AC43" s="56">
        <f>Y49</f>
        <v>-0.13402757501525775</v>
      </c>
      <c r="AD43" s="56">
        <f>Y50</f>
        <v>6.2119598893499578E-2</v>
      </c>
    </row>
    <row r="44" spans="6:43" x14ac:dyDescent="0.3">
      <c r="F44" s="88"/>
      <c r="G44" s="89"/>
      <c r="V44" s="51"/>
      <c r="W44" s="51"/>
      <c r="X44" s="51"/>
      <c r="Y44" s="51"/>
      <c r="AB44" s="56">
        <f>Y56</f>
        <v>-0.81628436464486775</v>
      </c>
      <c r="AC44" s="56">
        <f>Y57</f>
        <v>-0.23336651613660753</v>
      </c>
      <c r="AD44" s="56">
        <f>Y58</f>
        <v>6.1698095000439879E-2</v>
      </c>
    </row>
    <row r="45" spans="6:43" x14ac:dyDescent="0.3">
      <c r="F45" s="88"/>
      <c r="G45" s="10"/>
      <c r="H45" s="13"/>
      <c r="I45" s="13"/>
      <c r="J45" s="13"/>
      <c r="K45" s="13"/>
      <c r="L45" s="13"/>
      <c r="M45" s="69"/>
      <c r="N45" s="69"/>
      <c r="O45" s="69"/>
      <c r="P45" s="69"/>
      <c r="V45" s="51"/>
      <c r="W45" s="51"/>
      <c r="X45" s="51"/>
      <c r="Y45" s="51"/>
    </row>
    <row r="46" spans="6:43" x14ac:dyDescent="0.3">
      <c r="F46" s="88"/>
      <c r="G46" s="10"/>
      <c r="H46" s="13"/>
      <c r="I46" s="13"/>
      <c r="J46" s="13"/>
      <c r="K46" s="13"/>
      <c r="L46" s="13"/>
      <c r="M46" s="69"/>
      <c r="N46" s="69"/>
      <c r="O46" s="69"/>
      <c r="P46" s="69"/>
      <c r="V46" s="51"/>
      <c r="W46" s="51"/>
      <c r="X46" s="51"/>
      <c r="Y46" s="51"/>
    </row>
    <row r="47" spans="6:43" x14ac:dyDescent="0.3">
      <c r="F47" s="88"/>
      <c r="G47" s="10"/>
      <c r="H47" s="13"/>
      <c r="I47" s="13"/>
      <c r="J47" s="13"/>
      <c r="K47" s="13"/>
      <c r="L47" s="13"/>
      <c r="M47" s="84" t="s">
        <v>18</v>
      </c>
      <c r="N47" s="84"/>
      <c r="O47" s="84"/>
      <c r="P47" s="84"/>
      <c r="V47" s="51"/>
      <c r="W47" s="51"/>
      <c r="X47" s="51"/>
      <c r="Y47" s="51"/>
      <c r="AB47" s="55" t="s">
        <v>24</v>
      </c>
      <c r="AC47" s="55" t="s">
        <v>25</v>
      </c>
      <c r="AD47" s="55" t="s">
        <v>26</v>
      </c>
    </row>
    <row r="48" spans="6:43" x14ac:dyDescent="0.3">
      <c r="F48" s="88"/>
      <c r="G48" s="10"/>
      <c r="H48" s="10"/>
      <c r="I48" s="10"/>
      <c r="J48" s="10"/>
      <c r="K48" s="10"/>
      <c r="L48" s="10"/>
      <c r="M48" s="11">
        <f>COS(O10)</f>
        <v>0.99999999999959854</v>
      </c>
      <c r="N48" s="11">
        <f>-(SIN(O10))*COS(R10)</f>
        <v>-1.5866710291046582E-9</v>
      </c>
      <c r="O48" s="11">
        <f>SIN(O10)*SIN(R10)</f>
        <v>-8.9602530359658242E-7</v>
      </c>
      <c r="P48" s="11">
        <f>P10*COS(O10)</f>
        <v>5.4968910171497428E-5</v>
      </c>
      <c r="V48" s="50">
        <f t="array" ref="V48:Y51">MMULT(V40:Y43,M48:P51)</f>
        <v>0.99999999813922291</v>
      </c>
      <c r="W48" s="50">
        <v>1.3010634080247802E-5</v>
      </c>
      <c r="X48" s="50">
        <v>5.9600989055592626E-5</v>
      </c>
      <c r="Y48" s="52">
        <v>-0.81629028539731818</v>
      </c>
      <c r="AB48" s="56">
        <f>ATAN2(-V58,SQRT(POWER(V56,2)+POWER(V57,2)))</f>
        <v>1.570783389299176</v>
      </c>
      <c r="AC48" s="56">
        <f>ATAN2(V57/COS(AB48),V56/COS(AB48))</f>
        <v>1.5707366703743502</v>
      </c>
      <c r="AD48" s="56">
        <f>ATAN2(W58/COS(AB48),X58/COS(AB48))</f>
        <v>-4.243062771343605E-3</v>
      </c>
    </row>
    <row r="49" spans="6:30" x14ac:dyDescent="0.3">
      <c r="F49" s="88"/>
      <c r="G49" s="10"/>
      <c r="H49" s="10"/>
      <c r="I49" s="10"/>
      <c r="J49" s="10"/>
      <c r="K49" s="10"/>
      <c r="L49" s="10"/>
      <c r="M49" s="11">
        <f>SIN(O10)</f>
        <v>8.9602670842464417E-7</v>
      </c>
      <c r="N49" s="11">
        <f>COS(O10)*COS(R10)</f>
        <v>1.770785417650818E-3</v>
      </c>
      <c r="O49" s="11">
        <f>-(COS(O10))*SIN(R10)</f>
        <v>0.99999843215787176</v>
      </c>
      <c r="P49" s="11">
        <f>P10*SIN(O10)</f>
        <v>4.9253611646676557E-11</v>
      </c>
      <c r="V49" s="50">
        <v>5.9655657307355806E-5</v>
      </c>
      <c r="W49" s="50">
        <v>-4.2430492710162125E-3</v>
      </c>
      <c r="X49" s="50">
        <v>-0.99999099644651113</v>
      </c>
      <c r="Y49" s="53">
        <v>-0.13402757501525775</v>
      </c>
      <c r="AB49" s="56">
        <f>DEGREES(AB48)</f>
        <v>89.999258736097744</v>
      </c>
      <c r="AC49" s="56">
        <f>DEGREES(AC48)</f>
        <v>89.996581938881832</v>
      </c>
      <c r="AD49" s="56">
        <f>DEGREES(AD48)</f>
        <v>-0.24310958900707122</v>
      </c>
    </row>
    <row r="50" spans="6:30" x14ac:dyDescent="0.3">
      <c r="F50" s="88"/>
      <c r="G50" s="10"/>
      <c r="H50" s="10"/>
      <c r="I50" s="10"/>
      <c r="J50" s="10"/>
      <c r="K50" s="10"/>
      <c r="L50" s="10"/>
      <c r="M50" s="11">
        <v>0</v>
      </c>
      <c r="N50" s="11">
        <f>SIN(R10)</f>
        <v>-0.99999843215827322</v>
      </c>
      <c r="O50" s="11">
        <f>COS(R10)</f>
        <v>1.7707854176515288E-3</v>
      </c>
      <c r="P50" s="12">
        <f>Q10</f>
        <v>9.9523902462037794E-2</v>
      </c>
      <c r="V50" s="50">
        <v>-1.2757627005209393E-5</v>
      </c>
      <c r="W50" s="50">
        <v>0.99999099814128711</v>
      </c>
      <c r="X50" s="50">
        <v>-4.2430500392787712E-3</v>
      </c>
      <c r="Y50" s="54">
        <v>6.2119598893499578E-2</v>
      </c>
    </row>
    <row r="51" spans="6:30" x14ac:dyDescent="0.3">
      <c r="F51" s="88"/>
      <c r="G51" s="10"/>
      <c r="H51" s="10"/>
      <c r="I51" s="10"/>
      <c r="J51" s="10"/>
      <c r="K51" s="10"/>
      <c r="L51" s="10"/>
      <c r="M51" s="11">
        <v>0</v>
      </c>
      <c r="N51" s="11">
        <v>0</v>
      </c>
      <c r="O51" s="11">
        <v>0</v>
      </c>
      <c r="P51" s="11">
        <v>1</v>
      </c>
      <c r="V51" s="50">
        <v>0</v>
      </c>
      <c r="W51" s="50">
        <v>0</v>
      </c>
      <c r="X51" s="50">
        <v>0</v>
      </c>
      <c r="Y51" s="50">
        <v>1</v>
      </c>
    </row>
    <row r="52" spans="6:30" x14ac:dyDescent="0.3">
      <c r="F52" s="88"/>
      <c r="V52" s="51"/>
      <c r="W52" s="51"/>
      <c r="X52" s="51"/>
      <c r="Y52" s="51"/>
    </row>
    <row r="53" spans="6:30" x14ac:dyDescent="0.3">
      <c r="F53" s="41"/>
      <c r="G53" s="13"/>
      <c r="H53" s="13"/>
      <c r="I53" s="13"/>
      <c r="J53" s="13"/>
      <c r="K53" s="13"/>
      <c r="L53" s="13"/>
      <c r="M53" s="70" t="s">
        <v>19</v>
      </c>
      <c r="N53" s="70"/>
      <c r="O53" s="70"/>
      <c r="P53" s="70"/>
      <c r="V53" s="51"/>
      <c r="W53" s="51"/>
      <c r="X53" s="51"/>
      <c r="Y53" s="51"/>
    </row>
    <row r="54" spans="6:30" x14ac:dyDescent="0.3">
      <c r="F54" s="41"/>
      <c r="G54" s="13"/>
      <c r="H54" s="13"/>
      <c r="I54" s="13"/>
      <c r="J54" s="13"/>
      <c r="K54" s="13"/>
      <c r="L54" s="13"/>
      <c r="M54" s="70"/>
      <c r="N54" s="70"/>
      <c r="O54" s="70"/>
      <c r="P54" s="70"/>
      <c r="V54" s="51"/>
      <c r="W54" s="51"/>
      <c r="X54" s="51"/>
      <c r="Y54" s="51"/>
    </row>
    <row r="55" spans="6:30" ht="15" thickBot="1" x14ac:dyDescent="0.35">
      <c r="F55" s="41"/>
      <c r="G55" s="13"/>
      <c r="H55" s="13"/>
      <c r="I55" s="13"/>
      <c r="J55" s="13"/>
      <c r="K55" s="13"/>
      <c r="L55" s="13"/>
      <c r="M55" s="80" t="s">
        <v>19</v>
      </c>
      <c r="N55" s="81"/>
      <c r="O55" s="81"/>
      <c r="P55" s="81"/>
      <c r="V55" s="51"/>
      <c r="W55" s="51"/>
      <c r="X55" s="51"/>
      <c r="Y55" s="51"/>
    </row>
    <row r="56" spans="6:30" x14ac:dyDescent="0.3">
      <c r="F56" s="41"/>
      <c r="G56" s="41"/>
      <c r="H56" s="41"/>
      <c r="I56" s="41"/>
      <c r="J56" s="41"/>
      <c r="K56" s="41"/>
      <c r="L56" s="41"/>
      <c r="M56" s="44">
        <f>COS(O11)</f>
        <v>0.99999999999998379</v>
      </c>
      <c r="N56" s="44">
        <f>-(SIN(O11))*COS(R11)</f>
        <v>1.7987033413624703E-7</v>
      </c>
      <c r="O56" s="44">
        <f>SIN(O11)*SIN(R11)</f>
        <v>0</v>
      </c>
      <c r="P56" s="44">
        <f>P11*COS(O11)</f>
        <v>0</v>
      </c>
      <c r="V56" s="61">
        <f t="array" ref="V56:Y59">MMULT(V48:Y51,M56:P59)</f>
        <v>0.99999999813686646</v>
      </c>
      <c r="W56" s="62">
        <v>1.319050441404914E-5</v>
      </c>
      <c r="X56" s="63">
        <v>5.9600989055592626E-5</v>
      </c>
      <c r="Y56" s="57">
        <v>-0.81628436464486775</v>
      </c>
    </row>
    <row r="57" spans="6:30" x14ac:dyDescent="0.3">
      <c r="F57" s="41"/>
      <c r="G57" s="41"/>
      <c r="H57" s="41"/>
      <c r="I57" s="41"/>
      <c r="J57" s="41"/>
      <c r="K57" s="41"/>
      <c r="L57" s="41"/>
      <c r="M57" s="44">
        <f>SIN(O11)</f>
        <v>-1.7987033413624703E-7</v>
      </c>
      <c r="N57" s="44">
        <f>COS(O11)*COS(R11)</f>
        <v>0.99999999999998379</v>
      </c>
      <c r="O57" s="44">
        <f>-(COS(O11))*SIN(R11)</f>
        <v>0</v>
      </c>
      <c r="P57" s="44">
        <f>P11*SIN(O11)</f>
        <v>0</v>
      </c>
      <c r="V57" s="64">
        <v>5.9656420506044969E-5</v>
      </c>
      <c r="W57" s="50">
        <v>-4.243049260285861E-3</v>
      </c>
      <c r="X57" s="65">
        <v>-0.99999099644651113</v>
      </c>
      <c r="Y57" s="58">
        <v>-0.23336651613660753</v>
      </c>
    </row>
    <row r="58" spans="6:30" ht="15" thickBot="1" x14ac:dyDescent="0.35">
      <c r="F58" s="41"/>
      <c r="G58" s="41"/>
      <c r="H58" s="41"/>
      <c r="I58" s="41"/>
      <c r="J58" s="41"/>
      <c r="K58" s="41"/>
      <c r="L58" s="41"/>
      <c r="M58" s="44">
        <v>0</v>
      </c>
      <c r="N58" s="44">
        <f>SIN(R11)</f>
        <v>0</v>
      </c>
      <c r="O58" s="44">
        <f>COS(R11)</f>
        <v>1</v>
      </c>
      <c r="P58" s="45">
        <f>Q11</f>
        <v>9.9339835532872567E-2</v>
      </c>
      <c r="V58" s="66">
        <v>-1.2937495720178099E-5</v>
      </c>
      <c r="W58" s="67">
        <v>0.99999099813897618</v>
      </c>
      <c r="X58" s="68">
        <v>-4.2430500392787712E-3</v>
      </c>
      <c r="Y58" s="59">
        <v>6.1698095000439879E-2</v>
      </c>
    </row>
    <row r="59" spans="6:30" x14ac:dyDescent="0.3">
      <c r="F59" s="41"/>
      <c r="G59" s="41"/>
      <c r="H59" s="41"/>
      <c r="I59" s="41"/>
      <c r="J59" s="41"/>
      <c r="K59" s="41"/>
      <c r="L59" s="41"/>
      <c r="M59" s="44">
        <v>0</v>
      </c>
      <c r="N59" s="44">
        <v>0</v>
      </c>
      <c r="O59" s="44">
        <v>0</v>
      </c>
      <c r="P59" s="44">
        <v>1</v>
      </c>
      <c r="V59" s="60">
        <v>0</v>
      </c>
      <c r="W59" s="60">
        <v>0</v>
      </c>
      <c r="X59" s="60">
        <v>0</v>
      </c>
      <c r="Y59" s="50">
        <v>1</v>
      </c>
    </row>
    <row r="63" spans="6:30" ht="15" customHeight="1" x14ac:dyDescent="0.3"/>
  </sheetData>
  <mergeCells count="17">
    <mergeCell ref="M55:P55"/>
    <mergeCell ref="L17:L18"/>
    <mergeCell ref="M23:P23"/>
    <mergeCell ref="M31:P31"/>
    <mergeCell ref="AG38:AQ42"/>
    <mergeCell ref="M39:P39"/>
    <mergeCell ref="M47:P47"/>
    <mergeCell ref="O1:R1"/>
    <mergeCell ref="O2:O3"/>
    <mergeCell ref="P2:R3"/>
    <mergeCell ref="M4:R4"/>
    <mergeCell ref="F12:F52"/>
    <mergeCell ref="G12:G44"/>
    <mergeCell ref="H12:H36"/>
    <mergeCell ref="I12:I28"/>
    <mergeCell ref="J12:J20"/>
    <mergeCell ref="M15:P15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croll Bar 1">
              <controlPr defaultSize="0" autoPict="0">
                <anchor moveWithCells="1">
                  <from>
                    <xdr:col>19</xdr:col>
                    <xdr:colOff>0</xdr:colOff>
                    <xdr:row>5</xdr:row>
                    <xdr:rowOff>0</xdr:rowOff>
                  </from>
                  <to>
                    <xdr:col>24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Scroll Bar 2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Scroll Bar 3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Scroll Bar 4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Scroll Bar 5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Scroll Bar 6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AQ63"/>
  <sheetViews>
    <sheetView zoomScale="85" zoomScaleNormal="85" workbookViewId="0">
      <selection activeCell="M3" sqref="M3"/>
    </sheetView>
  </sheetViews>
  <sheetFormatPr defaultColWidth="11.5546875" defaultRowHeight="14.4" x14ac:dyDescent="0.3"/>
  <cols>
    <col min="1" max="12" width="2.6640625" customWidth="1"/>
    <col min="13" max="13" width="16.44140625" customWidth="1"/>
    <col min="14" max="14" width="12.6640625" bestFit="1" customWidth="1"/>
    <col min="15" max="15" width="12" bestFit="1" customWidth="1"/>
    <col min="19" max="21" width="2.6640625" customWidth="1"/>
    <col min="22" max="25" width="13.33203125" customWidth="1"/>
    <col min="29" max="30" width="12" bestFit="1" customWidth="1"/>
  </cols>
  <sheetData>
    <row r="1" spans="6:24" x14ac:dyDescent="0.3">
      <c r="O1" s="85" t="s">
        <v>7</v>
      </c>
      <c r="P1" s="85"/>
      <c r="Q1" s="85"/>
      <c r="R1" s="85"/>
    </row>
    <row r="2" spans="6:24" x14ac:dyDescent="0.3">
      <c r="O2" s="86" t="s">
        <v>27</v>
      </c>
      <c r="P2" s="86" t="s">
        <v>28</v>
      </c>
      <c r="Q2" s="86"/>
      <c r="R2" s="86"/>
    </row>
    <row r="3" spans="6:24" x14ac:dyDescent="0.3">
      <c r="O3" s="87"/>
      <c r="P3" s="87"/>
      <c r="Q3" s="87"/>
      <c r="R3" s="87"/>
    </row>
    <row r="4" spans="6:24" x14ac:dyDescent="0.3">
      <c r="M4" s="83" t="s">
        <v>0</v>
      </c>
      <c r="N4" s="83"/>
      <c r="O4" s="83"/>
      <c r="P4" s="83"/>
      <c r="Q4" s="83"/>
      <c r="R4" s="83"/>
    </row>
    <row r="5" spans="6:24" ht="15.6" x14ac:dyDescent="0.3">
      <c r="M5" s="15" t="s">
        <v>1</v>
      </c>
      <c r="N5" s="15" t="s">
        <v>6</v>
      </c>
      <c r="O5" s="15" t="s">
        <v>4</v>
      </c>
      <c r="P5" s="15" t="s">
        <v>2</v>
      </c>
      <c r="Q5" s="15" t="s">
        <v>3</v>
      </c>
      <c r="R5" s="15" t="s">
        <v>5</v>
      </c>
    </row>
    <row r="6" spans="6:24" x14ac:dyDescent="0.3">
      <c r="K6" s="2"/>
      <c r="L6" s="2"/>
      <c r="M6" s="16" t="s">
        <v>8</v>
      </c>
      <c r="N6" s="17">
        <v>0</v>
      </c>
      <c r="O6" s="18">
        <f>RADIANS(N6)</f>
        <v>0</v>
      </c>
      <c r="P6" s="19">
        <v>0</v>
      </c>
      <c r="Q6" s="19">
        <v>0.16250000000000001</v>
      </c>
      <c r="R6" s="18">
        <f>PI()/2</f>
        <v>1.5707963267948966</v>
      </c>
    </row>
    <row r="7" spans="6:24" x14ac:dyDescent="0.3">
      <c r="J7" s="3"/>
      <c r="K7" s="3"/>
      <c r="L7" s="3"/>
      <c r="M7" s="20" t="s">
        <v>9</v>
      </c>
      <c r="N7" s="21">
        <v>0</v>
      </c>
      <c r="O7" s="22">
        <f t="shared" ref="O7:O11" si="0">RADIANS(N7)</f>
        <v>0</v>
      </c>
      <c r="P7" s="23">
        <v>-0.42499999999999999</v>
      </c>
      <c r="Q7" s="23">
        <v>0</v>
      </c>
      <c r="R7" s="22">
        <v>0</v>
      </c>
    </row>
    <row r="8" spans="6:24" x14ac:dyDescent="0.3">
      <c r="I8" s="5"/>
      <c r="J8" s="5"/>
      <c r="K8" s="5"/>
      <c r="L8" s="5"/>
      <c r="M8" s="24" t="s">
        <v>10</v>
      </c>
      <c r="N8" s="25">
        <v>0</v>
      </c>
      <c r="O8" s="26">
        <f t="shared" si="0"/>
        <v>0</v>
      </c>
      <c r="P8" s="27">
        <v>-0.39219999999999999</v>
      </c>
      <c r="Q8" s="27">
        <v>0</v>
      </c>
      <c r="R8" s="26">
        <v>0</v>
      </c>
    </row>
    <row r="9" spans="6:24" x14ac:dyDescent="0.3">
      <c r="H9" s="7"/>
      <c r="I9" s="7"/>
      <c r="J9" s="7"/>
      <c r="K9" s="7"/>
      <c r="L9" s="7"/>
      <c r="M9" s="28" t="s">
        <v>11</v>
      </c>
      <c r="N9" s="29">
        <v>199</v>
      </c>
      <c r="O9" s="30">
        <f t="shared" si="0"/>
        <v>3.473205211468716</v>
      </c>
      <c r="P9" s="31">
        <v>0</v>
      </c>
      <c r="Q9" s="31">
        <v>0.1333</v>
      </c>
      <c r="R9" s="30">
        <f>PI()/2</f>
        <v>1.5707963267948966</v>
      </c>
    </row>
    <row r="10" spans="6:24" x14ac:dyDescent="0.3">
      <c r="G10" s="10"/>
      <c r="H10" s="10"/>
      <c r="I10" s="10"/>
      <c r="J10" s="10"/>
      <c r="K10" s="10"/>
      <c r="L10" s="10"/>
      <c r="M10" s="32" t="s">
        <v>12</v>
      </c>
      <c r="N10" s="33">
        <v>120</v>
      </c>
      <c r="O10" s="34">
        <f t="shared" si="0"/>
        <v>2.0943951023931953</v>
      </c>
      <c r="P10" s="35">
        <v>0</v>
      </c>
      <c r="Q10" s="35">
        <v>9.9699999999999997E-2</v>
      </c>
      <c r="R10" s="34">
        <f>(PI()/2)*(-1)</f>
        <v>-1.5707963267948966</v>
      </c>
    </row>
    <row r="11" spans="6:24" x14ac:dyDescent="0.3">
      <c r="F11" s="41"/>
      <c r="G11" s="41"/>
      <c r="H11" s="41"/>
      <c r="I11" s="41"/>
      <c r="J11" s="41"/>
      <c r="K11" s="41"/>
      <c r="L11" s="41"/>
      <c r="M11" s="36" t="s">
        <v>13</v>
      </c>
      <c r="N11" s="37">
        <v>90</v>
      </c>
      <c r="O11" s="38">
        <f t="shared" si="0"/>
        <v>1.5707963267948966</v>
      </c>
      <c r="P11" s="39">
        <v>0</v>
      </c>
      <c r="Q11" s="39">
        <v>9.9599999999999994E-2</v>
      </c>
      <c r="R11" s="38">
        <v>0</v>
      </c>
    </row>
    <row r="12" spans="6:24" ht="15" x14ac:dyDescent="0.3">
      <c r="F12" s="88" t="s">
        <v>29</v>
      </c>
      <c r="G12" s="89" t="s">
        <v>30</v>
      </c>
      <c r="H12" s="92" t="s">
        <v>31</v>
      </c>
      <c r="I12" s="91" t="s">
        <v>32</v>
      </c>
      <c r="J12" s="90" t="s">
        <v>33</v>
      </c>
      <c r="K12" s="43" t="s">
        <v>20</v>
      </c>
    </row>
    <row r="13" spans="6:24" x14ac:dyDescent="0.3">
      <c r="F13" s="88"/>
      <c r="G13" s="89"/>
      <c r="H13" s="92"/>
      <c r="I13" s="91"/>
      <c r="J13" s="90"/>
      <c r="K13" s="2"/>
      <c r="L13" s="69"/>
      <c r="M13" s="69"/>
      <c r="N13" s="69"/>
      <c r="O13" s="69"/>
      <c r="P13" s="69"/>
      <c r="S13" s="40"/>
      <c r="T13" s="40"/>
      <c r="U13" s="40"/>
      <c r="V13" s="40"/>
      <c r="W13" s="40"/>
      <c r="X13" s="40"/>
    </row>
    <row r="14" spans="6:24" x14ac:dyDescent="0.3">
      <c r="F14" s="88"/>
      <c r="G14" s="89"/>
      <c r="H14" s="92"/>
      <c r="I14" s="91"/>
      <c r="J14" s="90"/>
      <c r="K14" s="2"/>
      <c r="L14" s="69"/>
      <c r="M14" s="69"/>
      <c r="N14" s="69"/>
      <c r="O14" s="69"/>
      <c r="P14" s="69"/>
      <c r="S14" s="40"/>
      <c r="T14" s="40"/>
      <c r="U14" s="40"/>
      <c r="V14" s="40"/>
      <c r="W14" s="40"/>
      <c r="X14" s="40"/>
    </row>
    <row r="15" spans="6:24" ht="15" customHeight="1" x14ac:dyDescent="0.3">
      <c r="F15" s="88"/>
      <c r="G15" s="89"/>
      <c r="H15" s="92"/>
      <c r="I15" s="91"/>
      <c r="J15" s="90"/>
      <c r="K15" s="2"/>
      <c r="L15" s="13"/>
      <c r="M15" s="84" t="s">
        <v>14</v>
      </c>
      <c r="N15" s="84"/>
      <c r="O15" s="84"/>
      <c r="P15" s="84"/>
    </row>
    <row r="16" spans="6:24" x14ac:dyDescent="0.3">
      <c r="F16" s="88"/>
      <c r="G16" s="89"/>
      <c r="H16" s="92"/>
      <c r="I16" s="91"/>
      <c r="J16" s="90"/>
      <c r="K16" s="2"/>
      <c r="L16" s="2"/>
      <c r="M16" s="1">
        <f>COS(O6)</f>
        <v>1</v>
      </c>
      <c r="N16" s="1">
        <f>-(SIN(O6))*COS(R6)</f>
        <v>0</v>
      </c>
      <c r="O16" s="1">
        <f>SIN(O6)*SIN(R6)</f>
        <v>0</v>
      </c>
      <c r="P16" s="1">
        <f>P6*COS(O6)</f>
        <v>0</v>
      </c>
      <c r="Q16" s="14"/>
    </row>
    <row r="17" spans="6:25" x14ac:dyDescent="0.3">
      <c r="F17" s="88"/>
      <c r="G17" s="89"/>
      <c r="H17" s="92"/>
      <c r="I17" s="91"/>
      <c r="J17" s="90"/>
      <c r="K17" s="2"/>
      <c r="L17" s="82"/>
      <c r="M17" s="1">
        <f>SIN(O6)</f>
        <v>0</v>
      </c>
      <c r="N17" s="1">
        <f>COS(O6)*COS(R6)</f>
        <v>6.1257422745431001E-17</v>
      </c>
      <c r="O17" s="1">
        <f>-(COS(O6))*SIN(R6)</f>
        <v>-1</v>
      </c>
      <c r="P17" s="1">
        <f>P6*SIN(O6)</f>
        <v>0</v>
      </c>
      <c r="Q17" s="14"/>
    </row>
    <row r="18" spans="6:25" x14ac:dyDescent="0.3">
      <c r="F18" s="88"/>
      <c r="G18" s="89"/>
      <c r="H18" s="92"/>
      <c r="I18" s="91"/>
      <c r="J18" s="90"/>
      <c r="K18" s="2"/>
      <c r="L18" s="82"/>
      <c r="M18" s="1">
        <v>0</v>
      </c>
      <c r="N18" s="1">
        <f>SIN(R6)</f>
        <v>1</v>
      </c>
      <c r="O18" s="1">
        <f>COS(R6)</f>
        <v>6.1257422745431001E-17</v>
      </c>
      <c r="P18" s="1">
        <f>Q6</f>
        <v>0.16250000000000001</v>
      </c>
      <c r="Q18" s="14"/>
    </row>
    <row r="19" spans="6:25" x14ac:dyDescent="0.3">
      <c r="F19" s="88"/>
      <c r="G19" s="89"/>
      <c r="H19" s="92"/>
      <c r="I19" s="91"/>
      <c r="J19" s="90"/>
      <c r="K19" s="2"/>
      <c r="L19" s="2"/>
      <c r="M19" s="1">
        <v>0</v>
      </c>
      <c r="N19" s="1">
        <v>0</v>
      </c>
      <c r="O19" s="1">
        <v>0</v>
      </c>
      <c r="P19" s="1">
        <v>1</v>
      </c>
      <c r="Q19" s="14"/>
    </row>
    <row r="20" spans="6:25" x14ac:dyDescent="0.3">
      <c r="F20" s="88"/>
      <c r="G20" s="89"/>
      <c r="H20" s="92"/>
      <c r="I20" s="91"/>
      <c r="J20" s="90"/>
      <c r="Q20" s="14"/>
      <c r="R20" s="14"/>
      <c r="S20" s="46"/>
      <c r="T20" s="46"/>
      <c r="U20" s="47"/>
    </row>
    <row r="21" spans="6:25" x14ac:dyDescent="0.3">
      <c r="F21" s="88"/>
      <c r="G21" s="89"/>
      <c r="H21" s="92"/>
      <c r="I21" s="91"/>
      <c r="J21" s="3"/>
      <c r="K21" s="13"/>
      <c r="L21" s="13"/>
      <c r="M21" s="69"/>
      <c r="N21" s="69"/>
      <c r="O21" s="69"/>
      <c r="P21" s="69"/>
      <c r="Q21" s="14"/>
      <c r="R21" s="14"/>
      <c r="S21" s="46"/>
      <c r="T21" s="46"/>
      <c r="U21" s="47"/>
    </row>
    <row r="22" spans="6:25" x14ac:dyDescent="0.3">
      <c r="F22" s="88"/>
      <c r="G22" s="89"/>
      <c r="H22" s="92"/>
      <c r="I22" s="91"/>
      <c r="J22" s="3"/>
      <c r="K22" s="13"/>
      <c r="L22" s="13"/>
      <c r="M22" s="69"/>
      <c r="N22" s="69"/>
      <c r="O22" s="69"/>
      <c r="P22" s="69"/>
      <c r="Q22" s="14"/>
      <c r="R22" s="14"/>
      <c r="S22" s="46"/>
      <c r="T22" s="46"/>
      <c r="U22" s="47"/>
    </row>
    <row r="23" spans="6:25" x14ac:dyDescent="0.3">
      <c r="F23" s="88"/>
      <c r="G23" s="89"/>
      <c r="H23" s="92"/>
      <c r="I23" s="91"/>
      <c r="J23" s="3"/>
      <c r="K23" s="13"/>
      <c r="L23" s="13"/>
      <c r="M23" s="84" t="s">
        <v>15</v>
      </c>
      <c r="N23" s="84"/>
      <c r="O23" s="84"/>
      <c r="P23" s="84"/>
      <c r="Q23" s="14"/>
      <c r="R23" s="47"/>
      <c r="S23" s="46"/>
      <c r="T23" s="46"/>
      <c r="U23" s="47"/>
    </row>
    <row r="24" spans="6:25" x14ac:dyDescent="0.3">
      <c r="F24" s="88"/>
      <c r="G24" s="89"/>
      <c r="H24" s="92"/>
      <c r="I24" s="91"/>
      <c r="J24" s="3"/>
      <c r="K24" s="3"/>
      <c r="L24" s="3"/>
      <c r="M24" s="4">
        <f>COS(O7)</f>
        <v>1</v>
      </c>
      <c r="N24" s="4">
        <f>-(SIN(O7))*COS(R7)</f>
        <v>0</v>
      </c>
      <c r="O24" s="4">
        <f>SIN(O7)*SIN(R7)</f>
        <v>0</v>
      </c>
      <c r="P24" s="4">
        <f>P7*COS(O7)</f>
        <v>-0.42499999999999999</v>
      </c>
      <c r="Q24" s="14"/>
      <c r="R24" s="48"/>
      <c r="S24" s="48"/>
      <c r="T24" s="47"/>
      <c r="U24" s="49"/>
      <c r="V24" s="50">
        <f t="array" ref="V24:Y27">MMULT(M16:P19,M24:P27)</f>
        <v>1</v>
      </c>
      <c r="W24" s="50">
        <v>0</v>
      </c>
      <c r="X24" s="50">
        <v>0</v>
      </c>
      <c r="Y24" s="52">
        <v>-0.42499999999999999</v>
      </c>
    </row>
    <row r="25" spans="6:25" x14ac:dyDescent="0.3">
      <c r="F25" s="88"/>
      <c r="G25" s="89"/>
      <c r="H25" s="92"/>
      <c r="I25" s="91"/>
      <c r="J25" s="3"/>
      <c r="K25" s="3"/>
      <c r="L25" s="3"/>
      <c r="M25" s="4">
        <f>SIN(O7)</f>
        <v>0</v>
      </c>
      <c r="N25" s="4">
        <f>COS(O7)*COS(R7)</f>
        <v>1</v>
      </c>
      <c r="O25" s="4">
        <f>-(COS(O7))*SIN(R7)</f>
        <v>0</v>
      </c>
      <c r="P25" s="4">
        <f>P7*SIN(O7)</f>
        <v>0</v>
      </c>
      <c r="Q25" s="14"/>
      <c r="R25" s="14"/>
      <c r="S25" s="14"/>
      <c r="T25" s="47"/>
      <c r="U25" s="49"/>
      <c r="V25" s="50">
        <v>0</v>
      </c>
      <c r="W25" s="50">
        <v>6.1257422745431001E-17</v>
      </c>
      <c r="X25" s="50">
        <v>-1</v>
      </c>
      <c r="Y25" s="53">
        <v>0</v>
      </c>
    </row>
    <row r="26" spans="6:25" x14ac:dyDescent="0.3">
      <c r="F26" s="88"/>
      <c r="G26" s="89"/>
      <c r="H26" s="92"/>
      <c r="I26" s="91"/>
      <c r="J26" s="3"/>
      <c r="K26" s="3"/>
      <c r="L26" s="3"/>
      <c r="M26" s="4">
        <v>0</v>
      </c>
      <c r="N26" s="4">
        <f>SIN(R7)</f>
        <v>0</v>
      </c>
      <c r="O26" s="4">
        <f>COS(R7)</f>
        <v>1</v>
      </c>
      <c r="P26" s="4">
        <f>Q7</f>
        <v>0</v>
      </c>
      <c r="Q26" s="14"/>
      <c r="R26" s="14"/>
      <c r="S26" s="14"/>
      <c r="T26" s="47"/>
      <c r="U26" s="49"/>
      <c r="V26" s="50">
        <v>0</v>
      </c>
      <c r="W26" s="50">
        <v>1</v>
      </c>
      <c r="X26" s="50">
        <v>6.1257422745431001E-17</v>
      </c>
      <c r="Y26" s="54">
        <v>0.16250000000000001</v>
      </c>
    </row>
    <row r="27" spans="6:25" x14ac:dyDescent="0.3">
      <c r="F27" s="88"/>
      <c r="G27" s="89"/>
      <c r="H27" s="92"/>
      <c r="I27" s="91"/>
      <c r="J27" s="3"/>
      <c r="K27" s="3"/>
      <c r="L27" s="3"/>
      <c r="M27" s="4">
        <v>0</v>
      </c>
      <c r="N27" s="4">
        <v>0</v>
      </c>
      <c r="O27" s="4">
        <v>0</v>
      </c>
      <c r="P27" s="4">
        <v>1</v>
      </c>
      <c r="Q27" s="14"/>
      <c r="R27" s="14"/>
      <c r="S27" s="14"/>
      <c r="T27" s="47"/>
      <c r="U27" s="49"/>
      <c r="V27" s="50">
        <v>0</v>
      </c>
      <c r="W27" s="50">
        <v>0</v>
      </c>
      <c r="X27" s="50">
        <v>0</v>
      </c>
      <c r="Y27" s="50">
        <v>1</v>
      </c>
    </row>
    <row r="28" spans="6:25" x14ac:dyDescent="0.3">
      <c r="F28" s="88"/>
      <c r="G28" s="89"/>
      <c r="H28" s="92"/>
      <c r="I28" s="91"/>
      <c r="Q28" s="14"/>
      <c r="R28" s="14"/>
      <c r="S28" s="14"/>
      <c r="T28" s="14"/>
      <c r="U28" s="14"/>
      <c r="V28" s="51"/>
      <c r="W28" s="51"/>
      <c r="X28" s="51"/>
      <c r="Y28" s="51"/>
    </row>
    <row r="29" spans="6:25" x14ac:dyDescent="0.3">
      <c r="F29" s="88"/>
      <c r="G29" s="89"/>
      <c r="H29" s="92"/>
      <c r="I29" s="42"/>
      <c r="J29" s="13"/>
      <c r="K29" s="13"/>
      <c r="L29" s="13"/>
      <c r="M29" s="69"/>
      <c r="N29" s="69"/>
      <c r="O29" s="69"/>
      <c r="P29" s="69"/>
      <c r="Q29" s="14"/>
      <c r="R29" s="14"/>
      <c r="S29" s="14"/>
      <c r="T29" s="14"/>
      <c r="U29" s="14"/>
      <c r="V29" s="51"/>
      <c r="W29" s="51"/>
      <c r="X29" s="51"/>
      <c r="Y29" s="51"/>
    </row>
    <row r="30" spans="6:25" x14ac:dyDescent="0.3">
      <c r="F30" s="88"/>
      <c r="G30" s="89"/>
      <c r="H30" s="92"/>
      <c r="I30" s="5"/>
      <c r="J30" s="13"/>
      <c r="K30" s="13"/>
      <c r="L30" s="13"/>
      <c r="M30" s="69"/>
      <c r="N30" s="69"/>
      <c r="O30" s="69"/>
      <c r="P30" s="69"/>
      <c r="Q30" s="14"/>
      <c r="R30" s="14"/>
      <c r="S30" s="14"/>
      <c r="T30" s="14"/>
      <c r="U30" s="14"/>
      <c r="V30" s="51"/>
      <c r="W30" s="51"/>
      <c r="X30" s="51"/>
      <c r="Y30" s="51"/>
    </row>
    <row r="31" spans="6:25" x14ac:dyDescent="0.3">
      <c r="F31" s="88"/>
      <c r="G31" s="89"/>
      <c r="H31" s="92"/>
      <c r="I31" s="5"/>
      <c r="J31" s="13"/>
      <c r="K31" s="13"/>
      <c r="L31" s="13"/>
      <c r="M31" s="84" t="s">
        <v>16</v>
      </c>
      <c r="N31" s="84"/>
      <c r="O31" s="84"/>
      <c r="P31" s="84"/>
      <c r="Q31" s="14"/>
      <c r="R31" s="14"/>
      <c r="S31" s="14"/>
      <c r="T31" s="14"/>
      <c r="U31" s="14"/>
      <c r="V31" s="51"/>
      <c r="W31" s="51"/>
      <c r="X31" s="51"/>
      <c r="Y31" s="51"/>
    </row>
    <row r="32" spans="6:25" x14ac:dyDescent="0.3">
      <c r="F32" s="88"/>
      <c r="G32" s="89"/>
      <c r="H32" s="92"/>
      <c r="I32" s="5"/>
      <c r="J32" s="5"/>
      <c r="K32" s="5"/>
      <c r="L32" s="5"/>
      <c r="M32" s="6">
        <f>COS(O8)</f>
        <v>1</v>
      </c>
      <c r="N32" s="6">
        <f>-(SIN(O8))*COS(R8)</f>
        <v>0</v>
      </c>
      <c r="O32" s="6">
        <f>SIN(O8)*SIN(R8)</f>
        <v>0</v>
      </c>
      <c r="P32" s="6">
        <f>P8*COS(O8)</f>
        <v>-0.39219999999999999</v>
      </c>
      <c r="Q32" s="14"/>
      <c r="R32" s="14"/>
      <c r="S32" s="14"/>
      <c r="T32" s="14"/>
      <c r="U32" s="14"/>
      <c r="V32" s="50">
        <f t="array" ref="V32:Y35">MMULT(V24:Y27,M32:P35)</f>
        <v>1</v>
      </c>
      <c r="W32" s="50">
        <v>0</v>
      </c>
      <c r="X32" s="50">
        <v>0</v>
      </c>
      <c r="Y32" s="52">
        <v>-0.81719999999999993</v>
      </c>
    </row>
    <row r="33" spans="6:43" x14ac:dyDescent="0.3">
      <c r="F33" s="88"/>
      <c r="G33" s="89"/>
      <c r="H33" s="92"/>
      <c r="I33" s="5"/>
      <c r="J33" s="5"/>
      <c r="K33" s="5"/>
      <c r="L33" s="5"/>
      <c r="M33" s="6">
        <f>SIN(O8)</f>
        <v>0</v>
      </c>
      <c r="N33" s="6">
        <f>COS(O8)*COS(R8)</f>
        <v>1</v>
      </c>
      <c r="O33" s="6">
        <f>-(COS(O8))*SIN(R8)</f>
        <v>0</v>
      </c>
      <c r="P33" s="6">
        <f>P8*SIN(O8)</f>
        <v>0</v>
      </c>
      <c r="Q33" s="14"/>
      <c r="R33" s="14"/>
      <c r="S33" s="14"/>
      <c r="T33" s="14"/>
      <c r="U33" s="14"/>
      <c r="V33" s="50">
        <v>0</v>
      </c>
      <c r="W33" s="50">
        <v>6.1257422745431001E-17</v>
      </c>
      <c r="X33" s="50">
        <v>-1</v>
      </c>
      <c r="Y33" s="53">
        <v>0</v>
      </c>
    </row>
    <row r="34" spans="6:43" x14ac:dyDescent="0.3">
      <c r="F34" s="88"/>
      <c r="G34" s="89"/>
      <c r="H34" s="92"/>
      <c r="I34" s="5"/>
      <c r="J34" s="5"/>
      <c r="K34" s="5"/>
      <c r="L34" s="5"/>
      <c r="M34" s="6">
        <v>0</v>
      </c>
      <c r="N34" s="6">
        <f>SIN(R8)</f>
        <v>0</v>
      </c>
      <c r="O34" s="6">
        <f>COS(R8)</f>
        <v>1</v>
      </c>
      <c r="P34" s="6">
        <f>Q8</f>
        <v>0</v>
      </c>
      <c r="Q34" s="14"/>
      <c r="R34" s="14"/>
      <c r="S34" s="14"/>
      <c r="T34" s="14"/>
      <c r="U34" s="14"/>
      <c r="V34" s="50">
        <v>0</v>
      </c>
      <c r="W34" s="50">
        <v>1</v>
      </c>
      <c r="X34" s="50">
        <v>6.1257422745431001E-17</v>
      </c>
      <c r="Y34" s="54">
        <v>0.16250000000000001</v>
      </c>
    </row>
    <row r="35" spans="6:43" x14ac:dyDescent="0.3">
      <c r="F35" s="88"/>
      <c r="G35" s="89"/>
      <c r="H35" s="92"/>
      <c r="I35" s="5"/>
      <c r="J35" s="5"/>
      <c r="K35" s="5"/>
      <c r="L35" s="5"/>
      <c r="M35" s="6">
        <v>0</v>
      </c>
      <c r="N35" s="6">
        <v>0</v>
      </c>
      <c r="O35" s="6">
        <v>0</v>
      </c>
      <c r="P35" s="6">
        <v>1</v>
      </c>
      <c r="Q35" s="14"/>
      <c r="R35" s="14"/>
      <c r="S35" s="14"/>
      <c r="T35" s="14"/>
      <c r="U35" s="14"/>
      <c r="V35" s="50">
        <v>0</v>
      </c>
      <c r="W35" s="50">
        <v>0</v>
      </c>
      <c r="X35" s="50">
        <v>0</v>
      </c>
      <c r="Y35" s="50">
        <v>1</v>
      </c>
    </row>
    <row r="36" spans="6:43" x14ac:dyDescent="0.3">
      <c r="F36" s="88"/>
      <c r="G36" s="89"/>
      <c r="H36" s="92"/>
      <c r="V36" s="51"/>
      <c r="W36" s="51"/>
      <c r="X36" s="51"/>
      <c r="Y36" s="51"/>
    </row>
    <row r="37" spans="6:43" ht="15" thickBot="1" x14ac:dyDescent="0.35">
      <c r="F37" s="88"/>
      <c r="G37" s="89"/>
      <c r="H37" s="7"/>
      <c r="I37" s="13"/>
      <c r="J37" s="13"/>
      <c r="K37" s="13"/>
      <c r="L37" s="13"/>
      <c r="M37" s="69"/>
      <c r="N37" s="69"/>
      <c r="O37" s="69"/>
      <c r="P37" s="69"/>
      <c r="V37" s="51"/>
      <c r="W37" s="51"/>
      <c r="X37" s="51"/>
      <c r="Y37" s="51"/>
    </row>
    <row r="38" spans="6:43" x14ac:dyDescent="0.3">
      <c r="F38" s="88"/>
      <c r="G38" s="89"/>
      <c r="H38" s="7"/>
      <c r="I38" s="13"/>
      <c r="J38" s="13"/>
      <c r="K38" s="13"/>
      <c r="L38" s="13"/>
      <c r="M38" s="69"/>
      <c r="N38" s="69"/>
      <c r="O38" s="69"/>
      <c r="P38" s="69"/>
      <c r="V38" s="51"/>
      <c r="W38" s="51"/>
      <c r="X38" s="51"/>
      <c r="Y38" s="51"/>
      <c r="AB38" s="55" t="s">
        <v>21</v>
      </c>
      <c r="AC38" s="55" t="s">
        <v>22</v>
      </c>
      <c r="AD38" s="55" t="s">
        <v>23</v>
      </c>
      <c r="AG38" s="71" t="s">
        <v>34</v>
      </c>
      <c r="AH38" s="72"/>
      <c r="AI38" s="72"/>
      <c r="AJ38" s="72"/>
      <c r="AK38" s="72"/>
      <c r="AL38" s="72"/>
      <c r="AM38" s="72"/>
      <c r="AN38" s="72"/>
      <c r="AO38" s="72"/>
      <c r="AP38" s="72"/>
      <c r="AQ38" s="73"/>
    </row>
    <row r="39" spans="6:43" x14ac:dyDescent="0.3">
      <c r="F39" s="88"/>
      <c r="G39" s="89"/>
      <c r="H39" s="7"/>
      <c r="I39" s="13"/>
      <c r="J39" s="13"/>
      <c r="K39" s="13"/>
      <c r="L39" s="13"/>
      <c r="M39" s="84" t="s">
        <v>17</v>
      </c>
      <c r="N39" s="84"/>
      <c r="O39" s="84"/>
      <c r="P39" s="84"/>
      <c r="V39" s="51"/>
      <c r="W39" s="51"/>
      <c r="X39" s="51"/>
      <c r="Y39" s="51"/>
      <c r="AB39" s="55">
        <f>P16</f>
        <v>0</v>
      </c>
      <c r="AC39" s="55">
        <f>P17</f>
        <v>0</v>
      </c>
      <c r="AD39" s="55">
        <f>P18</f>
        <v>0.16250000000000001</v>
      </c>
      <c r="AG39" s="74"/>
      <c r="AH39" s="75"/>
      <c r="AI39" s="75"/>
      <c r="AJ39" s="75"/>
      <c r="AK39" s="75"/>
      <c r="AL39" s="75"/>
      <c r="AM39" s="75"/>
      <c r="AN39" s="75"/>
      <c r="AO39" s="75"/>
      <c r="AP39" s="75"/>
      <c r="AQ39" s="76"/>
    </row>
    <row r="40" spans="6:43" x14ac:dyDescent="0.3">
      <c r="F40" s="88"/>
      <c r="G40" s="89"/>
      <c r="H40" s="7"/>
      <c r="I40" s="7"/>
      <c r="J40" s="7"/>
      <c r="K40" s="7"/>
      <c r="L40" s="7"/>
      <c r="M40" s="8">
        <f>COS(O9)</f>
        <v>-0.94551857559931674</v>
      </c>
      <c r="N40" s="8">
        <f>-(SIN(O9))*COS(R9)</f>
        <v>1.9943466070031826E-17</v>
      </c>
      <c r="O40" s="8">
        <f>SIN(O9)*SIN(R9)</f>
        <v>-0.32556815445715676</v>
      </c>
      <c r="P40" s="8">
        <f>P9*COS(O9)</f>
        <v>0</v>
      </c>
      <c r="V40" s="50">
        <f t="array" ref="V40:Y43">MMULT(V32:Y35,M40:P43)</f>
        <v>-0.94551857559931674</v>
      </c>
      <c r="W40" s="50">
        <v>1.9943466070031826E-17</v>
      </c>
      <c r="X40" s="50">
        <v>-0.32556815445715676</v>
      </c>
      <c r="Y40" s="52">
        <v>-0.81719999999999993</v>
      </c>
      <c r="AB40" s="56">
        <f>Y24</f>
        <v>-0.42499999999999999</v>
      </c>
      <c r="AC40" s="56">
        <f>Y25</f>
        <v>0</v>
      </c>
      <c r="AD40" s="56">
        <f>Y26</f>
        <v>0.16250000000000001</v>
      </c>
      <c r="AG40" s="74"/>
      <c r="AH40" s="75"/>
      <c r="AI40" s="75"/>
      <c r="AJ40" s="75"/>
      <c r="AK40" s="75"/>
      <c r="AL40" s="75"/>
      <c r="AM40" s="75"/>
      <c r="AN40" s="75"/>
      <c r="AO40" s="75"/>
      <c r="AP40" s="75"/>
      <c r="AQ40" s="76"/>
    </row>
    <row r="41" spans="6:43" x14ac:dyDescent="0.3">
      <c r="F41" s="88"/>
      <c r="G41" s="89"/>
      <c r="H41" s="7"/>
      <c r="I41" s="7"/>
      <c r="J41" s="7"/>
      <c r="K41" s="7"/>
      <c r="L41" s="7"/>
      <c r="M41" s="8">
        <f>SIN(O9)</f>
        <v>-0.32556815445715676</v>
      </c>
      <c r="N41" s="8">
        <f>COS(O9)*COS(R9)</f>
        <v>-5.79200310991451E-17</v>
      </c>
      <c r="O41" s="8">
        <f>-(COS(O9))*SIN(R9)</f>
        <v>0.94551857559931674</v>
      </c>
      <c r="P41" s="8">
        <f>P9*SIN(O9)</f>
        <v>0</v>
      </c>
      <c r="V41" s="50">
        <v>-1.9943466070031826E-17</v>
      </c>
      <c r="W41" s="50">
        <v>-1</v>
      </c>
      <c r="X41" s="50">
        <v>-3.3373916462859002E-18</v>
      </c>
      <c r="Y41" s="53">
        <v>-0.1333</v>
      </c>
      <c r="AB41" s="56">
        <f>Y32</f>
        <v>-0.81719999999999993</v>
      </c>
      <c r="AC41" s="56">
        <f>Y33</f>
        <v>0</v>
      </c>
      <c r="AD41" s="56">
        <f>Y34</f>
        <v>0.16250000000000001</v>
      </c>
      <c r="AG41" s="74"/>
      <c r="AH41" s="75"/>
      <c r="AI41" s="75"/>
      <c r="AJ41" s="75"/>
      <c r="AK41" s="75"/>
      <c r="AL41" s="75"/>
      <c r="AM41" s="75"/>
      <c r="AN41" s="75"/>
      <c r="AO41" s="75"/>
      <c r="AP41" s="75"/>
      <c r="AQ41" s="76"/>
    </row>
    <row r="42" spans="6:43" ht="15" thickBot="1" x14ac:dyDescent="0.35">
      <c r="F42" s="88"/>
      <c r="G42" s="89"/>
      <c r="H42" s="7"/>
      <c r="I42" s="7"/>
      <c r="J42" s="7"/>
      <c r="K42" s="7"/>
      <c r="L42" s="7"/>
      <c r="M42" s="8">
        <v>0</v>
      </c>
      <c r="N42" s="8">
        <f>SIN(R9)</f>
        <v>1</v>
      </c>
      <c r="O42" s="8">
        <f>COS(R9)</f>
        <v>6.1257422745431001E-17</v>
      </c>
      <c r="P42" s="9">
        <f>Q9</f>
        <v>0.1333</v>
      </c>
      <c r="V42" s="50">
        <v>-0.32556815445715676</v>
      </c>
      <c r="W42" s="50">
        <v>3.3373916462859002E-18</v>
      </c>
      <c r="X42" s="50">
        <v>0.94551857559931674</v>
      </c>
      <c r="Y42" s="54">
        <v>0.16250000000000001</v>
      </c>
      <c r="AB42" s="56">
        <f>Y40</f>
        <v>-0.81719999999999993</v>
      </c>
      <c r="AC42" s="56">
        <f>Y41</f>
        <v>-0.1333</v>
      </c>
      <c r="AD42" s="56">
        <f>Y42</f>
        <v>0.16250000000000001</v>
      </c>
      <c r="AG42" s="77"/>
      <c r="AH42" s="78"/>
      <c r="AI42" s="78"/>
      <c r="AJ42" s="78"/>
      <c r="AK42" s="78"/>
      <c r="AL42" s="78"/>
      <c r="AM42" s="78"/>
      <c r="AN42" s="78"/>
      <c r="AO42" s="78"/>
      <c r="AP42" s="78"/>
      <c r="AQ42" s="79"/>
    </row>
    <row r="43" spans="6:43" x14ac:dyDescent="0.3">
      <c r="F43" s="88"/>
      <c r="G43" s="89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</v>
      </c>
      <c r="V43" s="50">
        <v>0</v>
      </c>
      <c r="W43" s="50">
        <v>0</v>
      </c>
      <c r="X43" s="50">
        <v>0</v>
      </c>
      <c r="Y43" s="50">
        <v>1</v>
      </c>
      <c r="AB43" s="56">
        <f>Y48</f>
        <v>-0.84965914499937845</v>
      </c>
      <c r="AC43" s="56">
        <f>Y49</f>
        <v>-0.1333</v>
      </c>
      <c r="AD43" s="56">
        <f>Y50</f>
        <v>0.25676820198725187</v>
      </c>
    </row>
    <row r="44" spans="6:43" x14ac:dyDescent="0.3">
      <c r="F44" s="88"/>
      <c r="G44" s="89"/>
      <c r="V44" s="51"/>
      <c r="W44" s="51"/>
      <c r="X44" s="51"/>
      <c r="Y44" s="51"/>
      <c r="AB44" s="56">
        <f>Y56</f>
        <v>-0.76810237161995754</v>
      </c>
      <c r="AC44" s="56">
        <f>Y57</f>
        <v>-8.3500000000000019E-2</v>
      </c>
      <c r="AD44" s="56">
        <f>Y58</f>
        <v>0.28485045111259399</v>
      </c>
    </row>
    <row r="45" spans="6:43" x14ac:dyDescent="0.3">
      <c r="F45" s="88"/>
      <c r="G45" s="10"/>
      <c r="H45" s="13"/>
      <c r="I45" s="13"/>
      <c r="J45" s="13"/>
      <c r="K45" s="13"/>
      <c r="L45" s="13"/>
      <c r="M45" s="69"/>
      <c r="N45" s="69"/>
      <c r="O45" s="69"/>
      <c r="P45" s="69"/>
      <c r="V45" s="51"/>
      <c r="W45" s="51"/>
      <c r="X45" s="51"/>
      <c r="Y45" s="51"/>
    </row>
    <row r="46" spans="6:43" x14ac:dyDescent="0.3">
      <c r="F46" s="88"/>
      <c r="G46" s="10"/>
      <c r="H46" s="13"/>
      <c r="I46" s="13"/>
      <c r="J46" s="13"/>
      <c r="K46" s="13"/>
      <c r="L46" s="13"/>
      <c r="M46" s="69"/>
      <c r="N46" s="69"/>
      <c r="O46" s="69"/>
      <c r="P46" s="69"/>
      <c r="V46" s="51"/>
      <c r="W46" s="51"/>
      <c r="X46" s="51"/>
      <c r="Y46" s="51"/>
    </row>
    <row r="47" spans="6:43" x14ac:dyDescent="0.3">
      <c r="F47" s="88"/>
      <c r="G47" s="10"/>
      <c r="H47" s="13"/>
      <c r="I47" s="13"/>
      <c r="J47" s="13"/>
      <c r="K47" s="13"/>
      <c r="L47" s="13"/>
      <c r="M47" s="84" t="s">
        <v>18</v>
      </c>
      <c r="N47" s="84"/>
      <c r="O47" s="84"/>
      <c r="P47" s="84"/>
      <c r="V47" s="51"/>
      <c r="W47" s="51"/>
      <c r="X47" s="51"/>
      <c r="Y47" s="51"/>
      <c r="AB47" s="55" t="s">
        <v>24</v>
      </c>
      <c r="AC47" s="55" t="s">
        <v>25</v>
      </c>
      <c r="AD47" s="55" t="s">
        <v>26</v>
      </c>
    </row>
    <row r="48" spans="6:43" x14ac:dyDescent="0.3">
      <c r="F48" s="88"/>
      <c r="G48" s="10"/>
      <c r="H48" s="10"/>
      <c r="I48" s="10"/>
      <c r="J48" s="10"/>
      <c r="K48" s="10"/>
      <c r="L48" s="10"/>
      <c r="M48" s="11">
        <f>COS(O10)</f>
        <v>-0.49999999999999978</v>
      </c>
      <c r="N48" s="11">
        <f>-(SIN(O10))*COS(R10)</f>
        <v>-5.3050484267905944E-17</v>
      </c>
      <c r="O48" s="11">
        <f>SIN(O10)*SIN(R10)</f>
        <v>-0.86602540378443871</v>
      </c>
      <c r="P48" s="11">
        <f>P10*COS(O10)</f>
        <v>0</v>
      </c>
      <c r="V48" s="50">
        <f t="array" ref="V48:Y51">MMULT(V40:Y43,M48:P51)</f>
        <v>0.47275928779965815</v>
      </c>
      <c r="W48" s="50">
        <v>0.32556815445715681</v>
      </c>
      <c r="X48" s="50">
        <v>0.81884310621908563</v>
      </c>
      <c r="Y48" s="52">
        <v>-0.84965914499937845</v>
      </c>
      <c r="AB48" s="56">
        <f>ATAN2(-V58,SQRT(POWER(V56,2)+POWER(V57,2)))</f>
        <v>0.33161255787892285</v>
      </c>
      <c r="AC48" s="56">
        <f>ATAN2(V57/COS(AB48),V56/COS(AB48))</f>
        <v>1.5707963267948966</v>
      </c>
      <c r="AD48" s="56">
        <f>ATAN2(W58/COS(AB48),X58/COS(AB48))</f>
        <v>2.0943951023931953</v>
      </c>
    </row>
    <row r="49" spans="6:30" x14ac:dyDescent="0.3">
      <c r="F49" s="88"/>
      <c r="G49" s="10"/>
      <c r="H49" s="10"/>
      <c r="I49" s="10"/>
      <c r="J49" s="10"/>
      <c r="K49" s="10"/>
      <c r="L49" s="10"/>
      <c r="M49" s="11">
        <f>SIN(O10)</f>
        <v>0.86602540378443871</v>
      </c>
      <c r="N49" s="11">
        <f>COS(O10)*COS(R10)</f>
        <v>-3.0628711372715488E-17</v>
      </c>
      <c r="O49" s="11">
        <f>-(COS(O10))*SIN(R10)</f>
        <v>-0.49999999999999978</v>
      </c>
      <c r="P49" s="11">
        <f>P10*SIN(O10)</f>
        <v>0</v>
      </c>
      <c r="V49" s="50">
        <v>-0.86602540378443871</v>
      </c>
      <c r="W49" s="50">
        <v>3.3966103019001388E-17</v>
      </c>
      <c r="X49" s="50">
        <v>0.49999999999999978</v>
      </c>
      <c r="Y49" s="53">
        <v>-0.1333</v>
      </c>
      <c r="AB49" s="56">
        <f>DEGREES(AB48)</f>
        <v>19.000000000000014</v>
      </c>
      <c r="AC49" s="56">
        <f>DEGREES(AC48)</f>
        <v>90</v>
      </c>
      <c r="AD49" s="56">
        <f>DEGREES(AD48)</f>
        <v>119.99999999999999</v>
      </c>
    </row>
    <row r="50" spans="6:30" x14ac:dyDescent="0.3">
      <c r="F50" s="88"/>
      <c r="G50" s="10"/>
      <c r="H50" s="10"/>
      <c r="I50" s="10"/>
      <c r="J50" s="10"/>
      <c r="K50" s="10"/>
      <c r="L50" s="10"/>
      <c r="M50" s="11">
        <v>0</v>
      </c>
      <c r="N50" s="11">
        <f>SIN(R10)</f>
        <v>-1</v>
      </c>
      <c r="O50" s="11">
        <f>COS(R10)</f>
        <v>6.1257422745431001E-17</v>
      </c>
      <c r="P50" s="12">
        <f>Q10</f>
        <v>9.9699999999999997E-2</v>
      </c>
      <c r="V50" s="50">
        <v>0.16278407722857829</v>
      </c>
      <c r="W50" s="50">
        <v>-0.94551857559931674</v>
      </c>
      <c r="X50" s="50">
        <v>0.28195029242311376</v>
      </c>
      <c r="Y50" s="54">
        <v>0.25676820198725187</v>
      </c>
    </row>
    <row r="51" spans="6:30" x14ac:dyDescent="0.3">
      <c r="F51" s="88"/>
      <c r="G51" s="10"/>
      <c r="H51" s="10"/>
      <c r="I51" s="10"/>
      <c r="J51" s="10"/>
      <c r="K51" s="10"/>
      <c r="L51" s="10"/>
      <c r="M51" s="11">
        <v>0</v>
      </c>
      <c r="N51" s="11">
        <v>0</v>
      </c>
      <c r="O51" s="11">
        <v>0</v>
      </c>
      <c r="P51" s="11">
        <v>1</v>
      </c>
      <c r="V51" s="50">
        <v>0</v>
      </c>
      <c r="W51" s="50">
        <v>0</v>
      </c>
      <c r="X51" s="50">
        <v>0</v>
      </c>
      <c r="Y51" s="50">
        <v>1</v>
      </c>
    </row>
    <row r="52" spans="6:30" x14ac:dyDescent="0.3">
      <c r="F52" s="88"/>
      <c r="V52" s="51"/>
      <c r="W52" s="51"/>
      <c r="X52" s="51"/>
      <c r="Y52" s="51"/>
    </row>
    <row r="53" spans="6:30" x14ac:dyDescent="0.3">
      <c r="F53" s="41"/>
      <c r="G53" s="13"/>
      <c r="H53" s="13"/>
      <c r="I53" s="13"/>
      <c r="J53" s="13"/>
      <c r="K53" s="13"/>
      <c r="L53" s="13"/>
      <c r="M53" s="70" t="s">
        <v>19</v>
      </c>
      <c r="N53" s="70"/>
      <c r="O53" s="70"/>
      <c r="P53" s="70"/>
      <c r="V53" s="51"/>
      <c r="W53" s="51"/>
      <c r="X53" s="51"/>
      <c r="Y53" s="51"/>
    </row>
    <row r="54" spans="6:30" x14ac:dyDescent="0.3">
      <c r="F54" s="41"/>
      <c r="G54" s="13"/>
      <c r="H54" s="13"/>
      <c r="I54" s="13"/>
      <c r="J54" s="13"/>
      <c r="K54" s="13"/>
      <c r="L54" s="13"/>
      <c r="M54" s="70"/>
      <c r="N54" s="70"/>
      <c r="O54" s="70"/>
      <c r="P54" s="70"/>
      <c r="V54" s="51"/>
      <c r="W54" s="51"/>
      <c r="X54" s="51"/>
      <c r="Y54" s="51"/>
    </row>
    <row r="55" spans="6:30" ht="15" thickBot="1" x14ac:dyDescent="0.35">
      <c r="F55" s="41"/>
      <c r="G55" s="13"/>
      <c r="H55" s="13"/>
      <c r="I55" s="13"/>
      <c r="J55" s="13"/>
      <c r="K55" s="13"/>
      <c r="L55" s="13"/>
      <c r="M55" s="80" t="s">
        <v>19</v>
      </c>
      <c r="N55" s="81"/>
      <c r="O55" s="81"/>
      <c r="P55" s="81"/>
      <c r="V55" s="51"/>
      <c r="W55" s="51"/>
      <c r="X55" s="51"/>
      <c r="Y55" s="51"/>
    </row>
    <row r="56" spans="6:30" x14ac:dyDescent="0.3">
      <c r="F56" s="41"/>
      <c r="G56" s="41"/>
      <c r="H56" s="41"/>
      <c r="I56" s="41"/>
      <c r="J56" s="41"/>
      <c r="K56" s="41"/>
      <c r="L56" s="41"/>
      <c r="M56" s="44">
        <f>COS(O11)</f>
        <v>6.1257422745431001E-17</v>
      </c>
      <c r="N56" s="44">
        <f>-(SIN(O11))*COS(R11)</f>
        <v>-1</v>
      </c>
      <c r="O56" s="44">
        <f>SIN(O11)*SIN(R11)</f>
        <v>0</v>
      </c>
      <c r="P56" s="44">
        <f>P11*COS(O11)</f>
        <v>0</v>
      </c>
      <c r="V56" s="61">
        <f t="array" ref="V56:Y59">MMULT(V48:Y51,M56:P59)</f>
        <v>0.32556815445715687</v>
      </c>
      <c r="W56" s="62">
        <v>-0.47275928779965815</v>
      </c>
      <c r="X56" s="63">
        <v>0.81884310621908563</v>
      </c>
      <c r="Y56" s="57">
        <v>-0.76810237161995754</v>
      </c>
    </row>
    <row r="57" spans="6:30" x14ac:dyDescent="0.3">
      <c r="F57" s="41"/>
      <c r="G57" s="41"/>
      <c r="H57" s="41"/>
      <c r="I57" s="41"/>
      <c r="J57" s="41"/>
      <c r="K57" s="41"/>
      <c r="L57" s="41"/>
      <c r="M57" s="44">
        <f>SIN(O11)</f>
        <v>1</v>
      </c>
      <c r="N57" s="44">
        <f>COS(O11)*COS(R11)</f>
        <v>6.1257422745431001E-17</v>
      </c>
      <c r="O57" s="44">
        <f>-(COS(O11))*SIN(R11)</f>
        <v>0</v>
      </c>
      <c r="P57" s="44">
        <f>P11*SIN(O11)</f>
        <v>0</v>
      </c>
      <c r="V57" s="64">
        <v>-1.9084381248904556E-17</v>
      </c>
      <c r="W57" s="50">
        <v>0.86602540378443871</v>
      </c>
      <c r="X57" s="65">
        <v>0.49999999999999978</v>
      </c>
      <c r="Y57" s="58">
        <v>-8.3500000000000019E-2</v>
      </c>
    </row>
    <row r="58" spans="6:30" ht="15" thickBot="1" x14ac:dyDescent="0.35">
      <c r="F58" s="41"/>
      <c r="G58" s="41"/>
      <c r="H58" s="41"/>
      <c r="I58" s="41"/>
      <c r="J58" s="41"/>
      <c r="K58" s="41"/>
      <c r="L58" s="41"/>
      <c r="M58" s="44">
        <v>0</v>
      </c>
      <c r="N58" s="44">
        <f>SIN(R11)</f>
        <v>0</v>
      </c>
      <c r="O58" s="44">
        <f>COS(R11)</f>
        <v>1</v>
      </c>
      <c r="P58" s="45">
        <f>Q11</f>
        <v>9.9599999999999994E-2</v>
      </c>
      <c r="V58" s="66">
        <v>-0.94551857559931674</v>
      </c>
      <c r="W58" s="67">
        <v>-0.16278407722857835</v>
      </c>
      <c r="X58" s="68">
        <v>0.28195029242311376</v>
      </c>
      <c r="Y58" s="59">
        <v>0.28485045111259399</v>
      </c>
    </row>
    <row r="59" spans="6:30" x14ac:dyDescent="0.3">
      <c r="F59" s="41"/>
      <c r="G59" s="41"/>
      <c r="H59" s="41"/>
      <c r="I59" s="41"/>
      <c r="J59" s="41"/>
      <c r="K59" s="41"/>
      <c r="L59" s="41"/>
      <c r="M59" s="44">
        <v>0</v>
      </c>
      <c r="N59" s="44">
        <v>0</v>
      </c>
      <c r="O59" s="44">
        <v>0</v>
      </c>
      <c r="P59" s="44">
        <v>1</v>
      </c>
      <c r="V59" s="60">
        <v>0</v>
      </c>
      <c r="W59" s="60">
        <v>0</v>
      </c>
      <c r="X59" s="60">
        <v>0</v>
      </c>
      <c r="Y59" s="50">
        <v>1</v>
      </c>
    </row>
    <row r="63" spans="6:30" ht="15" customHeight="1" x14ac:dyDescent="0.3"/>
  </sheetData>
  <mergeCells count="17">
    <mergeCell ref="O1:R1"/>
    <mergeCell ref="P2:R3"/>
    <mergeCell ref="O2:O3"/>
    <mergeCell ref="F12:F52"/>
    <mergeCell ref="G12:G44"/>
    <mergeCell ref="J12:J20"/>
    <mergeCell ref="I12:I28"/>
    <mergeCell ref="H12:H36"/>
    <mergeCell ref="AG38:AQ42"/>
    <mergeCell ref="M55:P55"/>
    <mergeCell ref="L17:L18"/>
    <mergeCell ref="M4:R4"/>
    <mergeCell ref="M15:P15"/>
    <mergeCell ref="M23:P23"/>
    <mergeCell ref="M31:P31"/>
    <mergeCell ref="M39:P39"/>
    <mergeCell ref="M47:P47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19</xdr:col>
                    <xdr:colOff>0</xdr:colOff>
                    <xdr:row>5</xdr:row>
                    <xdr:rowOff>0</xdr:rowOff>
                  </from>
                  <to>
                    <xdr:col>24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croll Bar 3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croll Bar 4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Scroll Bar 6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Scroll Bar 7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 Parameters_calibrated</vt:lpstr>
      <vt:lpstr>DH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Krüger</dc:creator>
  <cp:keywords>UR</cp:keywords>
  <cp:lastModifiedBy>Tony</cp:lastModifiedBy>
  <dcterms:created xsi:type="dcterms:W3CDTF">2020-12-06T08:38:09Z</dcterms:created>
  <dcterms:modified xsi:type="dcterms:W3CDTF">2022-08-29T08:07:26Z</dcterms:modified>
  <cp:contentStatus/>
</cp:coreProperties>
</file>