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longphan/Documents/1. Long Phan/1. Data/2. AFA Research &amp; Education/8. Phan tich tai chinh toan cau/1. Training Material 2020/Module 4 - Firm valuation and restructuring/HPG Valuation/2022 06/"/>
    </mc:Choice>
  </mc:AlternateContent>
  <xr:revisionPtr revIDLastSave="0" documentId="13_ncr:1_{F4DF8206-7A49-9842-BE97-AF326F749CD4}" xr6:coauthVersionLast="47" xr6:coauthVersionMax="47" xr10:uidLastSave="{00000000-0000-0000-0000-000000000000}"/>
  <bookViews>
    <workbookView xWindow="0" yWindow="720" windowWidth="28800" windowHeight="15720" activeTab="3" xr2:uid="{00000000-000D-0000-FFFF-FFFF00000000}"/>
  </bookViews>
  <sheets>
    <sheet name="BCKQKD" sheetId="3" r:id="rId1"/>
    <sheet name="BCĐKT" sheetId="2" r:id="rId2"/>
    <sheet name="Tổng hợp vay" sheetId="5" r:id="rId3"/>
    <sheet name="Thông tin dự báo" sheetId="4" r:id="rId4"/>
  </sheets>
  <externalReferences>
    <externalReference r:id="rId5"/>
    <externalReference r:id="rId6"/>
  </externalReferenc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2" l="1"/>
  <c r="C14" i="4"/>
  <c r="H24" i="2" l="1"/>
  <c r="E6" i="4"/>
  <c r="I8" i="5"/>
  <c r="J8" i="5" s="1"/>
  <c r="K8" i="5" s="1"/>
  <c r="L8" i="5" s="1"/>
  <c r="H8" i="5"/>
  <c r="L35" i="5"/>
  <c r="K35" i="5"/>
  <c r="J35" i="5"/>
  <c r="L38" i="5"/>
  <c r="L37" i="5"/>
  <c r="K37" i="5"/>
  <c r="L36" i="5"/>
  <c r="K36" i="5"/>
  <c r="J36" i="5"/>
  <c r="H65" i="3"/>
  <c r="H64" i="3"/>
  <c r="H63" i="3"/>
  <c r="H62" i="3"/>
  <c r="L34" i="5" l="1"/>
  <c r="L33" i="5"/>
  <c r="J33" i="5"/>
  <c r="H28" i="4"/>
  <c r="H26" i="4"/>
  <c r="G40" i="4"/>
  <c r="G39" i="4"/>
  <c r="F40" i="4"/>
  <c r="K33" i="5" s="1"/>
  <c r="F39" i="4"/>
  <c r="K34" i="5" s="1"/>
  <c r="E40" i="4"/>
  <c r="E39" i="4"/>
  <c r="J34" i="5" s="1"/>
  <c r="D40" i="4"/>
  <c r="I33" i="5" s="1"/>
  <c r="D39" i="4"/>
  <c r="I34" i="5" s="1"/>
  <c r="C40" i="4"/>
  <c r="H33" i="5" s="1"/>
  <c r="H6" i="5" s="1"/>
  <c r="C39" i="4"/>
  <c r="H34" i="5" s="1"/>
  <c r="H35" i="4"/>
  <c r="E34" i="4"/>
  <c r="E33" i="4" s="1"/>
  <c r="D34" i="4"/>
  <c r="D33" i="4" s="1"/>
  <c r="C34" i="4"/>
  <c r="C33" i="4" s="1"/>
  <c r="B36" i="4"/>
  <c r="B34" i="4"/>
  <c r="G27" i="4"/>
  <c r="G34" i="4" s="1"/>
  <c r="G33" i="4" s="1"/>
  <c r="F27" i="4"/>
  <c r="F34" i="4" s="1"/>
  <c r="F33" i="4" s="1"/>
  <c r="E27" i="4"/>
  <c r="D27" i="4"/>
  <c r="G29" i="4"/>
  <c r="G36" i="4" s="1"/>
  <c r="G35" i="4" s="1"/>
  <c r="F29" i="4"/>
  <c r="F36" i="4" s="1"/>
  <c r="F35" i="4" s="1"/>
  <c r="E29" i="4"/>
  <c r="E36" i="4" s="1"/>
  <c r="E35" i="4" s="1"/>
  <c r="D29" i="4"/>
  <c r="D36" i="4" s="1"/>
  <c r="D35" i="4" s="1"/>
  <c r="C29" i="4"/>
  <c r="C36" i="4" s="1"/>
  <c r="C35" i="4" s="1"/>
  <c r="I35" i="4" s="1"/>
  <c r="C27" i="4"/>
  <c r="L31" i="5"/>
  <c r="J29" i="5"/>
  <c r="I29" i="5"/>
  <c r="H29" i="5"/>
  <c r="M29" i="5" s="1"/>
  <c r="I28" i="5"/>
  <c r="H28" i="5"/>
  <c r="M28" i="5" s="1"/>
  <c r="L27" i="5"/>
  <c r="K27" i="5"/>
  <c r="J27" i="5"/>
  <c r="I27" i="5"/>
  <c r="H27" i="5"/>
  <c r="M27" i="5" s="1"/>
  <c r="K26" i="5"/>
  <c r="J26" i="5"/>
  <c r="I26" i="5"/>
  <c r="H26" i="5"/>
  <c r="M26" i="5" s="1"/>
  <c r="J25" i="5"/>
  <c r="I25" i="5"/>
  <c r="H25" i="5"/>
  <c r="M25" i="5" s="1"/>
  <c r="K24" i="5"/>
  <c r="J24" i="5"/>
  <c r="I24" i="5"/>
  <c r="H24" i="5"/>
  <c r="K23" i="5"/>
  <c r="J23" i="5"/>
  <c r="I23" i="5"/>
  <c r="H23" i="5"/>
  <c r="H22" i="5"/>
  <c r="J21" i="5"/>
  <c r="I21" i="5"/>
  <c r="H21" i="5"/>
  <c r="I20" i="5"/>
  <c r="H20" i="5"/>
  <c r="K19" i="5"/>
  <c r="J19" i="5"/>
  <c r="I19" i="5"/>
  <c r="H19" i="5"/>
  <c r="K18" i="5"/>
  <c r="J18" i="5"/>
  <c r="I18" i="5"/>
  <c r="H18" i="5"/>
  <c r="G31" i="5"/>
  <c r="G13" i="5"/>
  <c r="G11" i="5"/>
  <c r="G8" i="5"/>
  <c r="G6" i="5"/>
  <c r="G64" i="2"/>
  <c r="G63" i="2"/>
  <c r="G53" i="2" s="1"/>
  <c r="G51" i="2"/>
  <c r="G50" i="2"/>
  <c r="E16" i="2"/>
  <c r="D16" i="2"/>
  <c r="C16" i="2"/>
  <c r="B16" i="2"/>
  <c r="G16" i="2"/>
  <c r="F16" i="2"/>
  <c r="G32" i="2"/>
  <c r="G26" i="2"/>
  <c r="G20" i="2"/>
  <c r="F20" i="2"/>
  <c r="E20" i="2"/>
  <c r="D20" i="2"/>
  <c r="C20" i="2"/>
  <c r="B20" i="2"/>
  <c r="G23" i="2"/>
  <c r="G22" i="2"/>
  <c r="G13" i="2"/>
  <c r="H9" i="3"/>
  <c r="C7" i="4"/>
  <c r="D6" i="4"/>
  <c r="J9" i="3" s="1"/>
  <c r="G34" i="3"/>
  <c r="G27" i="3"/>
  <c r="G30" i="3" s="1"/>
  <c r="G17" i="3"/>
  <c r="G9" i="3"/>
  <c r="G18" i="2" s="1"/>
  <c r="G12" i="3" l="1"/>
  <c r="G13" i="3" s="1"/>
  <c r="G19" i="3"/>
  <c r="G11" i="2"/>
  <c r="G21" i="3"/>
  <c r="G15" i="2"/>
  <c r="G35" i="3"/>
  <c r="G28" i="3"/>
  <c r="I6" i="5"/>
  <c r="J6" i="5" s="1"/>
  <c r="K6" i="5" s="1"/>
  <c r="L6" i="5" s="1"/>
  <c r="I33" i="4"/>
  <c r="I31" i="5"/>
  <c r="J31" i="5"/>
  <c r="I9" i="3"/>
  <c r="K31" i="5"/>
  <c r="H31" i="5"/>
  <c r="M21" i="5"/>
  <c r="M18" i="5"/>
  <c r="M20" i="5"/>
  <c r="M19" i="5"/>
  <c r="G14" i="5"/>
  <c r="F6" i="4"/>
  <c r="G6" i="4" l="1"/>
  <c r="L9" i="3" s="1"/>
  <c r="K9" i="3"/>
  <c r="C11" i="2"/>
  <c r="F10" i="5"/>
  <c r="E10" i="5"/>
  <c r="D10" i="5"/>
  <c r="C10" i="5"/>
  <c r="B10" i="5"/>
  <c r="G10" i="5"/>
  <c r="G12" i="5" s="1"/>
  <c r="J24" i="2"/>
  <c r="I24" i="2"/>
  <c r="G48" i="3"/>
  <c r="B72" i="2"/>
  <c r="C72" i="2"/>
  <c r="D72" i="2"/>
  <c r="E72" i="2"/>
  <c r="F72" i="2"/>
  <c r="F23" i="2"/>
  <c r="F22" i="2"/>
  <c r="E23" i="2"/>
  <c r="E22" i="2"/>
  <c r="E21" i="2" s="1"/>
  <c r="D23" i="2"/>
  <c r="D22" i="2"/>
  <c r="E26" i="2" s="1"/>
  <c r="C22" i="2"/>
  <c r="D26" i="2" s="1"/>
  <c r="C23" i="2"/>
  <c r="B23" i="2"/>
  <c r="B22" i="2"/>
  <c r="C26" i="2" s="1"/>
  <c r="B7" i="2"/>
  <c r="C7" i="2"/>
  <c r="D7" i="2"/>
  <c r="E7" i="2"/>
  <c r="F7" i="2"/>
  <c r="B32" i="2"/>
  <c r="C32" i="2"/>
  <c r="D32" i="2"/>
  <c r="E32" i="2"/>
  <c r="F33" i="2" s="1"/>
  <c r="F32" i="2"/>
  <c r="H22" i="2"/>
  <c r="F23" i="3"/>
  <c r="F24" i="3" s="1"/>
  <c r="E23" i="3"/>
  <c r="E24" i="3" s="1"/>
  <c r="D23" i="3"/>
  <c r="D24" i="3" s="1"/>
  <c r="C23" i="3"/>
  <c r="C24" i="3" s="1"/>
  <c r="B23" i="3"/>
  <c r="B24" i="3" s="1"/>
  <c r="M22" i="5"/>
  <c r="F25" i="4"/>
  <c r="F48" i="3"/>
  <c r="H60" i="3"/>
  <c r="F50" i="2"/>
  <c r="F63" i="2"/>
  <c r="D57" i="2"/>
  <c r="E57" i="2"/>
  <c r="F30" i="3"/>
  <c r="F36" i="3" s="1"/>
  <c r="E50" i="2"/>
  <c r="E63" i="2"/>
  <c r="F77" i="2"/>
  <c r="F53" i="3" s="1"/>
  <c r="E48" i="3"/>
  <c r="D50" i="2"/>
  <c r="D63" i="2"/>
  <c r="E30" i="3"/>
  <c r="E35" i="3" s="1"/>
  <c r="E77" i="2"/>
  <c r="E53" i="3" s="1"/>
  <c r="D48" i="3"/>
  <c r="C50" i="2"/>
  <c r="D51" i="2" s="1"/>
  <c r="C63" i="2"/>
  <c r="D64" i="2" s="1"/>
  <c r="D30" i="3"/>
  <c r="D35" i="3"/>
  <c r="D77" i="2"/>
  <c r="D53" i="3"/>
  <c r="C48" i="3"/>
  <c r="B50" i="2"/>
  <c r="B51" i="2" s="1"/>
  <c r="B63" i="2"/>
  <c r="B64" i="2" s="1"/>
  <c r="C30" i="3"/>
  <c r="C35" i="3"/>
  <c r="C77" i="2"/>
  <c r="C53" i="3"/>
  <c r="B48" i="3"/>
  <c r="B49" i="3"/>
  <c r="F57" i="2"/>
  <c r="C33" i="2"/>
  <c r="F15" i="2"/>
  <c r="F13" i="2"/>
  <c r="E13" i="2"/>
  <c r="D13" i="2"/>
  <c r="C13" i="2"/>
  <c r="B13" i="2"/>
  <c r="F11" i="2"/>
  <c r="E11" i="2"/>
  <c r="D11" i="2"/>
  <c r="B11" i="2"/>
  <c r="E41" i="3"/>
  <c r="D41" i="3"/>
  <c r="C41" i="3"/>
  <c r="B41" i="3"/>
  <c r="E39" i="3"/>
  <c r="D39" i="3"/>
  <c r="C39" i="3"/>
  <c r="B39" i="3"/>
  <c r="E37" i="3"/>
  <c r="D37" i="3"/>
  <c r="C37" i="3"/>
  <c r="B37" i="3"/>
  <c r="B30" i="3"/>
  <c r="B35" i="3" s="1"/>
  <c r="F28" i="3"/>
  <c r="E28" i="3"/>
  <c r="D28" i="3"/>
  <c r="C28" i="3"/>
  <c r="B28" i="3"/>
  <c r="F21" i="3"/>
  <c r="E21" i="3"/>
  <c r="D21" i="3"/>
  <c r="C21" i="3"/>
  <c r="B21" i="3"/>
  <c r="F19" i="3"/>
  <c r="E19" i="3"/>
  <c r="D19" i="3"/>
  <c r="C19" i="3"/>
  <c r="B19" i="3"/>
  <c r="F17" i="3"/>
  <c r="E17" i="3"/>
  <c r="D17" i="3"/>
  <c r="C17" i="3"/>
  <c r="B17" i="3"/>
  <c r="F13" i="5"/>
  <c r="F14" i="5" s="1"/>
  <c r="E13" i="5"/>
  <c r="E14" i="5" s="1"/>
  <c r="D13" i="5"/>
  <c r="D14" i="5" s="1"/>
  <c r="C13" i="5"/>
  <c r="C14" i="5" s="1"/>
  <c r="B13" i="5"/>
  <c r="F13" i="3"/>
  <c r="E13" i="3"/>
  <c r="D13" i="3"/>
  <c r="C13" i="3"/>
  <c r="B13" i="3"/>
  <c r="C10" i="4"/>
  <c r="D13" i="4"/>
  <c r="D14" i="4" s="1"/>
  <c r="F10" i="3"/>
  <c r="E10" i="3"/>
  <c r="D10" i="3"/>
  <c r="C10" i="3"/>
  <c r="B33" i="2"/>
  <c r="F18" i="2"/>
  <c r="D33" i="2"/>
  <c r="E18" i="2"/>
  <c r="D18" i="2"/>
  <c r="C18" i="2"/>
  <c r="B18" i="2"/>
  <c r="E15" i="2"/>
  <c r="D15" i="2"/>
  <c r="C15" i="2"/>
  <c r="B15" i="2"/>
  <c r="C25" i="4"/>
  <c r="D25" i="4"/>
  <c r="E25" i="4"/>
  <c r="B25" i="4"/>
  <c r="F11" i="5"/>
  <c r="F12" i="5" s="1"/>
  <c r="E11" i="5"/>
  <c r="D11" i="5"/>
  <c r="C11" i="5"/>
  <c r="B11" i="5"/>
  <c r="D49" i="3" l="1"/>
  <c r="H25" i="4"/>
  <c r="L20" i="3"/>
  <c r="L18" i="3"/>
  <c r="L12" i="3"/>
  <c r="L11" i="3" s="1"/>
  <c r="L27" i="3"/>
  <c r="M24" i="5"/>
  <c r="M23" i="5"/>
  <c r="E12" i="5"/>
  <c r="D12" i="5"/>
  <c r="C12" i="5"/>
  <c r="H54" i="2"/>
  <c r="F64" i="2"/>
  <c r="C21" i="2"/>
  <c r="C34" i="2" s="1"/>
  <c r="C73" i="2" s="1"/>
  <c r="F51" i="2"/>
  <c r="E64" i="2"/>
  <c r="B21" i="2"/>
  <c r="B34" i="2" s="1"/>
  <c r="B73" i="2" s="1"/>
  <c r="B26" i="2"/>
  <c r="E33" i="2"/>
  <c r="E51" i="2"/>
  <c r="F26" i="2"/>
  <c r="F75" i="2"/>
  <c r="F50" i="3" s="1"/>
  <c r="E75" i="2"/>
  <c r="E50" i="3" s="1"/>
  <c r="C75" i="2"/>
  <c r="C50" i="3" s="1"/>
  <c r="F21" i="2"/>
  <c r="E34" i="2"/>
  <c r="E73" i="2" s="1"/>
  <c r="D21" i="2"/>
  <c r="E76" i="2" s="1"/>
  <c r="E51" i="3" s="1"/>
  <c r="C64" i="2"/>
  <c r="G77" i="2"/>
  <c r="G53" i="3" s="1"/>
  <c r="C76" i="2"/>
  <c r="C51" i="3" s="1"/>
  <c r="D75" i="2"/>
  <c r="D50" i="3" s="1"/>
  <c r="C51" i="2"/>
  <c r="H25" i="2"/>
  <c r="H48" i="3" s="1"/>
  <c r="C15" i="4"/>
  <c r="E13" i="4"/>
  <c r="E14" i="4" s="1"/>
  <c r="D10" i="4"/>
  <c r="H67" i="2" s="1"/>
  <c r="F41" i="3"/>
  <c r="F37" i="3"/>
  <c r="F39" i="3"/>
  <c r="C49" i="3"/>
  <c r="F35" i="3"/>
  <c r="E49" i="3"/>
  <c r="F49" i="3"/>
  <c r="G7" i="5"/>
  <c r="G9" i="5"/>
  <c r="D7" i="4"/>
  <c r="E7" i="4"/>
  <c r="E52" i="3" l="1"/>
  <c r="E54" i="3" s="1"/>
  <c r="I22" i="2"/>
  <c r="J22" i="2" s="1"/>
  <c r="J25" i="2" s="1"/>
  <c r="J48" i="3" s="1"/>
  <c r="C52" i="3"/>
  <c r="C54" i="3" s="1"/>
  <c r="F76" i="2"/>
  <c r="F51" i="3" s="1"/>
  <c r="F52" i="3" s="1"/>
  <c r="F54" i="3" s="1"/>
  <c r="F34" i="2"/>
  <c r="F73" i="2" s="1"/>
  <c r="D76" i="2"/>
  <c r="D51" i="3" s="1"/>
  <c r="D52" i="3" s="1"/>
  <c r="D54" i="3" s="1"/>
  <c r="D34" i="2"/>
  <c r="D73" i="2" s="1"/>
  <c r="H23" i="2"/>
  <c r="G21" i="2"/>
  <c r="G76" i="2" s="1"/>
  <c r="G51" i="3" s="1"/>
  <c r="D15" i="4"/>
  <c r="E10" i="4"/>
  <c r="F13" i="4"/>
  <c r="F14" i="4" s="1"/>
  <c r="H12" i="3"/>
  <c r="H11" i="3" s="1"/>
  <c r="H12" i="2" s="1"/>
  <c r="H14" i="2"/>
  <c r="I14" i="2" s="1"/>
  <c r="I10" i="2"/>
  <c r="F7" i="4"/>
  <c r="G23" i="3"/>
  <c r="H20" i="3"/>
  <c r="H18" i="3"/>
  <c r="H27" i="3"/>
  <c r="H32" i="2"/>
  <c r="G37" i="2"/>
  <c r="G7" i="2"/>
  <c r="G75" i="2" s="1"/>
  <c r="H17" i="2"/>
  <c r="I18" i="3"/>
  <c r="I20" i="3"/>
  <c r="I12" i="3"/>
  <c r="I11" i="3" s="1"/>
  <c r="I27" i="3"/>
  <c r="I54" i="2" l="1"/>
  <c r="I25" i="2"/>
  <c r="I48" i="3" s="1"/>
  <c r="K22" i="2"/>
  <c r="I12" i="2"/>
  <c r="H19" i="2"/>
  <c r="I19" i="2" s="1"/>
  <c r="I17" i="2"/>
  <c r="J17" i="2" s="1"/>
  <c r="H38" i="2"/>
  <c r="H77" i="2" s="1"/>
  <c r="H53" i="3" s="1"/>
  <c r="H10" i="5"/>
  <c r="H7" i="5" s="1"/>
  <c r="H13" i="5"/>
  <c r="H14" i="3" s="1"/>
  <c r="H21" i="2"/>
  <c r="I23" i="2"/>
  <c r="L22" i="2"/>
  <c r="K25" i="2"/>
  <c r="K48" i="3" s="1"/>
  <c r="E15" i="4"/>
  <c r="F10" i="4"/>
  <c r="G13" i="4"/>
  <c r="G14" i="4" s="1"/>
  <c r="J10" i="2"/>
  <c r="G36" i="3"/>
  <c r="H76" i="2"/>
  <c r="H51" i="3" s="1"/>
  <c r="I32" i="2"/>
  <c r="J32" i="2" s="1"/>
  <c r="G49" i="3"/>
  <c r="G24" i="3"/>
  <c r="G34" i="2"/>
  <c r="G50" i="3"/>
  <c r="H63" i="2"/>
  <c r="H53" i="2" s="1"/>
  <c r="G7" i="4"/>
  <c r="G36" i="2"/>
  <c r="H50" i="2"/>
  <c r="J12" i="3"/>
  <c r="J11" i="3" s="1"/>
  <c r="J20" i="3"/>
  <c r="J27" i="3"/>
  <c r="J18" i="3"/>
  <c r="J14" i="2"/>
  <c r="H16" i="2" l="1"/>
  <c r="G41" i="3"/>
  <c r="G39" i="3"/>
  <c r="G37" i="3"/>
  <c r="J54" i="2"/>
  <c r="K54" i="2"/>
  <c r="J19" i="2"/>
  <c r="H37" i="2"/>
  <c r="H36" i="2" s="1"/>
  <c r="I38" i="2"/>
  <c r="I77" i="2" s="1"/>
  <c r="I53" i="3" s="1"/>
  <c r="I10" i="5"/>
  <c r="I7" i="5" s="1"/>
  <c r="I13" i="5"/>
  <c r="I14" i="3" s="1"/>
  <c r="H9" i="5"/>
  <c r="H11" i="5"/>
  <c r="H16" i="3" s="1"/>
  <c r="H15" i="3" s="1"/>
  <c r="H22" i="3" s="1"/>
  <c r="L25" i="2"/>
  <c r="L48" i="3" s="1"/>
  <c r="J23" i="2"/>
  <c r="I21" i="2"/>
  <c r="I76" i="2" s="1"/>
  <c r="I51" i="3" s="1"/>
  <c r="G15" i="4"/>
  <c r="G10" i="4"/>
  <c r="F15" i="4"/>
  <c r="J12" i="2"/>
  <c r="K10" i="2"/>
  <c r="L10" i="2" s="1"/>
  <c r="K20" i="3"/>
  <c r="K18" i="3"/>
  <c r="K27" i="3"/>
  <c r="K32" i="2"/>
  <c r="L32" i="2" s="1"/>
  <c r="K12" i="3"/>
  <c r="K11" i="3" s="1"/>
  <c r="K17" i="2"/>
  <c r="K14" i="2"/>
  <c r="L14" i="2" s="1"/>
  <c r="I50" i="2"/>
  <c r="G52" i="3"/>
  <c r="I63" i="2"/>
  <c r="I53" i="2" s="1"/>
  <c r="I37" i="2" l="1"/>
  <c r="K19" i="2"/>
  <c r="L19" i="2" s="1"/>
  <c r="I16" i="2"/>
  <c r="L17" i="2"/>
  <c r="I9" i="5"/>
  <c r="I11" i="5"/>
  <c r="I16" i="3" s="1"/>
  <c r="I15" i="3" s="1"/>
  <c r="I22" i="3" s="1"/>
  <c r="H23" i="3"/>
  <c r="H30" i="3"/>
  <c r="H34" i="3" s="1"/>
  <c r="H36" i="3" s="1"/>
  <c r="J38" i="2"/>
  <c r="J77" i="2" s="1"/>
  <c r="J53" i="3" s="1"/>
  <c r="J13" i="5"/>
  <c r="J14" i="3" s="1"/>
  <c r="J10" i="5"/>
  <c r="L54" i="2"/>
  <c r="K23" i="2"/>
  <c r="K21" i="2" s="1"/>
  <c r="K16" i="2" s="1"/>
  <c r="J21" i="2"/>
  <c r="J16" i="2" s="1"/>
  <c r="K12" i="2"/>
  <c r="G66" i="2"/>
  <c r="G72" i="2" s="1"/>
  <c r="G73" i="2" s="1"/>
  <c r="I36" i="2"/>
  <c r="G54" i="3"/>
  <c r="J63" i="2"/>
  <c r="J53" i="2" s="1"/>
  <c r="J50" i="2"/>
  <c r="H40" i="3" l="1"/>
  <c r="H42" i="3" s="1"/>
  <c r="H45" i="3" s="1"/>
  <c r="H46" i="3" s="1"/>
  <c r="C41" i="4"/>
  <c r="H37" i="3"/>
  <c r="I30" i="3"/>
  <c r="I34" i="3" s="1"/>
  <c r="I36" i="3" s="1"/>
  <c r="D41" i="4" s="1"/>
  <c r="I23" i="3"/>
  <c r="I49" i="3" s="1"/>
  <c r="H38" i="3"/>
  <c r="H66" i="2"/>
  <c r="H72" i="2" s="1"/>
  <c r="K38" i="2"/>
  <c r="K77" i="2" s="1"/>
  <c r="K53" i="3" s="1"/>
  <c r="K13" i="5"/>
  <c r="K14" i="3" s="1"/>
  <c r="K10" i="5"/>
  <c r="J37" i="2"/>
  <c r="J36" i="2" s="1"/>
  <c r="C42" i="4"/>
  <c r="C43" i="4" s="1"/>
  <c r="H24" i="3"/>
  <c r="H49" i="3"/>
  <c r="K76" i="2"/>
  <c r="K51" i="3" s="1"/>
  <c r="L23" i="2"/>
  <c r="L21" i="2" s="1"/>
  <c r="L76" i="2" s="1"/>
  <c r="L51" i="3" s="1"/>
  <c r="J76" i="2"/>
  <c r="J51" i="3" s="1"/>
  <c r="L12" i="2"/>
  <c r="K50" i="2"/>
  <c r="K63" i="2"/>
  <c r="H8" i="2" l="1"/>
  <c r="H7" i="2" s="1"/>
  <c r="L16" i="2"/>
  <c r="I24" i="3"/>
  <c r="L13" i="5"/>
  <c r="L14" i="3" s="1"/>
  <c r="L38" i="2"/>
  <c r="L77" i="2" s="1"/>
  <c r="L53" i="3" s="1"/>
  <c r="L10" i="5"/>
  <c r="K37" i="2"/>
  <c r="L50" i="2"/>
  <c r="K53" i="2"/>
  <c r="L63" i="2"/>
  <c r="L53" i="2" s="1"/>
  <c r="I38" i="3"/>
  <c r="I40" i="3"/>
  <c r="I42" i="3" s="1"/>
  <c r="I67" i="2"/>
  <c r="I37" i="3"/>
  <c r="H34" i="2" l="1"/>
  <c r="H73" i="2" s="1"/>
  <c r="H75" i="2"/>
  <c r="H50" i="3" s="1"/>
  <c r="H52" i="3" s="1"/>
  <c r="K36" i="2"/>
  <c r="L37" i="2"/>
  <c r="L36" i="2" s="1"/>
  <c r="L11" i="5"/>
  <c r="L16" i="3" s="1"/>
  <c r="L15" i="3" s="1"/>
  <c r="L22" i="3" s="1"/>
  <c r="L9" i="5"/>
  <c r="L7" i="5"/>
  <c r="D42" i="4"/>
  <c r="D43" i="4" s="1"/>
  <c r="I66" i="2"/>
  <c r="I72" i="2" s="1"/>
  <c r="J9" i="5"/>
  <c r="J7" i="5"/>
  <c r="J11" i="5"/>
  <c r="J16" i="3" s="1"/>
  <c r="J15" i="3" s="1"/>
  <c r="J22" i="3" s="1"/>
  <c r="I8" i="2" l="1"/>
  <c r="I7" i="2" s="1"/>
  <c r="H54" i="3"/>
  <c r="L23" i="3"/>
  <c r="L30" i="3"/>
  <c r="L34" i="3" s="1"/>
  <c r="L36" i="3" s="1"/>
  <c r="J30" i="3"/>
  <c r="J23" i="3"/>
  <c r="L37" i="3" l="1"/>
  <c r="L24" i="3"/>
  <c r="L49" i="3"/>
  <c r="I34" i="2"/>
  <c r="I73" i="2" s="1"/>
  <c r="I75" i="2"/>
  <c r="I50" i="3" s="1"/>
  <c r="I52" i="3" s="1"/>
  <c r="L38" i="3"/>
  <c r="L40" i="3"/>
  <c r="L42" i="3" s="1"/>
  <c r="J24" i="3"/>
  <c r="J49" i="3"/>
  <c r="J34" i="3"/>
  <c r="J36" i="3" s="1"/>
  <c r="E41" i="4" s="1"/>
  <c r="I54" i="3" l="1"/>
  <c r="J38" i="3"/>
  <c r="J37" i="3"/>
  <c r="J40" i="3"/>
  <c r="J42" i="3" s="1"/>
  <c r="J67" i="2"/>
  <c r="J66" i="2" l="1"/>
  <c r="J72" i="2" s="1"/>
  <c r="E42" i="4"/>
  <c r="E43" i="4" s="1"/>
  <c r="K9" i="5"/>
  <c r="K7" i="5"/>
  <c r="K11" i="5"/>
  <c r="K16" i="3" s="1"/>
  <c r="K15" i="3" s="1"/>
  <c r="K22" i="3" s="1"/>
  <c r="J8" i="2" l="1"/>
  <c r="J7" i="2" s="1"/>
  <c r="K30" i="3"/>
  <c r="K23" i="3"/>
  <c r="J75" i="2" l="1"/>
  <c r="J50" i="3" s="1"/>
  <c r="J52" i="3" s="1"/>
  <c r="J34" i="2"/>
  <c r="J73" i="2" s="1"/>
  <c r="K24" i="3"/>
  <c r="K49" i="3"/>
  <c r="K34" i="3"/>
  <c r="K36" i="3" s="1"/>
  <c r="J54" i="3" l="1"/>
  <c r="K40" i="3"/>
  <c r="K42" i="3" s="1"/>
  <c r="F42" i="4"/>
  <c r="K67" i="2"/>
  <c r="K38" i="3"/>
  <c r="K37" i="3"/>
  <c r="K66" i="2" l="1"/>
  <c r="K72" i="2" s="1"/>
  <c r="L67" i="2"/>
  <c r="L66" i="2" s="1"/>
  <c r="L72" i="2" s="1"/>
  <c r="L8" i="2" l="1"/>
  <c r="L7" i="2" s="1"/>
  <c r="K8" i="2"/>
  <c r="K7" i="2" s="1"/>
  <c r="K34" i="2" l="1"/>
  <c r="K73" i="2" s="1"/>
  <c r="K75" i="2"/>
  <c r="K50" i="3" s="1"/>
  <c r="K52" i="3" s="1"/>
  <c r="L34" i="2"/>
  <c r="L73" i="2" s="1"/>
  <c r="L75" i="2"/>
  <c r="L50" i="3" s="1"/>
  <c r="L52" i="3" s="1"/>
  <c r="E7" i="5"/>
  <c r="E9" i="5"/>
  <c r="D7" i="5"/>
  <c r="D9" i="5"/>
  <c r="B7" i="5"/>
  <c r="B9" i="5"/>
  <c r="F7" i="5"/>
  <c r="F9" i="5"/>
  <c r="C7" i="5"/>
  <c r="C9" i="5"/>
  <c r="L54" i="3" l="1"/>
  <c r="K54" i="3"/>
  <c r="M54" i="3" s="1"/>
  <c r="M52" i="3" l="1"/>
  <c r="H61" i="3"/>
  <c r="H66" i="3"/>
  <c r="H69" i="3"/>
  <c r="I69" i="3"/>
  <c r="J69" i="3"/>
  <c r="K69" i="3"/>
  <c r="L69" i="3"/>
  <c r="M69" i="3"/>
  <c r="H70" i="3"/>
  <c r="H71" i="3"/>
  <c r="H7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tc={74BC48F2-3BAA-3B47-B75C-16971655FF7F}</author>
    <author>tc={91721959-9587-2E4A-A8F5-3A73EF03F92C}</author>
    <author>tc={85C8934E-ED51-0149-AE23-32A77017FDFA}</author>
    <author>tc={47B974B7-5E31-4142-8675-74FE40C2DE38}</author>
    <author>tc={880E594F-7801-6E4F-8859-776EA0EF51CB}</author>
    <author>tc={0D8F6FC1-4787-3C41-91BA-CCAF0D48B2F5}</author>
    <author>tc={C8E616DA-DF35-5847-89A3-6B4C65A83358}</author>
    <author>tc={40547569-2B05-A74A-A87F-CF9B9D644BB8}</author>
    <author>tc={9C537D83-4482-F84D-A5AA-B29280A5A15A}</author>
    <author>tc={0BCC4262-85A2-4440-8DE2-10D405C48238}</author>
    <author>tc={739BBB70-8C2F-5A4C-91A9-2ADB07FC11E9}</author>
    <author>tc={7AB6E5BB-1D85-0945-9AD2-94F7B487F361}</author>
    <author>tc={7CA3F04F-C007-D04F-8835-55FD02E6134F}</author>
    <author>tc={A4A919AB-5972-5D46-9EA4-8EDE9A60C6EF}</author>
    <author>tc={C2F59663-DE0D-B345-8836-4FA34D70F2A7}</author>
  </authors>
  <commentList>
    <comment ref="H19" authorId="0" shapeId="0" xr:uid="{74BC48F2-3BAA-3B47-B75C-16971655FF7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Giả định bằng năm 2020
</t>
      </text>
    </comment>
    <comment ref="I19" authorId="1" shapeId="0" xr:uid="{91721959-9587-2E4A-A8F5-3A73EF03F92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Giả định bằng năm 2020
</t>
      </text>
    </comment>
    <comment ref="J19" authorId="2" shapeId="0" xr:uid="{85C8934E-ED51-0149-AE23-32A77017FDF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Giả định bằng năm 2020
</t>
      </text>
    </comment>
    <comment ref="K19" authorId="3" shapeId="0" xr:uid="{47B974B7-5E31-4142-8675-74FE40C2DE3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Giả định bằng năm 2020
</t>
      </text>
    </comment>
    <comment ref="L19" authorId="4" shapeId="0" xr:uid="{880E594F-7801-6E4F-8859-776EA0EF51C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Giả định bằng năm 2020
</t>
      </text>
    </comment>
    <comment ref="H21" authorId="5" shapeId="0" xr:uid="{0D8F6FC1-4787-3C41-91BA-CCAF0D48B2F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Giả định bằng năm 2020
</t>
      </text>
    </comment>
    <comment ref="I21" authorId="6" shapeId="0" xr:uid="{C8E616DA-DF35-5847-89A3-6B4C65A833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Giả định bằng năm 2020
</t>
      </text>
    </comment>
    <comment ref="J21" authorId="7" shapeId="0" xr:uid="{40547569-2B05-A74A-A87F-CF9B9D644BB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Giả định bằng năm 2020
</t>
      </text>
    </comment>
    <comment ref="K21" authorId="8" shapeId="0" xr:uid="{9C537D83-4482-F84D-A5AA-B29280A5A15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Giả định bằng năm 2020
</t>
      </text>
    </comment>
    <comment ref="L21" authorId="9" shapeId="0" xr:uid="{0BCC4262-85A2-4440-8DE2-10D405C4823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Giả định bằng năm 2020
</t>
      </text>
    </comment>
    <comment ref="H28" authorId="10" shapeId="0" xr:uid="{739BBB70-8C2F-5A4C-91A9-2ADB07FC11E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Giả định bằng năm 2020
</t>
      </text>
    </comment>
    <comment ref="I28" authorId="11" shapeId="0" xr:uid="{7AB6E5BB-1D85-0945-9AD2-94F7B487F36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Giả định bằng năm 2020
</t>
      </text>
    </comment>
    <comment ref="J28" authorId="12" shapeId="0" xr:uid="{7CA3F04F-C007-D04F-8835-55FD02E6134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Giả định bằng năm 2020
</t>
      </text>
    </comment>
    <comment ref="K28" authorId="13" shapeId="0" xr:uid="{A4A919AB-5972-5D46-9EA4-8EDE9A60C6E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Giả định bằng năm 2020
</t>
      </text>
    </comment>
    <comment ref="L28" authorId="14" shapeId="0" xr:uid="{C2F59663-DE0D-B345-8836-4FA34D70F2A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Giả định bằng năm 2020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tc={72EC353E-CC15-8848-9BCE-F8CB4DA9D0F0}</author>
    <author>tc={525C53FE-9B2D-1C42-B6F1-B4072B1D1AAF}</author>
  </authors>
  <commentList>
    <comment ref="A21" authorId="0" shapeId="0" xr:uid="{72EC353E-CC15-8848-9BCE-F8CB4DA9D0F0}">
      <text>
        <t>[Threaded comment]
Your version of Excel allows you to read this threaded comment; however, any edits to it will get removed if the file is opened in a newer version of Excel. Learn more: https://go.microsoft.com/fwlink/?linkid=870924
Comment:
    Bao gồm (HH+VH+ThuêTC+BĐSĐT)</t>
      </text>
    </comment>
    <comment ref="A25" authorId="1" shapeId="0" xr:uid="{525C53FE-9B2D-1C42-B6F1-B4072B1D1AAF}">
      <text>
        <t>[Threaded comment]
Your version of Excel allows you to read this threaded comment; however, any edits to it will get removed if the file is opened in a newer version of Excel. Learn more: https://go.microsoft.com/fwlink/?linkid=870924
Comment:
    Trên Báo cáo Lưu chuyển tiền tệ phương pháp gián tiếp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tc={EB15CF14-EDCF-3543-BA68-D8DD9879AD8F}</author>
    <author>tc={17584F8D-0262-B64B-966B-CF6AD98A00FC}</author>
  </authors>
  <commentList>
    <comment ref="C25" authorId="0" shapeId="0" xr:uid="{EB15CF14-EDCF-3543-BA68-D8DD9879AD8F}">
      <text>
        <t>[Threaded comment]
Your version of Excel allows you to read this threaded comment; however, any edits to it will get removed if the file is opened in a newer version of Excel. Learn more: https://go.microsoft.com/fwlink/?linkid=870924
Comment:
    Dự kiến bắt đầu đầu tư từ năm 2022</t>
      </text>
    </comment>
    <comment ref="F28" authorId="1" shapeId="0" xr:uid="{17584F8D-0262-B64B-966B-CF6AD98A00F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Tăng theo tốc độ tăng doanh thu 15% so với mức tăng dự báo năm trước </t>
      </text>
    </comment>
  </commentList>
</comments>
</file>

<file path=xl/sharedStrings.xml><?xml version="1.0" encoding="utf-8"?>
<sst xmlns="http://schemas.openxmlformats.org/spreadsheetml/2006/main" count="250" uniqueCount="201">
  <si>
    <t>FCFF</t>
  </si>
  <si>
    <t>FCFE</t>
  </si>
  <si>
    <t>WACC</t>
  </si>
  <si>
    <t>(Đã kiểm toán)</t>
  </si>
  <si>
    <t>TÀI SẢN</t>
  </si>
  <si>
    <t>A: Tài sản ngắn hạn</t>
  </si>
  <si>
    <t>I. Tiền và tương đương tiền</t>
  </si>
  <si>
    <t>II. Giá trị thuần đầu tư ngắn hạn</t>
  </si>
  <si>
    <t>III. Các khoản phải thu</t>
  </si>
  <si>
    <t>IV. Hàng tồn kho, ròng</t>
  </si>
  <si>
    <t>V. Tài sản lưu động khác</t>
  </si>
  <si>
    <t>B. Tài sản dài hạn</t>
  </si>
  <si>
    <t>I. Phải thu dài hạn</t>
  </si>
  <si>
    <t>II. Tài sản cố định</t>
  </si>
  <si>
    <t>III. Giá trị ròng tài sản đầu tư</t>
  </si>
  <si>
    <t>IV. Đầu tư dài hạn</t>
  </si>
  <si>
    <t>V. Tài sản dài hạn khác</t>
  </si>
  <si>
    <t>VI. Lợi thế thương mại</t>
  </si>
  <si>
    <t>TỔNG CỘNG TÀI SẢN</t>
  </si>
  <si>
    <t>NGUỒN VỐN</t>
  </si>
  <si>
    <t>A. Nợ phải trả</t>
  </si>
  <si>
    <t>I. Nợ ngắn hạn</t>
  </si>
  <si>
    <t>1. Vay ngắn hạn</t>
  </si>
  <si>
    <t>2. Phải trả nhà cung cấp ngắn hạn</t>
  </si>
  <si>
    <t>3. Tạm ứng của khách hàng</t>
  </si>
  <si>
    <t>4. Các khoản phải trả về thuế</t>
  </si>
  <si>
    <t>5. Phải trả người lao động</t>
  </si>
  <si>
    <t>6. Chi phí phải trả</t>
  </si>
  <si>
    <t>7. Phải trả nội bộ</t>
  </si>
  <si>
    <t>9. Phải trả khác</t>
  </si>
  <si>
    <t>10. Dự phòng các khoản phải trả ngắn hạn</t>
  </si>
  <si>
    <t>II. Nợ dài hạn</t>
  </si>
  <si>
    <t>1. Phải trả nhà cung cấp dài hạn</t>
  </si>
  <si>
    <t>3. Phải trả dài hạn khác</t>
  </si>
  <si>
    <t>4. Vay dài hạn</t>
  </si>
  <si>
    <t>5. Thuế thu nhập hoãn lại phải trả</t>
  </si>
  <si>
    <t>7. Dự phòng các khoản công nợ dài hạn</t>
  </si>
  <si>
    <t>B. Vốn chủ sở hữu</t>
  </si>
  <si>
    <t>I. Vốn và các quỹ</t>
  </si>
  <si>
    <t>II. Vốn ngân sách nhà nước và quỹ khác</t>
  </si>
  <si>
    <t>1. Quỹ khen thưởng, phúc lợi</t>
  </si>
  <si>
    <t>2. Vốn ngân sách nhà nước</t>
  </si>
  <si>
    <t>C. Lợi ích cổ đông thiểu số</t>
  </si>
  <si>
    <t>TỔNG CỘNG NGUỒN VỐN</t>
  </si>
  <si>
    <t>1. Doanh số</t>
  </si>
  <si>
    <t>2. Các khoản giảm trừ</t>
  </si>
  <si>
    <t>3. Doanh số thuần</t>
  </si>
  <si>
    <t>4. Giá vốn hàng bán</t>
  </si>
  <si>
    <t>5. Lãi gộp</t>
  </si>
  <si>
    <t>6. Thu nhập tài chính</t>
  </si>
  <si>
    <t>7. Chi phí tài chính</t>
  </si>
  <si>
    <t>- Trong đó: Chi phí lãi vay</t>
  </si>
  <si>
    <t>8. Chi phí bán hàng</t>
  </si>
  <si>
    <t>9. Chi phí quản lý doanh nghiệp</t>
  </si>
  <si>
    <t>10. Lãi/(lỗ) từ hoạt động kinh doanh</t>
  </si>
  <si>
    <t>11. Thu nhập khác</t>
  </si>
  <si>
    <t>12. Chi phí khác</t>
  </si>
  <si>
    <t>13. Thu nhập khác, ròng</t>
  </si>
  <si>
    <t>13b. Lãi/(lỗ) từ công ty liên doanh</t>
  </si>
  <si>
    <t>14. Lãi/(lỗ) ròng trước thuế</t>
  </si>
  <si>
    <t>15. Thuế thu nhập doanh nghiệp – hiện thời</t>
  </si>
  <si>
    <t>16. Thuế thu nhập doanh nghiệp – hoãn lại</t>
  </si>
  <si>
    <t>17. Chi phí thuế thu nhập doanh nghiệp</t>
  </si>
  <si>
    <t>18. Lãi/(lỗ) thuần sau thuế</t>
  </si>
  <si>
    <t>19. Lợi ích cổ đông thiểu số</t>
  </si>
  <si>
    <t>20. Cổ đông của Công ty mẹ</t>
  </si>
  <si>
    <t>Đơn vị: Tỷ đồng</t>
  </si>
  <si>
    <t>Terminal Value</t>
  </si>
  <si>
    <t>Dự báo</t>
  </si>
  <si>
    <t>BẢNG CÂN ĐỐI KẾ TOÁN - HPG</t>
  </si>
  <si>
    <t>BÁO CÁO KẾT QUẢ KINH DOANH - HPG</t>
  </si>
  <si>
    <t>Kế hoạch doanh thu</t>
  </si>
  <si>
    <t>Công suất dự kiến: 5,6tr tấn/năm</t>
  </si>
  <si>
    <t xml:space="preserve"> - Thép dẹt: 4,6tr tấn/năm</t>
  </si>
  <si>
    <t xml:space="preserve"> - Thép thanh, dây: 1tr tấn/năm</t>
  </si>
  <si>
    <t>Diên tích đất: 283,73ha</t>
  </si>
  <si>
    <t>Địa điểm: H. Bình Sơn, Quảng Ngãi</t>
  </si>
  <si>
    <t>Tổng mức đầu tư dự kiến</t>
  </si>
  <si>
    <t>DỰ ÁN ĐẦU TƯ</t>
  </si>
  <si>
    <t xml:space="preserve"> - Vốn cố định dự kiến</t>
  </si>
  <si>
    <t xml:space="preserve"> - Vốn lưu động dự kiến</t>
  </si>
  <si>
    <t>Thời gian thực hiện 36 tháng kể từ ngày được bàn giao đất và cấp giấy phép xây dựng</t>
  </si>
  <si>
    <t>Tốc độ tăng trưởng doanh thu</t>
  </si>
  <si>
    <t>Biên lãi gộp</t>
  </si>
  <si>
    <t>Vay dài hạn</t>
  </si>
  <si>
    <t>Vay ngắn hạn</t>
  </si>
  <si>
    <t>Tổng cộng</t>
  </si>
  <si>
    <t>Chi phí lãi vay</t>
  </si>
  <si>
    <t>Tỷ trọng trên doanh thu</t>
  </si>
  <si>
    <t>Lợi nhuận trước Lãi vay, Thuế (EBIT)</t>
  </si>
  <si>
    <t>EBIT/Doanh thu</t>
  </si>
  <si>
    <t>Lợi nhuận khác/Doanh thu</t>
  </si>
  <si>
    <t>Lợi nhuận trước thuế/Doanh thu</t>
  </si>
  <si>
    <t>Tỷ suất Thuế/Lợi nhuận trước thuế</t>
  </si>
  <si>
    <t>Thu nhập tài chính</t>
  </si>
  <si>
    <t>Tổng cộng Vay</t>
  </si>
  <si>
    <t>Số lượng cổ phiếu phổ thông lưu hành</t>
  </si>
  <si>
    <t>Đơn vị: Triệu đồng</t>
  </si>
  <si>
    <t>Tỷ trọng Vay ngắn hạn</t>
  </si>
  <si>
    <t>Tỷ trọng Vay dài hạn</t>
  </si>
  <si>
    <t>Tỷ trọng Lãi vay/Chi phí tài chính</t>
  </si>
  <si>
    <t>THÔNG TIN PHỤC VỤ DỰ BÁO</t>
  </si>
  <si>
    <t>Nguồn: Nghị quyết ĐHCĐ thường niên, nghị quyết HĐQT</t>
  </si>
  <si>
    <t>Kế hoạch lợi nhuận sau thuế</t>
  </si>
  <si>
    <t>Tỷ suất Lợi nhuận sau thuế/Doanh thu</t>
  </si>
  <si>
    <t xml:space="preserve"> - Năm hiện tại (cp)</t>
  </si>
  <si>
    <t xml:space="preserve"> - Năm dự báo (cp)</t>
  </si>
  <si>
    <t>Nguồn vốn bổ sung cho dự án</t>
  </si>
  <si>
    <t xml:space="preserve"> - Vay dài hạn</t>
  </si>
  <si>
    <t xml:space="preserve"> - Vốn chủ sở hữu</t>
  </si>
  <si>
    <t xml:space="preserve"> - Vay ngắn hạn</t>
  </si>
  <si>
    <t>Dự toán</t>
  </si>
  <si>
    <t>Lợi nhuận sau thuế - Cổ tức bằng tiền</t>
  </si>
  <si>
    <t>Thừa/(Thiếu) vốn đầu tư</t>
  </si>
  <si>
    <t>Tỷ trọng Lợi ích cổ đông thiểu số</t>
  </si>
  <si>
    <t>Tỷ trọng Lợi ích cổ đông của công ty mẹ</t>
  </si>
  <si>
    <t>21. Lãi cơ bản trên cổ phiếu (EPS)</t>
  </si>
  <si>
    <t>P/E</t>
  </si>
  <si>
    <t>Định giá cổ phiếu theo P/E</t>
  </si>
  <si>
    <t>Định giá Vốn Chủ sở hữu (Equity Value) theo P/E</t>
  </si>
  <si>
    <t>Vòng quay các khoản phải thu</t>
  </si>
  <si>
    <t>Vòng quay hàng tồn kho</t>
  </si>
  <si>
    <t>Vòng quay tài sản lưu động khác</t>
  </si>
  <si>
    <t>Vòng quay các khoản tài sản dài hạn khác</t>
  </si>
  <si>
    <t>Cộng các khoản tài sản dài hạn khác</t>
  </si>
  <si>
    <t>XDCBDD</t>
  </si>
  <si>
    <t>11. Quỹ khen thưởng phúc lợi</t>
  </si>
  <si>
    <t>8. Doanh thu chưa thực hiện</t>
  </si>
  <si>
    <t>Cộng các khoản nợ ngắn hạn khác</t>
  </si>
  <si>
    <t>Vòng quay các khoản nợ ngắn hạn khác</t>
  </si>
  <si>
    <t>Cộng các khoản nợ dài hạn khác</t>
  </si>
  <si>
    <t>Vòng quay các khoản nợ dài hạn khác</t>
  </si>
  <si>
    <t>2. Chi phí phải trả dài hạn</t>
  </si>
  <si>
    <t>6. Doanh thu chưa thực hiện dài hạn</t>
  </si>
  <si>
    <t>Khu liên hợp sản xuất gang thép Hoà Phát Dung Quất 2</t>
  </si>
  <si>
    <t>Tỷ lệ khấu hao</t>
  </si>
  <si>
    <t>Chi phí khấu hao</t>
  </si>
  <si>
    <t>EBITDA</t>
  </si>
  <si>
    <t>(Tăng)/Giảm CAPEX</t>
  </si>
  <si>
    <t>(Tăng)/Giảm Vốn lưu động</t>
  </si>
  <si>
    <t>Tăng/(Giảm) gốc vay</t>
  </si>
  <si>
    <t>Lãi suất phi rủi ro (Rf)</t>
  </si>
  <si>
    <t>Rm - Rf</t>
  </si>
  <si>
    <t>Country Default Spread</t>
  </si>
  <si>
    <t>Beta</t>
  </si>
  <si>
    <t>Ke</t>
  </si>
  <si>
    <t>Kd (Sau thuế)</t>
  </si>
  <si>
    <t>EV (Enterprise Value - Giá trị công ty)</t>
  </si>
  <si>
    <t>Giá trị hiện tại (PV) của FCFF</t>
  </si>
  <si>
    <t>ƯỚC TÍNH KẾ HOẠCH TRẢ NỢ VAY DÀI HẠN</t>
  </si>
  <si>
    <t>Vietinbank CN Hà Nội</t>
  </si>
  <si>
    <t>VCB CN Thành Công</t>
  </si>
  <si>
    <t>Kỳ hạn</t>
  </si>
  <si>
    <t xml:space="preserve">BNP Baribas </t>
  </si>
  <si>
    <t>HSBC</t>
  </si>
  <si>
    <t>Quỹ bảo vệ môi trường</t>
  </si>
  <si>
    <t>Giá trị nội tại cổ phiếu</t>
  </si>
  <si>
    <t>DÒNG TIỀN TỰ DO VÀ ĐỊNH GIÁ CÔNG TY</t>
  </si>
  <si>
    <t>Tỷ lệ tăng trưởng đều (g) (Tăng trưởng GDP-Lạm phát)</t>
  </si>
  <si>
    <t>Số lượng cổ phiếu bình quân</t>
  </si>
  <si>
    <t>Tỷ lệ Phải trả nhà cung cấp dài hạn/XDCBDD</t>
  </si>
  <si>
    <t>Tăng/Giảm Vốn lưu động</t>
  </si>
  <si>
    <t>Tăng/Giảm CAPEX</t>
  </si>
  <si>
    <t>Tăng/Giảm gốc vay</t>
  </si>
  <si>
    <t>Dài hạn</t>
  </si>
  <si>
    <t>Vay và trả nợ vay Dự án Dung Quất - Giai đoạn 2</t>
  </si>
  <si>
    <t>TỔNG HỢP VÀ DỰ BÁO CÁC KHOẢN VAY</t>
  </si>
  <si>
    <t>Khấu hao luỹ kế</t>
  </si>
  <si>
    <t>Nguyên giá TSCĐ (HH+VH+ThuêTC+BĐSĐT)</t>
  </si>
  <si>
    <t>Chi phí khấu hao trích vào BCKQKD</t>
  </si>
  <si>
    <t>www.afa.edu.vn</t>
  </si>
  <si>
    <t xml:space="preserve"> - 5% - 10% tiền mặt</t>
  </si>
  <si>
    <t>Giá trị vốn chủ (Equity Value) = EV - (Tổng Vay - Tiền tương đương tiền và đầu tư ngắn hạn))</t>
  </si>
  <si>
    <t>(Chưa kiểm toán)</t>
  </si>
  <si>
    <t>Cổ tức dự kiến</t>
  </si>
  <si>
    <t>Chi phí SXKD Dở dang dài hạn</t>
  </si>
  <si>
    <t>Vòng quay CPSXKDDD dài hạn</t>
  </si>
  <si>
    <t>Tỷ lệ chi phí lãi vay/Dư nợ vay bình quân</t>
  </si>
  <si>
    <t>Tỷ lệ thu nhập tài chính/Vay ngắn hạn bình quân</t>
  </si>
  <si>
    <t>Dư nợ 31/12/2021</t>
  </si>
  <si>
    <t>Woori VN - CN Bắc Ninh</t>
  </si>
  <si>
    <t>BIDV Hà Thành</t>
  </si>
  <si>
    <t>HSBC CN Hà Nội</t>
  </si>
  <si>
    <t>Techcombank</t>
  </si>
  <si>
    <t>Checked</t>
  </si>
  <si>
    <t>17/3/2022: Lễ ký hợp đồng tín dụng giữa HPG và 12 ngân hàng với giá trị 35.000 tỷ đồng</t>
  </si>
  <si>
    <t>Tổng giá trị hợp đồng tín dụng</t>
  </si>
  <si>
    <t>Tỷ trọng</t>
  </si>
  <si>
    <t>Căn cứ Chiến lược tài chính</t>
  </si>
  <si>
    <t>E/(D+E)</t>
  </si>
  <si>
    <t>E - Vốn hoá thị trường của cổ phiếu (Market Value of Equity) - T3/2022</t>
  </si>
  <si>
    <t>D - Giá ghi sổ của khoản vay ròng (Book Value of Net Debts)</t>
  </si>
  <si>
    <t>D/(D+E)</t>
  </si>
  <si>
    <t xml:space="preserve">Ngắn hạn </t>
  </si>
  <si>
    <t>Trả nợ vay dài hạn</t>
  </si>
  <si>
    <t>Khoản vay Dung Quất GĐ2 thời hạn 7 năm, ân hạn 2 năm</t>
  </si>
  <si>
    <t>Khoản vay mới 2022</t>
  </si>
  <si>
    <t>Khoản vay mới 2023</t>
  </si>
  <si>
    <t>Khoản vay mới 2024</t>
  </si>
  <si>
    <t>Đã điều chỉnh chia cổ tức bằng cổ phiếu năm 2022</t>
  </si>
  <si>
    <t xml:space="preserve"> - 20% - 30% cổ phiếu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</si>
</sst>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164" formatCode="0.0%"/>
    <numFmt numFmtId="165" formatCode="#,##0_ ;[Red]\-#,##0\ "/>
    <numFmt numFmtId="166" formatCode="#,##0.0_ ;[Red]\-#,##0.0\ "/>
    <numFmt numFmtId="167" formatCode="_-* #,##0.0_-;\-* #,##0.0_-;_-* &quot;-&quot;_-;_-@_-"/>
    <numFmt numFmtId="168" formatCode="#,##0.00_ ;[Red]\-#,##0.00\ "/>
    <numFmt numFmtId="169" formatCode="_-* #,##0.00_-;\-* #,##0.00_-;_-* &quot;-&quot;_-;_-@_-"/>
    <numFmt numFmtId="170" formatCode="#,##0\ _₫;[Red]\-#,##0\ _₫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sz val="11"/>
      <color rgb="FF0070C0"/>
      <name val="Arial"/>
      <family val="2"/>
    </font>
    <font>
      <sz val="11"/>
      <color rgb="FF0070C0"/>
      <name val="Arial"/>
      <family val="2"/>
    </font>
    <font>
      <b/>
      <sz val="11"/>
      <color rgb="FFFF0000"/>
      <name val="Arial"/>
      <family val="2"/>
    </font>
    <font>
      <b/>
      <sz val="11"/>
      <color theme="8"/>
      <name val="Arial"/>
      <family val="2"/>
    </font>
    <font>
      <sz val="11"/>
      <color theme="8" tint="-0.249977111117893"/>
      <name val="Arial"/>
      <family val="2"/>
    </font>
    <font>
      <b/>
      <sz val="11"/>
      <color theme="8" tint="-0.249977111117893"/>
      <name val="Arial"/>
      <family val="2"/>
    </font>
    <font>
      <i/>
      <sz val="11"/>
      <color theme="8" tint="-0.249977111117893"/>
      <name val="Arial"/>
      <family val="2"/>
    </font>
    <font>
      <b/>
      <sz val="11"/>
      <color rgb="FF7030A0"/>
      <name val="Arial"/>
      <family val="2"/>
    </font>
    <font>
      <b/>
      <sz val="11"/>
      <color rgb="FFC00000"/>
      <name val="Arial"/>
      <family val="2"/>
    </font>
    <font>
      <b/>
      <sz val="11"/>
      <color theme="4" tint="-0.249977111117893"/>
      <name val="Arial"/>
      <family val="2"/>
    </font>
    <font>
      <sz val="11"/>
      <color theme="4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</cellStyleXfs>
  <cellXfs count="114">
    <xf numFmtId="0" fontId="0" fillId="0" borderId="0" xfId="0"/>
    <xf numFmtId="0" fontId="4" fillId="2" borderId="0" xfId="3" applyFont="1" applyFill="1" applyAlignment="1">
      <alignment horizontal="right"/>
    </xf>
    <xf numFmtId="0" fontId="3" fillId="0" borderId="0" xfId="3" applyFont="1"/>
    <xf numFmtId="41" fontId="3" fillId="0" borderId="0" xfId="4" applyFont="1"/>
    <xf numFmtId="0" fontId="4" fillId="0" borderId="0" xfId="3" applyFont="1"/>
    <xf numFmtId="41" fontId="4" fillId="0" borderId="0" xfId="4" applyFont="1"/>
    <xf numFmtId="0" fontId="4" fillId="2" borderId="0" xfId="2" applyNumberFormat="1" applyFont="1" applyFill="1"/>
    <xf numFmtId="0" fontId="4" fillId="2" borderId="0" xfId="0" applyFont="1" applyFill="1" applyAlignment="1">
      <alignment horizontal="right"/>
    </xf>
    <xf numFmtId="165" fontId="4" fillId="2" borderId="0" xfId="2" applyNumberFormat="1" applyFont="1" applyFill="1" applyAlignment="1">
      <alignment horizontal="right"/>
    </xf>
    <xf numFmtId="0" fontId="3" fillId="0" borderId="0" xfId="0" applyFont="1"/>
    <xf numFmtId="165" fontId="3" fillId="0" borderId="0" xfId="2" applyNumberFormat="1" applyFont="1"/>
    <xf numFmtId="41" fontId="3" fillId="0" borderId="0" xfId="2" applyFont="1"/>
    <xf numFmtId="0" fontId="4" fillId="0" borderId="0" xfId="0" applyFont="1"/>
    <xf numFmtId="41" fontId="4" fillId="0" borderId="0" xfId="2" applyFont="1"/>
    <xf numFmtId="0" fontId="3" fillId="0" borderId="0" xfId="3" applyFont="1"/>
    <xf numFmtId="0" fontId="5" fillId="0" borderId="0" xfId="0" applyFont="1"/>
    <xf numFmtId="165" fontId="5" fillId="0" borderId="0" xfId="2" applyNumberFormat="1" applyFont="1"/>
    <xf numFmtId="0" fontId="5" fillId="0" borderId="0" xfId="0" applyFont="1" applyAlignment="1">
      <alignment horizontal="left" indent="1"/>
    </xf>
    <xf numFmtId="0" fontId="5" fillId="0" borderId="0" xfId="0" applyFont="1" applyAlignment="1">
      <alignment horizontal="left" indent="2"/>
    </xf>
    <xf numFmtId="164" fontId="5" fillId="0" borderId="0" xfId="1" applyNumberFormat="1" applyFont="1"/>
    <xf numFmtId="164" fontId="3" fillId="0" borderId="0" xfId="1" applyNumberFormat="1" applyFont="1"/>
    <xf numFmtId="41" fontId="4" fillId="0" borderId="0" xfId="0" applyNumberFormat="1" applyFont="1"/>
    <xf numFmtId="41" fontId="3" fillId="0" borderId="0" xfId="0" applyNumberFormat="1" applyFont="1"/>
    <xf numFmtId="10" fontId="3" fillId="0" borderId="0" xfId="1" applyNumberFormat="1" applyFont="1"/>
    <xf numFmtId="0" fontId="4" fillId="3" borderId="0" xfId="0" applyFont="1" applyFill="1"/>
    <xf numFmtId="165" fontId="4" fillId="3" borderId="0" xfId="2" applyNumberFormat="1" applyFont="1" applyFill="1"/>
    <xf numFmtId="0" fontId="3" fillId="3" borderId="0" xfId="0" applyFont="1" applyFill="1"/>
    <xf numFmtId="165" fontId="3" fillId="3" borderId="0" xfId="2" applyNumberFormat="1" applyFont="1" applyFill="1"/>
    <xf numFmtId="41" fontId="5" fillId="0" borderId="0" xfId="0" applyNumberFormat="1" applyFont="1"/>
    <xf numFmtId="0" fontId="3" fillId="0" borderId="0" xfId="3" applyFont="1" applyAlignment="1">
      <alignment horizontal="left" indent="1"/>
    </xf>
    <xf numFmtId="0" fontId="6" fillId="0" borderId="0" xfId="3" applyFont="1"/>
    <xf numFmtId="0" fontId="5" fillId="0" borderId="0" xfId="0" applyFont="1" applyAlignment="1">
      <alignment horizontal="left" indent="3"/>
    </xf>
    <xf numFmtId="165" fontId="6" fillId="0" borderId="0" xfId="2" applyNumberFormat="1" applyFont="1"/>
    <xf numFmtId="165" fontId="4" fillId="0" borderId="0" xfId="2" applyNumberFormat="1" applyFont="1" applyAlignment="1">
      <alignment horizontal="left" indent="1"/>
    </xf>
    <xf numFmtId="0" fontId="4" fillId="3" borderId="0" xfId="0" applyFont="1" applyFill="1" applyAlignment="1">
      <alignment horizontal="right"/>
    </xf>
    <xf numFmtId="166" fontId="3" fillId="0" borderId="0" xfId="2" applyNumberFormat="1" applyFont="1"/>
    <xf numFmtId="0" fontId="5" fillId="0" borderId="0" xfId="3" applyFont="1"/>
    <xf numFmtId="0" fontId="5" fillId="0" borderId="0" xfId="3" applyFont="1" applyAlignment="1">
      <alignment horizontal="left" indent="2"/>
    </xf>
    <xf numFmtId="167" fontId="5" fillId="0" borderId="0" xfId="4" applyNumberFormat="1" applyFont="1"/>
    <xf numFmtId="167" fontId="5" fillId="0" borderId="0" xfId="2" applyNumberFormat="1" applyFont="1"/>
    <xf numFmtId="41" fontId="3" fillId="0" borderId="0" xfId="3" applyNumberFormat="1" applyFont="1"/>
    <xf numFmtId="0" fontId="7" fillId="3" borderId="0" xfId="3" applyFont="1" applyFill="1"/>
    <xf numFmtId="41" fontId="7" fillId="3" borderId="0" xfId="4" applyFont="1" applyFill="1"/>
    <xf numFmtId="0" fontId="7" fillId="0" borderId="0" xfId="3" applyFont="1"/>
    <xf numFmtId="0" fontId="8" fillId="0" borderId="0" xfId="3" applyFont="1"/>
    <xf numFmtId="0" fontId="9" fillId="0" borderId="0" xfId="3" applyFont="1"/>
    <xf numFmtId="41" fontId="9" fillId="0" borderId="0" xfId="4" applyFont="1"/>
    <xf numFmtId="0" fontId="9" fillId="3" borderId="0" xfId="3" applyFont="1" applyFill="1"/>
    <xf numFmtId="41" fontId="9" fillId="3" borderId="0" xfId="4" applyFont="1" applyFill="1"/>
    <xf numFmtId="0" fontId="10" fillId="0" borderId="0" xfId="3" applyFont="1"/>
    <xf numFmtId="0" fontId="7" fillId="3" borderId="1" xfId="3" applyFont="1" applyFill="1" applyBorder="1"/>
    <xf numFmtId="41" fontId="7" fillId="3" borderId="1" xfId="4" applyFont="1" applyFill="1" applyBorder="1"/>
    <xf numFmtId="0" fontId="10" fillId="3" borderId="1" xfId="3" applyFont="1" applyFill="1" applyBorder="1"/>
    <xf numFmtId="0" fontId="11" fillId="0" borderId="0" xfId="3" applyFont="1"/>
    <xf numFmtId="0" fontId="12" fillId="2" borderId="0" xfId="2" applyNumberFormat="1" applyFont="1" applyFill="1"/>
    <xf numFmtId="165" fontId="12" fillId="2" borderId="0" xfId="2" applyNumberFormat="1" applyFont="1" applyFill="1" applyAlignment="1">
      <alignment horizontal="right"/>
    </xf>
    <xf numFmtId="167" fontId="13" fillId="0" borderId="0" xfId="3" applyNumberFormat="1" applyFont="1"/>
    <xf numFmtId="41" fontId="11" fillId="0" borderId="0" xfId="3" applyNumberFormat="1" applyFont="1"/>
    <xf numFmtId="0" fontId="12" fillId="0" borderId="0" xfId="3" applyFont="1"/>
    <xf numFmtId="41" fontId="12" fillId="3" borderId="0" xfId="3" applyNumberFormat="1" applyFont="1" applyFill="1"/>
    <xf numFmtId="41" fontId="12" fillId="3" borderId="1" xfId="3" applyNumberFormat="1" applyFont="1" applyFill="1" applyBorder="1"/>
    <xf numFmtId="41" fontId="9" fillId="3" borderId="0" xfId="3" applyNumberFormat="1" applyFont="1" applyFill="1"/>
    <xf numFmtId="41" fontId="11" fillId="0" borderId="0" xfId="2" applyFont="1"/>
    <xf numFmtId="165" fontId="4" fillId="0" borderId="0" xfId="2" applyNumberFormat="1" applyFont="1"/>
    <xf numFmtId="168" fontId="3" fillId="0" borderId="0" xfId="2" applyNumberFormat="1" applyFont="1"/>
    <xf numFmtId="0" fontId="3" fillId="0" borderId="0" xfId="2" applyNumberFormat="1" applyFont="1"/>
    <xf numFmtId="165" fontId="3" fillId="0" borderId="0" xfId="2" applyNumberFormat="1" applyFont="1" applyFill="1"/>
    <xf numFmtId="41" fontId="5" fillId="0" borderId="0" xfId="4" applyFont="1"/>
    <xf numFmtId="164" fontId="13" fillId="0" borderId="0" xfId="3" applyNumberFormat="1" applyFont="1"/>
    <xf numFmtId="169" fontId="3" fillId="0" borderId="0" xfId="2" applyNumberFormat="1" applyFont="1"/>
    <xf numFmtId="0" fontId="3" fillId="0" borderId="0" xfId="3" applyFont="1"/>
    <xf numFmtId="0" fontId="4" fillId="2" borderId="0" xfId="0" applyFont="1" applyFill="1"/>
    <xf numFmtId="0" fontId="3" fillId="0" borderId="0" xfId="0" applyFont="1" applyAlignment="1">
      <alignment horizontal="left" indent="1"/>
    </xf>
    <xf numFmtId="41" fontId="3" fillId="4" borderId="0" xfId="2" applyFont="1" applyFill="1"/>
    <xf numFmtId="165" fontId="3" fillId="4" borderId="0" xfId="2" applyNumberFormat="1" applyFont="1" applyFill="1"/>
    <xf numFmtId="170" fontId="3" fillId="0" borderId="0" xfId="4" applyNumberFormat="1" applyFont="1"/>
    <xf numFmtId="170" fontId="11" fillId="0" borderId="0" xfId="3" applyNumberFormat="1" applyFont="1"/>
    <xf numFmtId="170" fontId="3" fillId="0" borderId="0" xfId="3" applyNumberFormat="1" applyFont="1"/>
    <xf numFmtId="0" fontId="3" fillId="0" borderId="0" xfId="3" applyFont="1" applyAlignment="1">
      <alignment horizontal="left" indent="3"/>
    </xf>
    <xf numFmtId="0" fontId="5" fillId="0" borderId="0" xfId="3" applyFont="1" applyAlignment="1">
      <alignment horizontal="left" indent="4"/>
    </xf>
    <xf numFmtId="0" fontId="4" fillId="0" borderId="0" xfId="3" applyFont="1" applyAlignment="1">
      <alignment horizontal="left"/>
    </xf>
    <xf numFmtId="170" fontId="3" fillId="0" borderId="0" xfId="3" applyNumberFormat="1" applyFont="1" applyAlignment="1">
      <alignment horizontal="left" indent="1"/>
    </xf>
    <xf numFmtId="165" fontId="4" fillId="4" borderId="0" xfId="2" applyNumberFormat="1" applyFont="1" applyFill="1"/>
    <xf numFmtId="0" fontId="3" fillId="5" borderId="2" xfId="0" applyFont="1" applyFill="1" applyBorder="1"/>
    <xf numFmtId="165" fontId="3" fillId="5" borderId="3" xfId="2" applyNumberFormat="1" applyFont="1" applyFill="1" applyBorder="1"/>
    <xf numFmtId="166" fontId="3" fillId="5" borderId="4" xfId="2" applyNumberFormat="1" applyFont="1" applyFill="1" applyBorder="1"/>
    <xf numFmtId="0" fontId="3" fillId="5" borderId="5" xfId="0" applyFont="1" applyFill="1" applyBorder="1"/>
    <xf numFmtId="165" fontId="3" fillId="5" borderId="0" xfId="2" applyNumberFormat="1" applyFont="1" applyFill="1" applyBorder="1"/>
    <xf numFmtId="165" fontId="3" fillId="5" borderId="6" xfId="2" applyNumberFormat="1" applyFont="1" applyFill="1" applyBorder="1"/>
    <xf numFmtId="0" fontId="3" fillId="5" borderId="7" xfId="0" applyFont="1" applyFill="1" applyBorder="1"/>
    <xf numFmtId="165" fontId="3" fillId="5" borderId="8" xfId="2" applyNumberFormat="1" applyFont="1" applyFill="1" applyBorder="1"/>
    <xf numFmtId="165" fontId="3" fillId="5" borderId="9" xfId="2" applyNumberFormat="1" applyFont="1" applyFill="1" applyBorder="1"/>
    <xf numFmtId="165" fontId="3" fillId="5" borderId="4" xfId="2" applyNumberFormat="1" applyFont="1" applyFill="1" applyBorder="1"/>
    <xf numFmtId="0" fontId="14" fillId="5" borderId="5" xfId="0" applyFont="1" applyFill="1" applyBorder="1"/>
    <xf numFmtId="165" fontId="14" fillId="5" borderId="0" xfId="2" applyNumberFormat="1" applyFont="1" applyFill="1" applyBorder="1"/>
    <xf numFmtId="165" fontId="14" fillId="5" borderId="6" xfId="2" applyNumberFormat="1" applyFont="1" applyFill="1" applyBorder="1"/>
    <xf numFmtId="0" fontId="14" fillId="5" borderId="7" xfId="0" applyFont="1" applyFill="1" applyBorder="1"/>
    <xf numFmtId="165" fontId="14" fillId="5" borderId="8" xfId="2" applyNumberFormat="1" applyFont="1" applyFill="1" applyBorder="1"/>
    <xf numFmtId="165" fontId="14" fillId="5" borderId="9" xfId="2" applyNumberFormat="1" applyFont="1" applyFill="1" applyBorder="1"/>
    <xf numFmtId="165" fontId="15" fillId="0" borderId="0" xfId="2" applyNumberFormat="1" applyFont="1"/>
    <xf numFmtId="0" fontId="3" fillId="0" borderId="0" xfId="3" applyFont="1"/>
    <xf numFmtId="167" fontId="5" fillId="0" borderId="0" xfId="3" applyNumberFormat="1" applyFont="1"/>
    <xf numFmtId="41" fontId="16" fillId="3" borderId="1" xfId="4" applyFont="1" applyFill="1" applyBorder="1"/>
    <xf numFmtId="41" fontId="16" fillId="3" borderId="0" xfId="3" applyNumberFormat="1" applyFont="1" applyFill="1"/>
    <xf numFmtId="41" fontId="16" fillId="3" borderId="1" xfId="3" applyNumberFormat="1" applyFont="1" applyFill="1" applyBorder="1"/>
    <xf numFmtId="41" fontId="17" fillId="0" borderId="0" xfId="2" applyFont="1"/>
    <xf numFmtId="0" fontId="3" fillId="0" borderId="0" xfId="0" applyFont="1" applyAlignment="1">
      <alignment horizontal="right"/>
    </xf>
    <xf numFmtId="9" fontId="3" fillId="0" borderId="0" xfId="1" applyFont="1"/>
    <xf numFmtId="41" fontId="5" fillId="0" borderId="0" xfId="2" applyFont="1"/>
    <xf numFmtId="166" fontId="3" fillId="5" borderId="3" xfId="2" applyNumberFormat="1" applyFont="1" applyFill="1" applyBorder="1"/>
    <xf numFmtId="41" fontId="3" fillId="0" borderId="0" xfId="1" applyNumberFormat="1" applyFont="1"/>
    <xf numFmtId="0" fontId="5" fillId="0" borderId="0" xfId="0" applyFont="1" applyAlignment="1">
      <alignment horizontal="left" indent="4"/>
    </xf>
    <xf numFmtId="0" fontId="3" fillId="0" borderId="0" xfId="3" applyFont="1"/>
    <xf numFmtId="0" fontId="10" fillId="2" borderId="0" xfId="3" applyFont="1" applyFill="1" applyAlignment="1">
      <alignment horizontal="right"/>
    </xf>
  </cellXfs>
  <cellStyles count="5">
    <cellStyle name="Comma [0]" xfId="2" builtinId="6"/>
    <cellStyle name="Comma [0] 2" xfId="4" xr:uid="{F04F413E-C805-BA4C-9EC7-6324280969B9}"/>
    <cellStyle name="Normal" xfId="0" builtinId="0"/>
    <cellStyle name="Normal 2" xfId="3" xr:uid="{D4C93DCB-D99A-F144-9E1F-06E990AF4A6A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907143</xdr:colOff>
      <xdr:row>1</xdr:row>
      <xdr:rowOff>181121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8ADD19-E3F3-B240-8AD2-58C19DE97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5214" y="0"/>
          <a:ext cx="907143" cy="362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907143</xdr:colOff>
      <xdr:row>1</xdr:row>
      <xdr:rowOff>172050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AE8EBB-5288-D842-B87B-CD7C06FA9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1214" y="0"/>
          <a:ext cx="907143" cy="362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907143</xdr:colOff>
      <xdr:row>1</xdr:row>
      <xdr:rowOff>181121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C2B82C-62B9-4E4A-A8A5-2462067C2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0929" y="0"/>
          <a:ext cx="907143" cy="362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42335</xdr:colOff>
      <xdr:row>0</xdr:row>
      <xdr:rowOff>0</xdr:rowOff>
    </xdr:from>
    <xdr:to>
      <xdr:col>7</xdr:col>
      <xdr:colOff>949478</xdr:colOff>
      <xdr:row>2</xdr:row>
      <xdr:rowOff>6950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7F253-81FB-CA40-8864-CE7BD96F0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5468" y="0"/>
          <a:ext cx="907143" cy="362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longphan/Documents/1.%20Long%20Phan/1.%20Data/2.%20AFA%20Research%20&amp;%20Education/8.%20Phan%20tich%20tai%20chinh%20toan%20cau/1.%20Training%20Material%202020/Module%204%20-%20Firm%20valuation%20and%20restructuring/HPG%20Valuation/2022%2004/3.3.3%20-%20Xa&#769;c%20&#273;i&#803;nh%20ca&#770;&#769;u%20tru&#769;c%20vo&#770;&#769;n%20to&#770;&#769;i%20u&#795;u%20-%20HPG%202021%20-%2020220331.xlsx?A0F475E3" TargetMode="External"/><Relationship Id="rId1" Type="http://schemas.openxmlformats.org/officeDocument/2006/relationships/externalLinkPath" Target="file:///A0F475E3/3.3.3%20-%20Xa&#769;c%20&#273;i&#803;nh%20ca&#770;&#769;u%20tru&#769;c%20vo&#770;&#769;n%20to&#770;&#769;i%20u&#795;u%20-%20HPG%202021%20-%202022033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longphan/Documents/1.%20Long%20Phan/1.%20Data/2.%20AFA%20Research%20&amp;%20Education/1.%20Professional%20Training%20Courses/1.%20CMA%20Australia/1.%20CMA%20Program/1.%20Training%20materials/CMA%20Online/2.%20SBA-CGBA%20Online/Case%20Studuy%20HPG/Ca&#770;&#769;u%20tru&#769;c%20vo&#770;&#769;n%20to&#770;&#769;i%20u&#795;u/3.3.3%20-%20Xa&#769;c%20&#273;i&#803;nh%20ca&#770;&#769;u%20tru&#769;c%20vo&#770;&#769;n%20to&#770;&#769;i%20u&#795;u%20-%20HPG%202021%20-%2020220603.xlsx?33289346" TargetMode="External"/><Relationship Id="rId1" Type="http://schemas.openxmlformats.org/officeDocument/2006/relationships/externalLinkPath" Target="file:///33289346/3.3.3%20-%20Xa&#769;c%20&#273;i&#803;nh%20ca&#770;&#769;u%20tru&#769;c%20vo&#770;&#769;n%20to&#770;&#769;i%20u&#795;u%20-%20HPG%202021%20-%20202206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1ST"/>
      <sheetName val="FAQs"/>
      <sheetName val="Inputs"/>
      <sheetName val="Marginal tax rate by country"/>
      <sheetName val="Operating leases"/>
      <sheetName val="Default Spreads and Ratios"/>
      <sheetName val="Optimal Capital Structure"/>
      <sheetName val="Sheet2"/>
      <sheetName val="Repurchase price Worksheet"/>
      <sheetName val="ValueChart"/>
      <sheetName val="Summary Table"/>
      <sheetName val="Input choices page"/>
      <sheetName val="Sheet1"/>
    </sheetNames>
    <sheetDataSet>
      <sheetData sheetId="0"/>
      <sheetData sheetId="1"/>
      <sheetData sheetId="2">
        <row r="13">
          <cell r="D13">
            <v>201728.8140406</v>
          </cell>
        </row>
        <row r="17">
          <cell r="D17">
            <v>16504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1ST"/>
      <sheetName val="FAQs"/>
      <sheetName val="Inputs"/>
      <sheetName val="Marginal tax rate by country"/>
      <sheetName val="Operating leases"/>
      <sheetName val="Default Spreads and Ratios"/>
      <sheetName val="Optimal Capital Structure"/>
      <sheetName val="Sheet2"/>
      <sheetName val="Repurchase price Worksheet"/>
      <sheetName val="ValueChart"/>
      <sheetName val="Summary Table"/>
      <sheetName val="Input choices page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17">
          <cell r="E17">
            <v>5.3359999999999998E-2</v>
          </cell>
        </row>
      </sheetData>
      <sheetData sheetId="7"/>
      <sheetData sheetId="8"/>
      <sheetData sheetId="10"/>
      <sheetData sheetId="11"/>
      <sheetData sheetId="1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longplt@afa.edu.vn" id="{5D2CA79C-6942-5447-BBA8-2F31FAF28B05}" userId="d1ae093bd24b213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9" dT="2021-07-08T16:46:19.50" personId="{5D2CA79C-6942-5447-BBA8-2F31FAF28B05}" id="{74BC48F2-3BAA-3B47-B75C-16971655FF7F}">
    <text xml:space="preserve">Giả định bằng năm 2020
</text>
  </threadedComment>
  <threadedComment ref="I19" dT="2021-07-08T16:46:19.50" personId="{5D2CA79C-6942-5447-BBA8-2F31FAF28B05}" id="{91721959-9587-2E4A-A8F5-3A73EF03F92C}">
    <text xml:space="preserve">Giả định bằng năm 2020
</text>
  </threadedComment>
  <threadedComment ref="J19" dT="2021-07-08T16:46:19.50" personId="{5D2CA79C-6942-5447-BBA8-2F31FAF28B05}" id="{85C8934E-ED51-0149-AE23-32A77017FDFA}">
    <text xml:space="preserve">Giả định bằng năm 2020
</text>
  </threadedComment>
  <threadedComment ref="K19" dT="2021-07-08T16:46:19.50" personId="{5D2CA79C-6942-5447-BBA8-2F31FAF28B05}" id="{47B974B7-5E31-4142-8675-74FE40C2DE38}">
    <text xml:space="preserve">Giả định bằng năm 2020
</text>
  </threadedComment>
  <threadedComment ref="L19" dT="2021-07-08T16:46:19.50" personId="{5D2CA79C-6942-5447-BBA8-2F31FAF28B05}" id="{880E594F-7801-6E4F-8859-776EA0EF51CB}">
    <text xml:space="preserve">Giả định bằng năm 2020
</text>
  </threadedComment>
  <threadedComment ref="H21" dT="2021-07-08T16:46:19.50" personId="{5D2CA79C-6942-5447-BBA8-2F31FAF28B05}" id="{0D8F6FC1-4787-3C41-91BA-CCAF0D48B2F5}">
    <text xml:space="preserve">Giả định bằng năm 2020
</text>
  </threadedComment>
  <threadedComment ref="I21" dT="2021-07-08T16:46:19.50" personId="{5D2CA79C-6942-5447-BBA8-2F31FAF28B05}" id="{C8E616DA-DF35-5847-89A3-6B4C65A83358}">
    <text xml:space="preserve">Giả định bằng năm 2020
</text>
  </threadedComment>
  <threadedComment ref="J21" dT="2021-07-08T16:46:19.50" personId="{5D2CA79C-6942-5447-BBA8-2F31FAF28B05}" id="{40547569-2B05-A74A-A87F-CF9B9D644BB8}">
    <text xml:space="preserve">Giả định bằng năm 2020
</text>
  </threadedComment>
  <threadedComment ref="K21" dT="2021-07-08T16:46:19.50" personId="{5D2CA79C-6942-5447-BBA8-2F31FAF28B05}" id="{9C537D83-4482-F84D-A5AA-B29280A5A15A}">
    <text xml:space="preserve">Giả định bằng năm 2020
</text>
  </threadedComment>
  <threadedComment ref="L21" dT="2021-07-08T16:46:19.50" personId="{5D2CA79C-6942-5447-BBA8-2F31FAF28B05}" id="{0BCC4262-85A2-4440-8DE2-10D405C48238}">
    <text xml:space="preserve">Giả định bằng năm 2020
</text>
  </threadedComment>
  <threadedComment ref="H28" dT="2021-07-08T16:46:19.50" personId="{5D2CA79C-6942-5447-BBA8-2F31FAF28B05}" id="{739BBB70-8C2F-5A4C-91A9-2ADB07FC11E9}">
    <text xml:space="preserve">Giả định bằng năm 2020
</text>
  </threadedComment>
  <threadedComment ref="I28" dT="2021-07-08T16:46:19.50" personId="{5D2CA79C-6942-5447-BBA8-2F31FAF28B05}" id="{7AB6E5BB-1D85-0945-9AD2-94F7B487F361}">
    <text xml:space="preserve">Giả định bằng năm 2020
</text>
  </threadedComment>
  <threadedComment ref="J28" dT="2021-07-08T16:46:19.50" personId="{5D2CA79C-6942-5447-BBA8-2F31FAF28B05}" id="{7CA3F04F-C007-D04F-8835-55FD02E6134F}">
    <text xml:space="preserve">Giả định bằng năm 2020
</text>
  </threadedComment>
  <threadedComment ref="K28" dT="2021-07-08T16:46:19.50" personId="{5D2CA79C-6942-5447-BBA8-2F31FAF28B05}" id="{A4A919AB-5972-5D46-9EA4-8EDE9A60C6EF}">
    <text xml:space="preserve">Giả định bằng năm 2020
</text>
  </threadedComment>
  <threadedComment ref="L28" dT="2021-07-08T16:46:19.50" personId="{5D2CA79C-6942-5447-BBA8-2F31FAF28B05}" id="{C2F59663-DE0D-B345-8836-4FA34D70F2A7}">
    <text xml:space="preserve">Giả định bằng năm 2020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1" dT="2021-08-07T10:20:20.35" personId="{5D2CA79C-6942-5447-BBA8-2F31FAF28B05}" id="{72EC353E-CC15-8848-9BCE-F8CB4DA9D0F0}">
    <text>Bao gồm (HH+VH+ThuêTC+BĐSĐT)</text>
  </threadedComment>
  <threadedComment ref="A25" dT="2021-08-07T10:55:12.90" personId="{5D2CA79C-6942-5447-BBA8-2F31FAF28B05}" id="{525C53FE-9B2D-1C42-B6F1-B4072B1D1AAF}">
    <text>Trên Báo cáo Lưu chuyển tiền tệ phương pháp gián tiếp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25" dT="2021-07-08T16:32:39.67" personId="{5D2CA79C-6942-5447-BBA8-2F31FAF28B05}" id="{EB15CF14-EDCF-3543-BA68-D8DD9879AD8F}">
    <text>Dự kiến bắt đầu đầu tư từ năm 2022</text>
  </threadedComment>
  <threadedComment ref="F28" dT="2021-08-07T08:15:21.96" personId="{5D2CA79C-6942-5447-BBA8-2F31FAF28B05}" id="{17584F8D-0262-B64B-966B-CF6AD98A00FC}">
    <text xml:space="preserve">Tăng theo tốc độ tăng doanh thu 15% so với mức tăng dự báo năm trước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FBD27-0AE7-9144-8D9E-010A63D639E0}">
  <sheetPr>
    <pageSetUpPr fitToPage="1"/>
  </sheetPr>
  <dimension ref="A1:N75"/>
  <sheetViews>
    <sheetView zoomScale="140" zoomScaleNormal="140" workbookViewId="0">
      <pane xSplit="1" ySplit="6" topLeftCell="E37" activePane="bottomRight" state="frozen"/>
      <selection activeCell="D35" sqref="D35"/>
      <selection pane="topRight" activeCell="D35" sqref="D35"/>
      <selection pane="bottomLeft" activeCell="D35" sqref="D35"/>
      <selection pane="bottomRight" activeCell="I45" sqref="I45"/>
    </sheetView>
  </sheetViews>
  <sheetFormatPr baseColWidth="10" defaultRowHeight="14" x14ac:dyDescent="0.15"/>
  <cols>
    <col min="1" max="1" width="40.1640625" style="9" customWidth="1"/>
    <col min="2" max="13" width="13.33203125" style="10" customWidth="1"/>
    <col min="14" max="16384" width="10.83203125" style="9"/>
  </cols>
  <sheetData>
    <row r="1" spans="1:13" x14ac:dyDescent="0.15">
      <c r="A1" s="12" t="s">
        <v>70</v>
      </c>
    </row>
    <row r="2" spans="1:13" x14ac:dyDescent="0.15">
      <c r="A2" s="12" t="s">
        <v>157</v>
      </c>
      <c r="C2" s="99" t="s">
        <v>170</v>
      </c>
    </row>
    <row r="4" spans="1:13" x14ac:dyDescent="0.15">
      <c r="B4" s="32" t="s">
        <v>66</v>
      </c>
      <c r="F4" s="33"/>
    </row>
    <row r="5" spans="1:13" x14ac:dyDescent="0.15">
      <c r="B5" s="6">
        <v>2016</v>
      </c>
      <c r="C5" s="6">
        <v>2017</v>
      </c>
      <c r="D5" s="6">
        <v>2018</v>
      </c>
      <c r="E5" s="6">
        <v>2019</v>
      </c>
      <c r="F5" s="6">
        <v>2020</v>
      </c>
      <c r="G5" s="6">
        <v>2021</v>
      </c>
      <c r="H5" s="6">
        <v>2022</v>
      </c>
      <c r="I5" s="6">
        <v>2023</v>
      </c>
      <c r="J5" s="6">
        <v>2024</v>
      </c>
      <c r="K5" s="6">
        <v>2025</v>
      </c>
      <c r="L5" s="6">
        <v>2026</v>
      </c>
      <c r="M5" s="8" t="s">
        <v>67</v>
      </c>
    </row>
    <row r="6" spans="1:13" x14ac:dyDescent="0.15">
      <c r="B6" s="7" t="s">
        <v>3</v>
      </c>
      <c r="C6" s="8" t="s">
        <v>3</v>
      </c>
      <c r="D6" s="8" t="s">
        <v>3</v>
      </c>
      <c r="E6" s="8" t="s">
        <v>3</v>
      </c>
      <c r="F6" s="8" t="s">
        <v>3</v>
      </c>
      <c r="G6" s="8" t="s">
        <v>173</v>
      </c>
      <c r="H6" s="8" t="s">
        <v>68</v>
      </c>
      <c r="I6" s="8" t="s">
        <v>68</v>
      </c>
      <c r="J6" s="8" t="s">
        <v>68</v>
      </c>
      <c r="K6" s="8" t="s">
        <v>68</v>
      </c>
      <c r="L6" s="8" t="s">
        <v>68</v>
      </c>
      <c r="M6" s="8" t="s">
        <v>68</v>
      </c>
    </row>
    <row r="7" spans="1:13" x14ac:dyDescent="0.15">
      <c r="A7" s="9" t="s">
        <v>44</v>
      </c>
      <c r="B7" s="10">
        <v>33884892</v>
      </c>
      <c r="C7" s="10">
        <v>46854826</v>
      </c>
      <c r="D7" s="10">
        <v>56580424</v>
      </c>
      <c r="E7" s="10">
        <v>64677907</v>
      </c>
      <c r="F7" s="10">
        <v>91279042</v>
      </c>
      <c r="G7" s="10">
        <v>150865360</v>
      </c>
    </row>
    <row r="8" spans="1:13" x14ac:dyDescent="0.15">
      <c r="A8" s="9" t="s">
        <v>45</v>
      </c>
      <c r="B8" s="10">
        <v>-601682</v>
      </c>
      <c r="C8" s="10">
        <v>-693134</v>
      </c>
      <c r="D8" s="10">
        <v>-743965</v>
      </c>
      <c r="E8" s="10">
        <v>-1019714</v>
      </c>
      <c r="F8" s="10">
        <v>-1160538</v>
      </c>
      <c r="G8" s="10">
        <v>-1185570</v>
      </c>
    </row>
    <row r="9" spans="1:13" x14ac:dyDescent="0.15">
      <c r="A9" s="26" t="s">
        <v>46</v>
      </c>
      <c r="B9" s="27">
        <v>33283210</v>
      </c>
      <c r="C9" s="27">
        <v>46161692</v>
      </c>
      <c r="D9" s="27">
        <v>55836458</v>
      </c>
      <c r="E9" s="27">
        <v>63658193</v>
      </c>
      <c r="F9" s="27">
        <v>90118503</v>
      </c>
      <c r="G9" s="27">
        <f>G7+G8</f>
        <v>149679790</v>
      </c>
      <c r="H9" s="27">
        <f>'Thông tin dự báo'!C6</f>
        <v>150000000</v>
      </c>
      <c r="I9" s="27">
        <f>'Thông tin dự báo'!D6</f>
        <v>172500000</v>
      </c>
      <c r="J9" s="27">
        <f>'Thông tin dự báo'!E6</f>
        <v>198374999.99999997</v>
      </c>
      <c r="K9" s="27">
        <f>'Thông tin dự báo'!F6</f>
        <v>228131249.99999994</v>
      </c>
      <c r="L9" s="27">
        <f>'Thông tin dự báo'!G6</f>
        <v>262350937.49999991</v>
      </c>
      <c r="M9" s="27"/>
    </row>
    <row r="10" spans="1:13" s="15" customFormat="1" x14ac:dyDescent="0.15">
      <c r="A10" s="18" t="s">
        <v>82</v>
      </c>
      <c r="B10" s="16"/>
      <c r="C10" s="19">
        <f>(C9-B9)/B9</f>
        <v>0.38693629610845831</v>
      </c>
      <c r="D10" s="19">
        <f t="shared" ref="D10:F10" si="0">(D9-C9)/C9</f>
        <v>0.20958430206587747</v>
      </c>
      <c r="E10" s="19">
        <f t="shared" si="0"/>
        <v>0.14008293649285561</v>
      </c>
      <c r="F10" s="19">
        <f t="shared" si="0"/>
        <v>0.41566228560713309</v>
      </c>
      <c r="G10" s="19"/>
      <c r="H10" s="19"/>
      <c r="I10" s="19"/>
      <c r="J10" s="19"/>
      <c r="K10" s="19"/>
      <c r="L10" s="19"/>
      <c r="M10" s="16"/>
    </row>
    <row r="11" spans="1:13" x14ac:dyDescent="0.15">
      <c r="A11" s="9" t="s">
        <v>47</v>
      </c>
      <c r="B11" s="10">
        <v>-24532650</v>
      </c>
      <c r="C11" s="10">
        <v>-35536121</v>
      </c>
      <c r="D11" s="10">
        <v>-44165626</v>
      </c>
      <c r="E11" s="10">
        <v>-52472820</v>
      </c>
      <c r="F11" s="10">
        <v>-71214454</v>
      </c>
      <c r="G11" s="10">
        <v>-108571380</v>
      </c>
      <c r="H11" s="10">
        <f t="shared" ref="H11:I11" si="1">H12-H9</f>
        <v>-117000000</v>
      </c>
      <c r="I11" s="10">
        <f t="shared" si="1"/>
        <v>-134550000</v>
      </c>
      <c r="J11" s="10">
        <f t="shared" ref="J11:K11" si="2">J12-J9</f>
        <v>-158699999.99999997</v>
      </c>
      <c r="K11" s="10">
        <f t="shared" si="2"/>
        <v>-177942374.99999994</v>
      </c>
      <c r="L11" s="10">
        <f t="shared" ref="L11" si="3">L12-L9</f>
        <v>-204633731.24999994</v>
      </c>
    </row>
    <row r="12" spans="1:13" x14ac:dyDescent="0.15">
      <c r="A12" s="9" t="s">
        <v>48</v>
      </c>
      <c r="B12" s="10">
        <v>8750560</v>
      </c>
      <c r="C12" s="10">
        <v>10625571</v>
      </c>
      <c r="D12" s="10">
        <v>11670832</v>
      </c>
      <c r="E12" s="10">
        <v>11185372</v>
      </c>
      <c r="F12" s="10">
        <v>18904050</v>
      </c>
      <c r="G12" s="10">
        <f>G9+G11</f>
        <v>41108410</v>
      </c>
      <c r="H12" s="10">
        <f t="shared" ref="H12:I12" si="4">H9*H13</f>
        <v>33000000</v>
      </c>
      <c r="I12" s="10">
        <f t="shared" si="4"/>
        <v>37950000</v>
      </c>
      <c r="J12" s="10">
        <f t="shared" ref="J12:K12" si="5">J9*J13</f>
        <v>39674999.999999993</v>
      </c>
      <c r="K12" s="10">
        <f t="shared" si="5"/>
        <v>50188874.999999985</v>
      </c>
      <c r="L12" s="10">
        <f t="shared" ref="L12" si="6">L9*L13</f>
        <v>57717206.249999978</v>
      </c>
    </row>
    <row r="13" spans="1:13" x14ac:dyDescent="0.15">
      <c r="A13" s="18" t="s">
        <v>83</v>
      </c>
      <c r="B13" s="20">
        <f>B12/B9</f>
        <v>0.26291214098640125</v>
      </c>
      <c r="C13" s="20">
        <f t="shared" ref="C13:G13" si="7">C12/C9</f>
        <v>0.23018157566668052</v>
      </c>
      <c r="D13" s="20">
        <f t="shared" si="7"/>
        <v>0.2090181293376453</v>
      </c>
      <c r="E13" s="20">
        <f t="shared" si="7"/>
        <v>0.17570985717423679</v>
      </c>
      <c r="F13" s="20">
        <f t="shared" si="7"/>
        <v>0.20976879742443125</v>
      </c>
      <c r="G13" s="20">
        <f t="shared" si="7"/>
        <v>0.2746423548563236</v>
      </c>
      <c r="H13" s="20">
        <v>0.22</v>
      </c>
      <c r="I13" s="20">
        <v>0.22</v>
      </c>
      <c r="J13" s="20">
        <v>0.2</v>
      </c>
      <c r="K13" s="20">
        <v>0.22</v>
      </c>
      <c r="L13" s="20">
        <v>0.22</v>
      </c>
    </row>
    <row r="14" spans="1:13" x14ac:dyDescent="0.15">
      <c r="A14" s="9" t="s">
        <v>49</v>
      </c>
      <c r="B14" s="10">
        <v>197181</v>
      </c>
      <c r="C14" s="10">
        <v>186215</v>
      </c>
      <c r="D14" s="10">
        <v>294408</v>
      </c>
      <c r="E14" s="10">
        <v>471054</v>
      </c>
      <c r="F14" s="10">
        <v>1004790</v>
      </c>
      <c r="G14" s="10">
        <v>3071441</v>
      </c>
      <c r="H14" s="10">
        <f>'Tổng hợp vay'!H13</f>
        <v>1959669.8099999998</v>
      </c>
      <c r="I14" s="10">
        <f>'Tổng hợp vay'!I13</f>
        <v>1985889.7349999999</v>
      </c>
      <c r="J14" s="10">
        <f>'Tổng hợp vay'!J13</f>
        <v>2151883.4699999997</v>
      </c>
      <c r="K14" s="10">
        <f>'Tổng hợp vay'!K13</f>
        <v>1982150.1187499999</v>
      </c>
      <c r="L14" s="10">
        <f>'Tổng hợp vay'!L13</f>
        <v>1976657.3467499998</v>
      </c>
    </row>
    <row r="15" spans="1:13" x14ac:dyDescent="0.15">
      <c r="A15" s="9" t="s">
        <v>50</v>
      </c>
      <c r="B15" s="10">
        <v>-367987</v>
      </c>
      <c r="C15" s="10">
        <v>-555757</v>
      </c>
      <c r="D15" s="10">
        <v>-772317</v>
      </c>
      <c r="E15" s="10">
        <v>-1181676</v>
      </c>
      <c r="F15" s="10">
        <v>-2837406</v>
      </c>
      <c r="G15" s="10">
        <v>-3731542</v>
      </c>
      <c r="H15" s="10">
        <f>H16/H17</f>
        <v>-3565081.5515708099</v>
      </c>
      <c r="I15" s="10">
        <f>I16/I17</f>
        <v>-4091158.5947928261</v>
      </c>
      <c r="J15" s="10">
        <f>J16/J17</f>
        <v>-4474894.6120408159</v>
      </c>
      <c r="K15" s="10">
        <f>K16/K17</f>
        <v>-3994775.8254545447</v>
      </c>
      <c r="L15" s="10">
        <f>L16/L17</f>
        <v>-3640990.3272727267</v>
      </c>
    </row>
    <row r="16" spans="1:13" x14ac:dyDescent="0.15">
      <c r="A16" s="9" t="s">
        <v>51</v>
      </c>
      <c r="B16" s="10">
        <v>-279952</v>
      </c>
      <c r="C16" s="10">
        <v>-479708</v>
      </c>
      <c r="D16" s="10">
        <v>-539861</v>
      </c>
      <c r="E16" s="10">
        <v>-936710</v>
      </c>
      <c r="F16" s="10">
        <v>-2191681</v>
      </c>
      <c r="G16" s="10">
        <v>-2525823</v>
      </c>
      <c r="H16" s="10">
        <f>'Tổng hợp vay'!H11</f>
        <v>-2745112.7947095237</v>
      </c>
      <c r="I16" s="10">
        <f>'Tổng hợp vay'!I11</f>
        <v>-3150192.1179904761</v>
      </c>
      <c r="J16" s="10">
        <f>'Tổng hợp vay'!J11</f>
        <v>-3445668.8512714282</v>
      </c>
      <c r="K16" s="10">
        <f>'Tổng hợp vay'!K11</f>
        <v>-3075977.3855999997</v>
      </c>
      <c r="L16" s="10">
        <f>'Tổng hợp vay'!L11</f>
        <v>-2803562.5519999997</v>
      </c>
    </row>
    <row r="17" spans="1:13" s="15" customFormat="1" x14ac:dyDescent="0.15">
      <c r="A17" s="18" t="s">
        <v>100</v>
      </c>
      <c r="B17" s="19">
        <f>B16/B15</f>
        <v>0.76076600532084016</v>
      </c>
      <c r="C17" s="19">
        <f t="shared" ref="C17:G17" si="8">C16/C15</f>
        <v>0.86316141766995291</v>
      </c>
      <c r="D17" s="19">
        <f t="shared" si="8"/>
        <v>0.69901478278996831</v>
      </c>
      <c r="E17" s="19">
        <f t="shared" si="8"/>
        <v>0.79269613667367367</v>
      </c>
      <c r="F17" s="19">
        <f t="shared" si="8"/>
        <v>0.77242417898601756</v>
      </c>
      <c r="G17" s="19">
        <f t="shared" si="8"/>
        <v>0.67688451583822451</v>
      </c>
      <c r="H17" s="19">
        <v>0.77</v>
      </c>
      <c r="I17" s="19">
        <v>0.77</v>
      </c>
      <c r="J17" s="19">
        <v>0.77</v>
      </c>
      <c r="K17" s="19">
        <v>0.77</v>
      </c>
      <c r="L17" s="19">
        <v>0.77</v>
      </c>
      <c r="M17" s="16"/>
    </row>
    <row r="18" spans="1:13" x14ac:dyDescent="0.15">
      <c r="A18" s="9" t="s">
        <v>52</v>
      </c>
      <c r="B18" s="10">
        <v>-489954</v>
      </c>
      <c r="C18" s="10">
        <v>-594708</v>
      </c>
      <c r="D18" s="10">
        <v>-676809</v>
      </c>
      <c r="E18" s="10">
        <v>-873334</v>
      </c>
      <c r="F18" s="10">
        <v>-1090796</v>
      </c>
      <c r="G18" s="10">
        <v>-2120068</v>
      </c>
      <c r="H18" s="10">
        <f>H19*H9</f>
        <v>-1800000</v>
      </c>
      <c r="I18" s="10">
        <f>I19*I9</f>
        <v>-2070000</v>
      </c>
      <c r="J18" s="10">
        <f>J19*J9</f>
        <v>-2380499.9999999995</v>
      </c>
      <c r="K18" s="10">
        <f>K19*K9</f>
        <v>-2737574.9999999995</v>
      </c>
      <c r="L18" s="10">
        <f>L19*L9</f>
        <v>-3148211.2499999991</v>
      </c>
    </row>
    <row r="19" spans="1:13" s="15" customFormat="1" x14ac:dyDescent="0.15">
      <c r="A19" s="18" t="s">
        <v>88</v>
      </c>
      <c r="B19" s="19">
        <f>B18/B9</f>
        <v>-1.4720755600196015E-2</v>
      </c>
      <c r="C19" s="19">
        <f t="shared" ref="C19:G19" si="9">C18/C9</f>
        <v>-1.2883149950396099E-2</v>
      </c>
      <c r="D19" s="19">
        <f t="shared" si="9"/>
        <v>-1.2121273881663482E-2</v>
      </c>
      <c r="E19" s="19">
        <f t="shared" si="9"/>
        <v>-1.371911389316376E-2</v>
      </c>
      <c r="F19" s="19">
        <f t="shared" si="9"/>
        <v>-1.2104018194798465E-2</v>
      </c>
      <c r="G19" s="19">
        <f t="shared" si="9"/>
        <v>-1.4164023078867227E-2</v>
      </c>
      <c r="H19" s="19">
        <v>-1.2E-2</v>
      </c>
      <c r="I19" s="19">
        <v>-1.2E-2</v>
      </c>
      <c r="J19" s="19">
        <v>-1.2E-2</v>
      </c>
      <c r="K19" s="19">
        <v>-1.2E-2</v>
      </c>
      <c r="L19" s="19">
        <v>-1.2E-2</v>
      </c>
      <c r="M19" s="16"/>
    </row>
    <row r="20" spans="1:13" x14ac:dyDescent="0.15">
      <c r="A20" s="9" t="s">
        <v>53</v>
      </c>
      <c r="B20" s="10">
        <v>-404587</v>
      </c>
      <c r="C20" s="10">
        <v>-409038</v>
      </c>
      <c r="D20" s="10">
        <v>-444025</v>
      </c>
      <c r="E20" s="10">
        <v>-569006</v>
      </c>
      <c r="F20" s="10">
        <v>-690299</v>
      </c>
      <c r="G20" s="10">
        <v>-1324262</v>
      </c>
      <c r="H20" s="10">
        <f>H9*H21</f>
        <v>-1350000</v>
      </c>
      <c r="I20" s="10">
        <f>I9*I21</f>
        <v>-1552499.9999999998</v>
      </c>
      <c r="J20" s="10">
        <f>J9*J21</f>
        <v>-1785374.9999999995</v>
      </c>
      <c r="K20" s="10">
        <f>K9*K21</f>
        <v>-2053181.2499999993</v>
      </c>
      <c r="L20" s="10">
        <f>L9*L21</f>
        <v>-2361158.4374999991</v>
      </c>
    </row>
    <row r="21" spans="1:13" x14ac:dyDescent="0.15">
      <c r="A21" s="18" t="s">
        <v>88</v>
      </c>
      <c r="B21" s="19">
        <f>B20/B9</f>
        <v>-1.2155888810003602E-2</v>
      </c>
      <c r="C21" s="19">
        <f t="shared" ref="C21:G21" si="10">C20/C9</f>
        <v>-8.8609836918456114E-3</v>
      </c>
      <c r="D21" s="19">
        <f t="shared" si="10"/>
        <v>-7.9522415264951084E-3</v>
      </c>
      <c r="E21" s="19">
        <f t="shared" si="10"/>
        <v>-8.9384566728119355E-3</v>
      </c>
      <c r="F21" s="19">
        <f t="shared" si="10"/>
        <v>-7.6599030944843813E-3</v>
      </c>
      <c r="G21" s="19">
        <f t="shared" si="10"/>
        <v>-8.8472999594668058E-3</v>
      </c>
      <c r="H21" s="19">
        <v>-8.9999999999999993E-3</v>
      </c>
      <c r="I21" s="19">
        <v>-8.9999999999999993E-3</v>
      </c>
      <c r="J21" s="19">
        <v>-8.9999999999999993E-3</v>
      </c>
      <c r="K21" s="19">
        <v>-8.9999999999999993E-3</v>
      </c>
      <c r="L21" s="19">
        <v>-8.9999999999999993E-3</v>
      </c>
    </row>
    <row r="22" spans="1:13" x14ac:dyDescent="0.15">
      <c r="A22" s="9" t="s">
        <v>54</v>
      </c>
      <c r="B22" s="10">
        <v>7684678</v>
      </c>
      <c r="C22" s="10">
        <v>9252124</v>
      </c>
      <c r="D22" s="10">
        <v>10072089</v>
      </c>
      <c r="E22" s="10">
        <v>9030980</v>
      </c>
      <c r="F22" s="10">
        <v>15292304</v>
      </c>
      <c r="G22" s="10">
        <v>37008443</v>
      </c>
      <c r="H22" s="10">
        <f t="shared" ref="H22:K22" si="11">H9+H11+H14+H15+H18+H20</f>
        <v>28244588.258429192</v>
      </c>
      <c r="I22" s="10">
        <f t="shared" si="11"/>
        <v>32222231.140207171</v>
      </c>
      <c r="J22" s="10">
        <f t="shared" si="11"/>
        <v>33186113.857959181</v>
      </c>
      <c r="K22" s="10">
        <f t="shared" si="11"/>
        <v>43385493.043295451</v>
      </c>
      <c r="L22" s="10">
        <f t="shared" ref="L22" si="12">L9+L11+L14+L15+L18+L20</f>
        <v>50543503.581977241</v>
      </c>
    </row>
    <row r="23" spans="1:13" x14ac:dyDescent="0.15">
      <c r="A23" s="24" t="s">
        <v>89</v>
      </c>
      <c r="B23" s="25">
        <f>B22-B16</f>
        <v>7964630</v>
      </c>
      <c r="C23" s="25">
        <f t="shared" ref="C23:K23" si="13">C22-C16</f>
        <v>9731832</v>
      </c>
      <c r="D23" s="25">
        <f t="shared" si="13"/>
        <v>10611950</v>
      </c>
      <c r="E23" s="25">
        <f t="shared" si="13"/>
        <v>9967690</v>
      </c>
      <c r="F23" s="25">
        <f t="shared" si="13"/>
        <v>17483985</v>
      </c>
      <c r="G23" s="25">
        <f t="shared" si="13"/>
        <v>39534266</v>
      </c>
      <c r="H23" s="25">
        <f t="shared" si="13"/>
        <v>30989701.053138714</v>
      </c>
      <c r="I23" s="25">
        <f t="shared" si="13"/>
        <v>35372423.25819765</v>
      </c>
      <c r="J23" s="25">
        <f t="shared" si="13"/>
        <v>36631782.709230609</v>
      </c>
      <c r="K23" s="25">
        <f t="shared" si="13"/>
        <v>46461470.428895451</v>
      </c>
      <c r="L23" s="25">
        <f t="shared" ref="L23" si="14">L22-L16</f>
        <v>53347066.133977242</v>
      </c>
    </row>
    <row r="24" spans="1:13" s="15" customFormat="1" x14ac:dyDescent="0.15">
      <c r="A24" s="18" t="s">
        <v>90</v>
      </c>
      <c r="B24" s="19">
        <f>B23/B9</f>
        <v>0.23929873350557232</v>
      </c>
      <c r="C24" s="19">
        <f t="shared" ref="C24:K24" si="15">C23/C9</f>
        <v>0.2108205219167443</v>
      </c>
      <c r="D24" s="19">
        <f t="shared" si="15"/>
        <v>0.19005413989547831</v>
      </c>
      <c r="E24" s="19">
        <f t="shared" si="15"/>
        <v>0.15658141600092229</v>
      </c>
      <c r="F24" s="19">
        <f t="shared" si="15"/>
        <v>0.19401104565618449</v>
      </c>
      <c r="G24" s="19">
        <f t="shared" si="15"/>
        <v>0.26412561107949178</v>
      </c>
      <c r="H24" s="19">
        <f t="shared" si="15"/>
        <v>0.20659800702092476</v>
      </c>
      <c r="I24" s="19">
        <f t="shared" si="15"/>
        <v>0.20505752613447914</v>
      </c>
      <c r="J24" s="19">
        <f t="shared" si="15"/>
        <v>0.18465927011584432</v>
      </c>
      <c r="K24" s="19">
        <f t="shared" si="15"/>
        <v>0.20366113993105051</v>
      </c>
      <c r="L24" s="19">
        <f t="shared" ref="L24" si="16">L23/L9</f>
        <v>0.20334238803311788</v>
      </c>
      <c r="M24" s="16"/>
    </row>
    <row r="25" spans="1:13" x14ac:dyDescent="0.15">
      <c r="A25" s="9" t="s">
        <v>55</v>
      </c>
      <c r="B25" s="10">
        <v>434468</v>
      </c>
      <c r="C25" s="10">
        <v>432792</v>
      </c>
      <c r="D25" s="10">
        <v>488857</v>
      </c>
      <c r="E25" s="10">
        <v>657681</v>
      </c>
      <c r="F25" s="10">
        <v>654081</v>
      </c>
      <c r="G25" s="10">
        <v>796666</v>
      </c>
    </row>
    <row r="26" spans="1:13" x14ac:dyDescent="0.15">
      <c r="A26" s="9" t="s">
        <v>56</v>
      </c>
      <c r="B26" s="10">
        <v>-417322</v>
      </c>
      <c r="C26" s="10">
        <v>-396546</v>
      </c>
      <c r="D26" s="10">
        <v>-489873</v>
      </c>
      <c r="E26" s="10">
        <v>-591998</v>
      </c>
      <c r="F26" s="10">
        <v>-589418</v>
      </c>
      <c r="G26" s="10">
        <v>-748332</v>
      </c>
    </row>
    <row r="27" spans="1:13" x14ac:dyDescent="0.15">
      <c r="A27" s="9" t="s">
        <v>57</v>
      </c>
      <c r="B27" s="10">
        <v>17146</v>
      </c>
      <c r="C27" s="10">
        <v>36245</v>
      </c>
      <c r="D27" s="10">
        <v>-1016</v>
      </c>
      <c r="E27" s="10">
        <v>65682</v>
      </c>
      <c r="F27" s="10">
        <v>64663</v>
      </c>
      <c r="G27" s="10">
        <f>G25+G26</f>
        <v>48334</v>
      </c>
      <c r="H27" s="10">
        <f t="shared" ref="H27:I27" si="17">H9*H28</f>
        <v>150000</v>
      </c>
      <c r="I27" s="10">
        <f t="shared" si="17"/>
        <v>172500</v>
      </c>
      <c r="J27" s="10">
        <f t="shared" ref="J27:K27" si="18">J9*J28</f>
        <v>198374.99999999997</v>
      </c>
      <c r="K27" s="10">
        <f t="shared" si="18"/>
        <v>228131.24999999994</v>
      </c>
      <c r="L27" s="10">
        <f t="shared" ref="L27" si="19">L9*L28</f>
        <v>262350.93749999994</v>
      </c>
    </row>
    <row r="28" spans="1:13" s="15" customFormat="1" x14ac:dyDescent="0.15">
      <c r="A28" s="18" t="s">
        <v>91</v>
      </c>
      <c r="B28" s="19">
        <f>B27/B9</f>
        <v>5.1515463802920454E-4</v>
      </c>
      <c r="C28" s="19">
        <f t="shared" ref="C28:G28" si="20">C27/C9</f>
        <v>7.8517485884182928E-4</v>
      </c>
      <c r="D28" s="19">
        <f t="shared" si="20"/>
        <v>-1.819599660136035E-5</v>
      </c>
      <c r="E28" s="19">
        <f t="shared" si="20"/>
        <v>1.0317917758048834E-3</v>
      </c>
      <c r="F28" s="19">
        <f t="shared" si="20"/>
        <v>7.1753300207394704E-4</v>
      </c>
      <c r="G28" s="19">
        <f t="shared" si="20"/>
        <v>3.2291600622903066E-4</v>
      </c>
      <c r="H28" s="19">
        <v>1E-3</v>
      </c>
      <c r="I28" s="19">
        <v>1E-3</v>
      </c>
      <c r="J28" s="19">
        <v>1E-3</v>
      </c>
      <c r="K28" s="19">
        <v>1E-3</v>
      </c>
      <c r="L28" s="19">
        <v>1E-3</v>
      </c>
      <c r="M28" s="16"/>
    </row>
    <row r="29" spans="1:13" x14ac:dyDescent="0.15">
      <c r="A29" s="9" t="s">
        <v>58</v>
      </c>
    </row>
    <row r="30" spans="1:13" x14ac:dyDescent="0.15">
      <c r="A30" s="9" t="s">
        <v>59</v>
      </c>
      <c r="B30" s="10">
        <f t="shared" ref="B30:G30" si="21">B22+B27</f>
        <v>7701824</v>
      </c>
      <c r="C30" s="10">
        <f t="shared" si="21"/>
        <v>9288369</v>
      </c>
      <c r="D30" s="10">
        <f t="shared" si="21"/>
        <v>10071073</v>
      </c>
      <c r="E30" s="10">
        <f t="shared" si="21"/>
        <v>9096662</v>
      </c>
      <c r="F30" s="10">
        <f t="shared" si="21"/>
        <v>15356967</v>
      </c>
      <c r="G30" s="10">
        <f t="shared" si="21"/>
        <v>37056777</v>
      </c>
      <c r="H30" s="10">
        <f t="shared" ref="H30:K30" si="22">H22+H27</f>
        <v>28394588.258429192</v>
      </c>
      <c r="I30" s="10">
        <f t="shared" si="22"/>
        <v>32394731.140207171</v>
      </c>
      <c r="J30" s="10">
        <f t="shared" si="22"/>
        <v>33384488.857959181</v>
      </c>
      <c r="K30" s="10">
        <f t="shared" si="22"/>
        <v>43613624.293295451</v>
      </c>
      <c r="L30" s="10">
        <f t="shared" ref="L30" si="23">L22+L27</f>
        <v>50805854.519477241</v>
      </c>
    </row>
    <row r="31" spans="1:13" s="15" customFormat="1" x14ac:dyDescent="0.15">
      <c r="A31" s="18" t="s">
        <v>92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6"/>
    </row>
    <row r="32" spans="1:13" x14ac:dyDescent="0.15">
      <c r="A32" s="9" t="s">
        <v>60</v>
      </c>
      <c r="B32" s="10">
        <v>-1138490</v>
      </c>
      <c r="C32" s="10">
        <v>-1317629</v>
      </c>
      <c r="D32" s="10">
        <v>-1506320</v>
      </c>
      <c r="E32" s="10">
        <v>-1603308</v>
      </c>
      <c r="F32" s="10">
        <v>-1784568</v>
      </c>
      <c r="G32" s="10">
        <v>-2855306</v>
      </c>
    </row>
    <row r="33" spans="1:13" x14ac:dyDescent="0.15">
      <c r="A33" s="9" t="s">
        <v>61</v>
      </c>
      <c r="B33" s="10">
        <v>42869</v>
      </c>
      <c r="C33" s="10">
        <v>44016</v>
      </c>
      <c r="D33" s="10">
        <v>35798</v>
      </c>
      <c r="E33" s="10">
        <v>84894</v>
      </c>
      <c r="F33" s="10">
        <v>-66235</v>
      </c>
      <c r="G33" s="10">
        <v>319484</v>
      </c>
    </row>
    <row r="34" spans="1:13" x14ac:dyDescent="0.15">
      <c r="A34" s="9" t="s">
        <v>62</v>
      </c>
      <c r="B34" s="10">
        <v>-1095621</v>
      </c>
      <c r="C34" s="10">
        <v>-1273613</v>
      </c>
      <c r="D34" s="10">
        <v>-1470522</v>
      </c>
      <c r="E34" s="10">
        <v>-1518414</v>
      </c>
      <c r="F34" s="10">
        <v>-1850803</v>
      </c>
      <c r="G34" s="10">
        <f>G32+G33</f>
        <v>-2535822</v>
      </c>
      <c r="H34" s="10">
        <f>-H30*H35</f>
        <v>-3691296.4735957952</v>
      </c>
      <c r="I34" s="10">
        <f>-I30*I35</f>
        <v>-4211315.0482269321</v>
      </c>
      <c r="J34" s="10">
        <f>-J30*J35</f>
        <v>-4339983.5515346937</v>
      </c>
      <c r="K34" s="10">
        <f>-K30*K35</f>
        <v>-5669771.1581284087</v>
      </c>
      <c r="L34" s="10">
        <f>-L30*L35</f>
        <v>-6604761.0875320416</v>
      </c>
    </row>
    <row r="35" spans="1:13" s="15" customFormat="1" x14ac:dyDescent="0.15">
      <c r="A35" s="18" t="s">
        <v>93</v>
      </c>
      <c r="B35" s="19">
        <f>B34/B30</f>
        <v>-0.14225474381133613</v>
      </c>
      <c r="C35" s="19">
        <f t="shared" ref="C35:G35" si="24">C34/C30</f>
        <v>-0.13711912177477015</v>
      </c>
      <c r="D35" s="19">
        <f t="shared" si="24"/>
        <v>-0.14601443163007558</v>
      </c>
      <c r="E35" s="19">
        <f t="shared" si="24"/>
        <v>-0.16691990974271662</v>
      </c>
      <c r="F35" s="19">
        <f t="shared" si="24"/>
        <v>-0.12051878473138608</v>
      </c>
      <c r="G35" s="19">
        <f t="shared" si="24"/>
        <v>-6.8430721862292557E-2</v>
      </c>
      <c r="H35" s="19">
        <v>0.13</v>
      </c>
      <c r="I35" s="19">
        <v>0.13</v>
      </c>
      <c r="J35" s="19">
        <v>0.13</v>
      </c>
      <c r="K35" s="19">
        <v>0.13</v>
      </c>
      <c r="L35" s="19">
        <v>0.13</v>
      </c>
      <c r="M35" s="16"/>
    </row>
    <row r="36" spans="1:13" x14ac:dyDescent="0.15">
      <c r="A36" s="9" t="s">
        <v>63</v>
      </c>
      <c r="B36" s="10">
        <v>6606203</v>
      </c>
      <c r="C36" s="10">
        <v>8014757</v>
      </c>
      <c r="D36" s="10">
        <v>8600551</v>
      </c>
      <c r="E36" s="10">
        <v>7578248</v>
      </c>
      <c r="F36" s="10">
        <f>F30+F34</f>
        <v>13506164</v>
      </c>
      <c r="G36" s="10">
        <f t="shared" ref="G36:K36" si="25">G30+G34</f>
        <v>34520955</v>
      </c>
      <c r="H36" s="10">
        <f t="shared" si="25"/>
        <v>24703291.784833398</v>
      </c>
      <c r="I36" s="10">
        <f t="shared" si="25"/>
        <v>28183416.091980241</v>
      </c>
      <c r="J36" s="10">
        <f t="shared" si="25"/>
        <v>29044505.306424487</v>
      </c>
      <c r="K36" s="10">
        <f t="shared" si="25"/>
        <v>37943853.13516704</v>
      </c>
      <c r="L36" s="10">
        <f t="shared" ref="L36" si="26">L30+L34</f>
        <v>44201093.431945197</v>
      </c>
    </row>
    <row r="37" spans="1:13" x14ac:dyDescent="0.15">
      <c r="A37" s="18" t="s">
        <v>104</v>
      </c>
      <c r="B37" s="19">
        <f>B36/B9</f>
        <v>0.19848455121966901</v>
      </c>
      <c r="C37" s="19">
        <f t="shared" ref="C37:K37" si="27">C36/C9</f>
        <v>0.17362355348673095</v>
      </c>
      <c r="D37" s="19">
        <f t="shared" si="27"/>
        <v>0.15403109917896296</v>
      </c>
      <c r="E37" s="19">
        <f t="shared" si="27"/>
        <v>0.11904591762446037</v>
      </c>
      <c r="F37" s="19">
        <f t="shared" si="27"/>
        <v>0.14987115354102143</v>
      </c>
      <c r="G37" s="19">
        <f t="shared" si="27"/>
        <v>0.23063203789903766</v>
      </c>
      <c r="H37" s="19">
        <f t="shared" si="27"/>
        <v>0.16468861189888931</v>
      </c>
      <c r="I37" s="19">
        <f t="shared" si="27"/>
        <v>0.16338212227234922</v>
      </c>
      <c r="J37" s="19">
        <f t="shared" si="27"/>
        <v>0.14641212504813858</v>
      </c>
      <c r="K37" s="19">
        <f t="shared" si="27"/>
        <v>0.16632466238258481</v>
      </c>
      <c r="L37" s="19">
        <f t="shared" ref="L37" si="28">L36/L9</f>
        <v>0.16848079085650386</v>
      </c>
    </row>
    <row r="38" spans="1:13" x14ac:dyDescent="0.15">
      <c r="A38" s="9" t="s">
        <v>64</v>
      </c>
      <c r="B38" s="10">
        <v>4101</v>
      </c>
      <c r="C38" s="10">
        <v>8084</v>
      </c>
      <c r="D38" s="10">
        <v>27536</v>
      </c>
      <c r="E38" s="10">
        <v>50805</v>
      </c>
      <c r="F38" s="10">
        <v>55864</v>
      </c>
      <c r="G38" s="10">
        <v>42812</v>
      </c>
      <c r="H38" s="10">
        <f t="shared" ref="H38:I38" si="29">H36*H39</f>
        <v>98813.1671393336</v>
      </c>
      <c r="I38" s="10">
        <f t="shared" si="29"/>
        <v>112733.66436792097</v>
      </c>
      <c r="J38" s="10">
        <f t="shared" ref="J38:K38" si="30">J36*J39</f>
        <v>116178.02122569796</v>
      </c>
      <c r="K38" s="10">
        <f t="shared" si="30"/>
        <v>151775.41254066816</v>
      </c>
      <c r="L38" s="10">
        <f t="shared" ref="L38" si="31">L36*L39</f>
        <v>176804.3737277808</v>
      </c>
    </row>
    <row r="39" spans="1:13" x14ac:dyDescent="0.15">
      <c r="A39" s="18" t="s">
        <v>114</v>
      </c>
      <c r="B39" s="19">
        <f>B38/B36</f>
        <v>6.2078019703602815E-4</v>
      </c>
      <c r="C39" s="19">
        <f t="shared" ref="C39:G39" si="32">C38/C36</f>
        <v>1.0086394384758017E-3</v>
      </c>
      <c r="D39" s="19">
        <f t="shared" si="32"/>
        <v>3.2016553358034851E-3</v>
      </c>
      <c r="E39" s="19">
        <f t="shared" si="32"/>
        <v>6.7040561354022726E-3</v>
      </c>
      <c r="F39" s="19">
        <f t="shared" si="32"/>
        <v>4.1361855224029565E-3</v>
      </c>
      <c r="G39" s="19">
        <f t="shared" si="32"/>
        <v>1.2401742651673455E-3</v>
      </c>
      <c r="H39" s="19">
        <v>4.0000000000000001E-3</v>
      </c>
      <c r="I39" s="19">
        <v>4.0000000000000001E-3</v>
      </c>
      <c r="J39" s="19">
        <v>4.0000000000000001E-3</v>
      </c>
      <c r="K39" s="19">
        <v>4.0000000000000001E-3</v>
      </c>
      <c r="L39" s="19">
        <v>4.0000000000000001E-3</v>
      </c>
    </row>
    <row r="40" spans="1:13" x14ac:dyDescent="0.15">
      <c r="A40" s="9" t="s">
        <v>65</v>
      </c>
      <c r="B40" s="10">
        <v>6602102</v>
      </c>
      <c r="C40" s="10">
        <v>8006672</v>
      </c>
      <c r="D40" s="10">
        <v>8573014</v>
      </c>
      <c r="E40" s="10">
        <v>7527443</v>
      </c>
      <c r="F40" s="10">
        <v>13450300</v>
      </c>
      <c r="G40" s="10">
        <v>34478143</v>
      </c>
      <c r="H40" s="10">
        <f t="shared" ref="H40:I40" si="33">H36*H41</f>
        <v>24604478.617694065</v>
      </c>
      <c r="I40" s="10">
        <f t="shared" si="33"/>
        <v>28070682.42761232</v>
      </c>
      <c r="J40" s="10">
        <f t="shared" ref="J40:K40" si="34">J36*J41</f>
        <v>28928327.285198789</v>
      </c>
      <c r="K40" s="10">
        <f t="shared" si="34"/>
        <v>37792077.722626373</v>
      </c>
      <c r="L40" s="10">
        <f t="shared" ref="L40" si="35">L36*L41</f>
        <v>44024289.058217414</v>
      </c>
    </row>
    <row r="41" spans="1:13" x14ac:dyDescent="0.15">
      <c r="A41" s="18" t="s">
        <v>115</v>
      </c>
      <c r="B41" s="19">
        <f>B40/B36</f>
        <v>0.99937921980296396</v>
      </c>
      <c r="C41" s="19">
        <f t="shared" ref="C41:G41" si="36">C40/C36</f>
        <v>0.99899123579167781</v>
      </c>
      <c r="D41" s="19">
        <f t="shared" si="36"/>
        <v>0.99679822839257626</v>
      </c>
      <c r="E41" s="19">
        <f t="shared" si="36"/>
        <v>0.99329594386459774</v>
      </c>
      <c r="F41" s="19">
        <f t="shared" si="36"/>
        <v>0.99586381447759709</v>
      </c>
      <c r="G41" s="19">
        <f t="shared" si="36"/>
        <v>0.99875982573483268</v>
      </c>
      <c r="H41" s="19">
        <v>0.996</v>
      </c>
      <c r="I41" s="19">
        <v>0.996</v>
      </c>
      <c r="J41" s="19">
        <v>0.996</v>
      </c>
      <c r="K41" s="19">
        <v>0.996</v>
      </c>
      <c r="L41" s="19">
        <v>0.996</v>
      </c>
    </row>
    <row r="42" spans="1:13" x14ac:dyDescent="0.15">
      <c r="A42" s="9" t="s">
        <v>116</v>
      </c>
      <c r="B42" s="10">
        <v>7162</v>
      </c>
      <c r="C42" s="10">
        <v>5895</v>
      </c>
      <c r="D42" s="10">
        <v>4037</v>
      </c>
      <c r="E42" s="10">
        <v>2726</v>
      </c>
      <c r="F42" s="10">
        <v>3846</v>
      </c>
      <c r="G42" s="10">
        <v>7166</v>
      </c>
      <c r="H42" s="10">
        <f>H40/'Thông tin dự báo'!C15*1000000</f>
        <v>4783.2609033921844</v>
      </c>
      <c r="I42" s="10">
        <f>I40/'Thông tin dự báo'!D15*1000000</f>
        <v>4388.5866475943913</v>
      </c>
      <c r="J42" s="10">
        <f>J40/'Thông tin dự báo'!E15*1000000</f>
        <v>3768.8927818923294</v>
      </c>
      <c r="K42" s="10">
        <f>K40/'Thông tin dự báo'!F15*1000000</f>
        <v>4103.0799884973276</v>
      </c>
      <c r="L42" s="10">
        <f>L40/'Thông tin dự báo'!G15*1000000</f>
        <v>3983.091834933397</v>
      </c>
    </row>
    <row r="43" spans="1:13" x14ac:dyDescent="0.15">
      <c r="A43" s="18"/>
      <c r="C43" s="19"/>
      <c r="D43" s="19"/>
      <c r="E43" s="19"/>
      <c r="F43" s="19"/>
      <c r="G43" s="19"/>
      <c r="H43" s="19"/>
      <c r="I43" s="19"/>
      <c r="J43" s="19"/>
      <c r="K43" s="19"/>
      <c r="L43" s="19"/>
    </row>
    <row r="44" spans="1:13" x14ac:dyDescent="0.15">
      <c r="A44" s="83" t="s">
        <v>117</v>
      </c>
      <c r="B44" s="84"/>
      <c r="C44" s="84"/>
      <c r="D44" s="84"/>
      <c r="E44" s="84"/>
      <c r="F44" s="84"/>
      <c r="G44" s="109"/>
      <c r="H44" s="85">
        <v>7</v>
      </c>
      <c r="I44" s="35"/>
      <c r="J44" s="35"/>
      <c r="K44" s="35"/>
      <c r="L44" s="35"/>
    </row>
    <row r="45" spans="1:13" x14ac:dyDescent="0.15">
      <c r="A45" s="93" t="s">
        <v>118</v>
      </c>
      <c r="B45" s="94"/>
      <c r="C45" s="94"/>
      <c r="D45" s="94"/>
      <c r="E45" s="94"/>
      <c r="F45" s="94"/>
      <c r="G45" s="94"/>
      <c r="H45" s="95">
        <f>H42*H44</f>
        <v>33482.826323745292</v>
      </c>
    </row>
    <row r="46" spans="1:13" x14ac:dyDescent="0.15">
      <c r="A46" s="89" t="s">
        <v>119</v>
      </c>
      <c r="B46" s="90"/>
      <c r="C46" s="90"/>
      <c r="D46" s="90"/>
      <c r="E46" s="90"/>
      <c r="F46" s="90"/>
      <c r="G46" s="90"/>
      <c r="H46" s="91">
        <f>H45*'Thông tin dự báo'!D14/1000000</f>
        <v>233635570.87410367</v>
      </c>
    </row>
    <row r="48" spans="1:13" x14ac:dyDescent="0.15">
      <c r="A48" s="9" t="s">
        <v>136</v>
      </c>
      <c r="B48" s="10">
        <f>BCĐKT!B25</f>
        <v>1674326</v>
      </c>
      <c r="C48" s="10">
        <f>BCĐKT!C25</f>
        <v>2004657</v>
      </c>
      <c r="D48" s="10">
        <f>BCĐKT!D25</f>
        <v>2259594</v>
      </c>
      <c r="E48" s="10">
        <f>BCĐKT!E25</f>
        <v>2593233</v>
      </c>
      <c r="F48" s="10">
        <f>BCĐKT!F25</f>
        <v>4775782</v>
      </c>
      <c r="G48" s="10">
        <f>BCĐKT!G25</f>
        <v>6076516</v>
      </c>
      <c r="H48" s="10">
        <f>BCĐKT!H25</f>
        <v>7346174.909</v>
      </c>
      <c r="I48" s="10">
        <f>BCĐKT!I25</f>
        <v>8806174.909</v>
      </c>
      <c r="J48" s="10">
        <f>BCĐKT!J25</f>
        <v>10996174.909</v>
      </c>
      <c r="K48" s="10">
        <f>BCĐKT!K25</f>
        <v>12456174.909</v>
      </c>
      <c r="L48" s="10">
        <f>BCĐKT!L25</f>
        <v>12456174.909</v>
      </c>
    </row>
    <row r="49" spans="1:13" x14ac:dyDescent="0.15">
      <c r="A49" s="24" t="s">
        <v>137</v>
      </c>
      <c r="B49" s="25">
        <f>B23+B48</f>
        <v>9638956</v>
      </c>
      <c r="C49" s="25">
        <f t="shared" ref="C49:K49" si="37">C23+C48</f>
        <v>11736489</v>
      </c>
      <c r="D49" s="25">
        <f t="shared" si="37"/>
        <v>12871544</v>
      </c>
      <c r="E49" s="25">
        <f t="shared" si="37"/>
        <v>12560923</v>
      </c>
      <c r="F49" s="25">
        <f t="shared" si="37"/>
        <v>22259767</v>
      </c>
      <c r="G49" s="25">
        <f t="shared" si="37"/>
        <v>45610782</v>
      </c>
      <c r="H49" s="25">
        <f t="shared" si="37"/>
        <v>38335875.962138712</v>
      </c>
      <c r="I49" s="25">
        <f t="shared" si="37"/>
        <v>44178598.167197652</v>
      </c>
      <c r="J49" s="25">
        <f t="shared" si="37"/>
        <v>47627957.618230611</v>
      </c>
      <c r="K49" s="25">
        <f t="shared" si="37"/>
        <v>58917645.337895453</v>
      </c>
      <c r="L49" s="25">
        <f t="shared" ref="L49" si="38">L23+L48</f>
        <v>65803241.042977244</v>
      </c>
    </row>
    <row r="50" spans="1:13" x14ac:dyDescent="0.15">
      <c r="A50" s="9" t="s">
        <v>139</v>
      </c>
      <c r="C50" s="10">
        <f>-BCĐKT!C75</f>
        <v>-5211051</v>
      </c>
      <c r="D50" s="10">
        <f>-BCĐKT!D75</f>
        <v>5447424</v>
      </c>
      <c r="E50" s="10">
        <f>-BCĐKT!E75</f>
        <v>-1439265</v>
      </c>
      <c r="F50" s="10">
        <f>-BCĐKT!F75</f>
        <v>-9843645</v>
      </c>
      <c r="G50" s="10">
        <f>-BCĐKT!G75</f>
        <v>-6933928</v>
      </c>
      <c r="H50" s="10">
        <f>-BCĐKT!H75</f>
        <v>-3933766.5170599474</v>
      </c>
      <c r="I50" s="10">
        <f>-BCĐKT!I75</f>
        <v>-3860302.2604990453</v>
      </c>
      <c r="J50" s="10">
        <f>-BCĐKT!J75</f>
        <v>-6053771.9001074508</v>
      </c>
      <c r="K50" s="10">
        <f>-BCĐKT!K75</f>
        <v>-3302988.991800651</v>
      </c>
      <c r="L50" s="10">
        <f>-BCĐKT!L75</f>
        <v>-8550815.3602693528</v>
      </c>
    </row>
    <row r="51" spans="1:13" x14ac:dyDescent="0.15">
      <c r="A51" s="9" t="s">
        <v>138</v>
      </c>
      <c r="C51" s="10">
        <f>-BCĐKT!C76</f>
        <v>-6215726</v>
      </c>
      <c r="D51" s="10">
        <f>-BCĐKT!D76</f>
        <v>-35051514</v>
      </c>
      <c r="E51" s="10">
        <f>-BCĐKT!E76</f>
        <v>-21172874</v>
      </c>
      <c r="F51" s="10">
        <f>-BCĐKT!F76</f>
        <v>-7755121</v>
      </c>
      <c r="G51" s="10">
        <f>-BCĐKT!G76</f>
        <v>-14398888</v>
      </c>
      <c r="H51" s="10">
        <f>-BCĐKT!H76</f>
        <v>-21519861.009009</v>
      </c>
      <c r="I51" s="10">
        <f>-BCĐKT!I76</f>
        <v>-29831490.342342347</v>
      </c>
      <c r="J51" s="10">
        <f>-BCĐKT!J76</f>
        <v>-21722563.711711712</v>
      </c>
      <c r="K51" s="10">
        <f>-BCĐKT!K76</f>
        <v>-64598.450450442731</v>
      </c>
      <c r="L51" s="10">
        <f>-BCĐKT!L76</f>
        <v>-1990638.0360360388</v>
      </c>
    </row>
    <row r="52" spans="1:13" s="12" customFormat="1" x14ac:dyDescent="0.15">
      <c r="A52" s="12" t="s">
        <v>0</v>
      </c>
      <c r="B52" s="63"/>
      <c r="C52" s="25">
        <f>C36+C48+C50+C51+(-C16*(1-C35))</f>
        <v>-861877.86033166863</v>
      </c>
      <c r="D52" s="25">
        <f>D36+D48+D50+D51+(-D16*(1-D35))</f>
        <v>-18125256.502925757</v>
      </c>
      <c r="E52" s="25">
        <f>E36+E48+E50+E51+(-E16*(1-E35))</f>
        <v>-11347592.4513449</v>
      </c>
      <c r="F52" s="25">
        <f>F36+F48+F50+F51+(-F16*(1-F35))</f>
        <v>3138999.7306388686</v>
      </c>
      <c r="G52" s="25">
        <f>G36+G48+G50+G51+(-G16*(1-G35))</f>
        <v>21963321.891186383</v>
      </c>
      <c r="H52" s="25">
        <f t="shared" ref="H52:K52" si="39">H36+H48+H50+H51+(-H16*(1-H35))</f>
        <v>8984087.2991617322</v>
      </c>
      <c r="I52" s="25">
        <f t="shared" si="39"/>
        <v>6038465.5407905653</v>
      </c>
      <c r="J52" s="25">
        <f t="shared" si="39"/>
        <v>15262076.504211465</v>
      </c>
      <c r="K52" s="25">
        <f t="shared" si="39"/>
        <v>49708540.927387945</v>
      </c>
      <c r="L52" s="25">
        <f t="shared" ref="L52" si="40">L36+L48+L50+L51+(-L16*(1-L35))</f>
        <v>48554914.364879809</v>
      </c>
      <c r="M52" s="82">
        <f ca="1">(L52*(1+H67))/(H66-H67)</f>
        <v>302505342.1290707</v>
      </c>
    </row>
    <row r="53" spans="1:13" x14ac:dyDescent="0.15">
      <c r="A53" s="9" t="s">
        <v>140</v>
      </c>
      <c r="C53" s="10">
        <f>BCĐKT!C77</f>
        <v>6519643</v>
      </c>
      <c r="D53" s="10">
        <f>BCĐKT!D77</f>
        <v>11325700</v>
      </c>
      <c r="E53" s="10">
        <f>BCĐKT!E77</f>
        <v>12374038</v>
      </c>
      <c r="F53" s="10">
        <f>BCĐKT!F77</f>
        <v>17461962</v>
      </c>
      <c r="G53" s="10">
        <f>BCĐKT!G77</f>
        <v>3070861</v>
      </c>
      <c r="H53" s="10">
        <f>BCĐKT!H77</f>
        <v>2463790.10238095</v>
      </c>
      <c r="I53" s="10">
        <f>BCĐKT!I77</f>
        <v>8806072.2452380955</v>
      </c>
      <c r="J53" s="10">
        <f>BCĐKT!J77</f>
        <v>6423407.2452380918</v>
      </c>
      <c r="K53" s="10">
        <f>BCĐKT!K77</f>
        <v>-8036770.9928571433</v>
      </c>
      <c r="L53" s="10">
        <f>BCĐKT!L77</f>
        <v>-5922061.6000000015</v>
      </c>
    </row>
    <row r="54" spans="1:13" s="12" customFormat="1" x14ac:dyDescent="0.15">
      <c r="A54" s="12" t="s">
        <v>1</v>
      </c>
      <c r="B54" s="63"/>
      <c r="C54" s="25">
        <f>C52+C53</f>
        <v>5657765.1396683315</v>
      </c>
      <c r="D54" s="25">
        <f t="shared" ref="D54:K54" si="41">D52+D53</f>
        <v>-6799556.5029257573</v>
      </c>
      <c r="E54" s="25">
        <f t="shared" si="41"/>
        <v>1026445.5486551002</v>
      </c>
      <c r="F54" s="25">
        <f t="shared" si="41"/>
        <v>20600961.730638869</v>
      </c>
      <c r="G54" s="25">
        <f t="shared" si="41"/>
        <v>25034182.891186383</v>
      </c>
      <c r="H54" s="25">
        <f t="shared" si="41"/>
        <v>11447877.401542682</v>
      </c>
      <c r="I54" s="25">
        <f t="shared" si="41"/>
        <v>14844537.786028661</v>
      </c>
      <c r="J54" s="25">
        <f t="shared" si="41"/>
        <v>21685483.749449559</v>
      </c>
      <c r="K54" s="25">
        <f t="shared" si="41"/>
        <v>41671769.934530802</v>
      </c>
      <c r="L54" s="25">
        <f t="shared" ref="L54" si="42">L52+L53</f>
        <v>42632852.764879808</v>
      </c>
      <c r="M54" s="82">
        <f>K54/(H60-H67)</f>
        <v>242517429.63702965</v>
      </c>
    </row>
    <row r="56" spans="1:13" x14ac:dyDescent="0.15">
      <c r="A56" s="9" t="s">
        <v>141</v>
      </c>
      <c r="C56" s="64"/>
      <c r="H56" s="23">
        <v>3.0700000000000002E-2</v>
      </c>
    </row>
    <row r="57" spans="1:13" x14ac:dyDescent="0.15">
      <c r="A57" s="9" t="s">
        <v>142</v>
      </c>
      <c r="H57" s="23">
        <v>0.11899999999999999</v>
      </c>
    </row>
    <row r="58" spans="1:13" x14ac:dyDescent="0.15">
      <c r="A58" s="9" t="s">
        <v>143</v>
      </c>
      <c r="H58" s="23">
        <v>3.0599999999999999E-2</v>
      </c>
    </row>
    <row r="59" spans="1:13" x14ac:dyDescent="0.15">
      <c r="A59" s="9" t="s">
        <v>144</v>
      </c>
      <c r="H59" s="64">
        <v>1.27</v>
      </c>
    </row>
    <row r="60" spans="1:13" x14ac:dyDescent="0.15">
      <c r="A60" s="9" t="s">
        <v>145</v>
      </c>
      <c r="H60" s="23">
        <f>H56+H59*H57</f>
        <v>0.18182999999999999</v>
      </c>
    </row>
    <row r="61" spans="1:13" x14ac:dyDescent="0.15">
      <c r="A61" s="9" t="s">
        <v>146</v>
      </c>
      <c r="H61" s="23">
        <f ca="1">'[2]Optimal Capital Structure'!$E$17</f>
        <v>5.3359999999999998E-2</v>
      </c>
    </row>
    <row r="62" spans="1:13" x14ac:dyDescent="0.15">
      <c r="A62" s="9" t="s">
        <v>190</v>
      </c>
      <c r="H62" s="11">
        <f>[1]Inputs!$D$13</f>
        <v>201728.8140406</v>
      </c>
    </row>
    <row r="63" spans="1:13" x14ac:dyDescent="0.15">
      <c r="A63" s="9" t="s">
        <v>191</v>
      </c>
      <c r="H63" s="110">
        <f>[1]Inputs!$D$17</f>
        <v>16504</v>
      </c>
    </row>
    <row r="64" spans="1:13" x14ac:dyDescent="0.15">
      <c r="A64" s="9" t="s">
        <v>189</v>
      </c>
      <c r="H64" s="20">
        <f>H62/(H62+H63)</f>
        <v>0.92437434272863472</v>
      </c>
    </row>
    <row r="65" spans="1:14" x14ac:dyDescent="0.15">
      <c r="A65" s="9" t="s">
        <v>192</v>
      </c>
      <c r="H65" s="20">
        <f>H63/(H62+H63)</f>
        <v>7.5625657271365235E-2</v>
      </c>
    </row>
    <row r="66" spans="1:14" x14ac:dyDescent="0.15">
      <c r="A66" s="9" t="s">
        <v>2</v>
      </c>
      <c r="H66" s="20">
        <f ca="1">H65*H61+H64*H60</f>
        <v>0.17211437181034769</v>
      </c>
    </row>
    <row r="67" spans="1:14" x14ac:dyDescent="0.15">
      <c r="A67" s="9" t="s">
        <v>158</v>
      </c>
      <c r="H67" s="20">
        <v>0.01</v>
      </c>
    </row>
    <row r="69" spans="1:14" x14ac:dyDescent="0.15">
      <c r="A69" s="83" t="s">
        <v>148</v>
      </c>
      <c r="B69" s="84"/>
      <c r="C69" s="84"/>
      <c r="D69" s="84"/>
      <c r="E69" s="84"/>
      <c r="F69" s="84"/>
      <c r="G69" s="84"/>
      <c r="H69" s="92">
        <f ca="1">H52/((1+$H$66)^1)</f>
        <v>7664855.5083286613</v>
      </c>
      <c r="I69" s="10">
        <f ca="1">I52/((1+$H$66)^2)</f>
        <v>4395280.6405683747</v>
      </c>
      <c r="J69" s="10">
        <f ca="1">J52/((1+$H$66)^3)</f>
        <v>9477715.1737682391</v>
      </c>
      <c r="K69" s="10">
        <f ca="1">K52/((1+$H$66)^4)</f>
        <v>26336075.06927849</v>
      </c>
      <c r="L69" s="10">
        <f ca="1">L52/(1+$H$66)^5</f>
        <v>21947408.001580767</v>
      </c>
      <c r="M69" s="10">
        <f ca="1">M52/(1+$H$66)^5</f>
        <v>136736069.93665487</v>
      </c>
    </row>
    <row r="70" spans="1:14" x14ac:dyDescent="0.15">
      <c r="A70" s="86" t="s">
        <v>147</v>
      </c>
      <c r="B70" s="87"/>
      <c r="C70" s="87"/>
      <c r="D70" s="87"/>
      <c r="E70" s="87"/>
      <c r="F70" s="87"/>
      <c r="G70" s="87"/>
      <c r="H70" s="88">
        <f ca="1">SUM(H69:M69)</f>
        <v>206557404.33017939</v>
      </c>
    </row>
    <row r="71" spans="1:14" x14ac:dyDescent="0.15">
      <c r="A71" s="86" t="s">
        <v>172</v>
      </c>
      <c r="B71" s="87"/>
      <c r="C71" s="87"/>
      <c r="D71" s="87"/>
      <c r="E71" s="87"/>
      <c r="F71" s="87"/>
      <c r="G71" s="87"/>
      <c r="H71" s="88">
        <f ca="1">H70-'Tổng hợp vay'!G10+BCĐKT!G8</f>
        <v>171816205.33017939</v>
      </c>
    </row>
    <row r="72" spans="1:14" x14ac:dyDescent="0.15">
      <c r="A72" s="96" t="s">
        <v>156</v>
      </c>
      <c r="B72" s="97"/>
      <c r="C72" s="97"/>
      <c r="D72" s="97"/>
      <c r="E72" s="97"/>
      <c r="F72" s="97"/>
      <c r="G72" s="97"/>
      <c r="H72" s="98">
        <f ca="1">H71/'Thông tin dự báo'!C14*1000000</f>
        <v>29548.028878404039</v>
      </c>
      <c r="I72" s="10" t="s">
        <v>199</v>
      </c>
    </row>
    <row r="73" spans="1:14" x14ac:dyDescent="0.15">
      <c r="A73" s="12"/>
      <c r="B73" s="63"/>
      <c r="C73" s="63"/>
      <c r="D73" s="63"/>
      <c r="E73" s="63"/>
      <c r="F73" s="63"/>
      <c r="G73" s="63"/>
    </row>
    <row r="74" spans="1:14" x14ac:dyDescent="0.15">
      <c r="B74" s="9"/>
      <c r="C74" s="9"/>
      <c r="D74" s="9"/>
      <c r="E74" s="9"/>
      <c r="F74" s="9"/>
      <c r="G74" s="9"/>
      <c r="N74" s="10"/>
    </row>
    <row r="75" spans="1:14" x14ac:dyDescent="0.15">
      <c r="G75" s="69"/>
    </row>
  </sheetData>
  <pageMargins left="0.7" right="0.7" top="0.75" bottom="0.75" header="0.3" footer="0.3"/>
  <pageSetup paperSize="9" scale="66" fitToHeight="2" orientation="landscape" horizontalDpi="0" vertic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22696-7469-FC40-A6E5-3311082AF73F}">
  <sheetPr>
    <pageSetUpPr fitToPage="1"/>
  </sheetPr>
  <dimension ref="A1:L77"/>
  <sheetViews>
    <sheetView zoomScale="140" zoomScaleNormal="140" workbookViewId="0">
      <pane xSplit="1" ySplit="5" topLeftCell="B68" activePane="bottomRight" state="frozen"/>
      <selection activeCell="D10" sqref="D10"/>
      <selection pane="topRight" activeCell="D10" sqref="D10"/>
      <selection pane="bottomLeft" activeCell="D10" sqref="D10"/>
      <selection pane="bottomRight" activeCell="D73" sqref="D73"/>
    </sheetView>
  </sheetViews>
  <sheetFormatPr baseColWidth="10" defaultRowHeight="14" x14ac:dyDescent="0.15"/>
  <cols>
    <col min="1" max="1" width="37" style="2" customWidth="1"/>
    <col min="2" max="6" width="13.33203125" style="2" customWidth="1"/>
    <col min="7" max="7" width="13.33203125" style="100" customWidth="1"/>
    <col min="8" max="9" width="13.33203125" style="53" customWidth="1"/>
    <col min="10" max="11" width="13.33203125" style="2" customWidth="1"/>
    <col min="12" max="12" width="13.33203125" style="100" customWidth="1"/>
    <col min="13" max="16384" width="10.83203125" style="2"/>
  </cols>
  <sheetData>
    <row r="1" spans="1:12" ht="15" customHeight="1" x14ac:dyDescent="0.15">
      <c r="A1" s="4" t="s">
        <v>69</v>
      </c>
    </row>
    <row r="2" spans="1:12" ht="15" customHeight="1" x14ac:dyDescent="0.15">
      <c r="C2" s="99" t="s">
        <v>170</v>
      </c>
    </row>
    <row r="3" spans="1:12" x14ac:dyDescent="0.15">
      <c r="B3" s="30" t="s">
        <v>66</v>
      </c>
    </row>
    <row r="4" spans="1:12" x14ac:dyDescent="0.15">
      <c r="A4" s="112"/>
      <c r="B4" s="1">
        <v>2016</v>
      </c>
      <c r="C4" s="1">
        <v>2017</v>
      </c>
      <c r="D4" s="1">
        <v>2018</v>
      </c>
      <c r="E4" s="1">
        <v>2019</v>
      </c>
      <c r="F4" s="1">
        <v>2020</v>
      </c>
      <c r="G4" s="1">
        <v>2021</v>
      </c>
      <c r="H4" s="54">
        <v>2022</v>
      </c>
      <c r="I4" s="54">
        <v>2023</v>
      </c>
      <c r="J4" s="54">
        <v>2024</v>
      </c>
      <c r="K4" s="54">
        <v>2025</v>
      </c>
      <c r="L4" s="54">
        <v>2026</v>
      </c>
    </row>
    <row r="5" spans="1:12" x14ac:dyDescent="0.15">
      <c r="A5" s="112"/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  <c r="H5" s="55" t="s">
        <v>68</v>
      </c>
      <c r="I5" s="55" t="s">
        <v>68</v>
      </c>
      <c r="J5" s="55" t="s">
        <v>68</v>
      </c>
      <c r="K5" s="55" t="s">
        <v>68</v>
      </c>
      <c r="L5" s="55" t="s">
        <v>68</v>
      </c>
    </row>
    <row r="6" spans="1:12" x14ac:dyDescent="0.15">
      <c r="A6" s="2" t="s">
        <v>4</v>
      </c>
    </row>
    <row r="7" spans="1:12" s="45" customFormat="1" x14ac:dyDescent="0.15">
      <c r="A7" s="47" t="s">
        <v>5</v>
      </c>
      <c r="B7" s="48">
        <f t="shared" ref="B7:G7" si="0">B8+B9+B10+B12+B14</f>
        <v>18182788</v>
      </c>
      <c r="C7" s="48">
        <f t="shared" si="0"/>
        <v>33068060</v>
      </c>
      <c r="D7" s="48">
        <f t="shared" si="0"/>
        <v>25308726</v>
      </c>
      <c r="E7" s="48">
        <f t="shared" si="0"/>
        <v>30436936</v>
      </c>
      <c r="F7" s="48">
        <f t="shared" si="0"/>
        <v>56747258</v>
      </c>
      <c r="G7" s="48">
        <f t="shared" si="0"/>
        <v>94154861</v>
      </c>
      <c r="H7" s="48">
        <f t="shared" ref="H7:K7" si="1">H8+H10+H12+H14</f>
        <v>89007251.676307186</v>
      </c>
      <c r="I7" s="48">
        <f t="shared" si="1"/>
        <v>116878287.83709663</v>
      </c>
      <c r="J7" s="48">
        <f t="shared" si="1"/>
        <v>123424671.66595612</v>
      </c>
      <c r="K7" s="48">
        <f t="shared" si="1"/>
        <v>172650073.2379182</v>
      </c>
      <c r="L7" s="48">
        <f t="shared" ref="L7" si="2">L8+L10+L12+L14</f>
        <v>214394476.67512172</v>
      </c>
    </row>
    <row r="8" spans="1:12" x14ac:dyDescent="0.15">
      <c r="A8" s="4" t="s">
        <v>6</v>
      </c>
      <c r="B8" s="3">
        <v>4558661</v>
      </c>
      <c r="C8" s="3">
        <v>4264642</v>
      </c>
      <c r="D8" s="3">
        <v>2515617</v>
      </c>
      <c r="E8" s="3">
        <v>4544900</v>
      </c>
      <c r="F8" s="3">
        <v>13696099</v>
      </c>
      <c r="G8" s="40">
        <v>22471376</v>
      </c>
      <c r="H8" s="57">
        <f t="shared" ref="H8:L8" si="3">H72-H16-H10-H12-H14</f>
        <v>44171175.203145392</v>
      </c>
      <c r="I8" s="57">
        <f t="shared" si="3"/>
        <v>48688444.566122361</v>
      </c>
      <c r="J8" s="57">
        <f t="shared" si="3"/>
        <v>59075029.811819106</v>
      </c>
      <c r="K8" s="57">
        <f t="shared" si="3"/>
        <v>87522936.230435312</v>
      </c>
      <c r="L8" s="57">
        <f t="shared" si="3"/>
        <v>127623317.99174175</v>
      </c>
    </row>
    <row r="9" spans="1:12" x14ac:dyDescent="0.15">
      <c r="A9" s="4" t="s">
        <v>7</v>
      </c>
      <c r="B9" s="3">
        <v>693499</v>
      </c>
      <c r="C9" s="3">
        <v>9936707</v>
      </c>
      <c r="D9" s="3">
        <v>3724563</v>
      </c>
      <c r="E9" s="3">
        <v>1374340</v>
      </c>
      <c r="F9" s="3">
        <v>8126993</v>
      </c>
      <c r="G9" s="11">
        <v>18236153</v>
      </c>
    </row>
    <row r="10" spans="1:12" x14ac:dyDescent="0.15">
      <c r="A10" s="4" t="s">
        <v>8</v>
      </c>
      <c r="B10" s="3">
        <v>2394831</v>
      </c>
      <c r="C10" s="3">
        <v>6555419</v>
      </c>
      <c r="D10" s="3">
        <v>3210279</v>
      </c>
      <c r="E10" s="3">
        <v>3561397</v>
      </c>
      <c r="F10" s="3">
        <v>6124790</v>
      </c>
      <c r="G10" s="40">
        <v>7662681</v>
      </c>
      <c r="H10" s="57">
        <f>BCKQKD!H9*2/BCĐKT!H11-BCĐKT!G10</f>
        <v>8380099.7486631013</v>
      </c>
      <c r="I10" s="57">
        <f>BCKQKD!I9*2/BCĐKT!I11-BCĐKT!H10</f>
        <v>10069098.112299465</v>
      </c>
      <c r="J10" s="57">
        <f>BCKQKD!J9*2/BCĐKT!J11-BCĐKT!I10</f>
        <v>11147479.427807484</v>
      </c>
      <c r="K10" s="57">
        <f>BCKQKD!K9*2/BCĐKT!K11-BCĐKT!J10</f>
        <v>13251584.743315507</v>
      </c>
      <c r="L10" s="57">
        <f>BCKQKD!L9*2/BCĐKT!L11-BCĐKT!K10</f>
        <v>14807339.053475928</v>
      </c>
    </row>
    <row r="11" spans="1:12" s="36" customFormat="1" x14ac:dyDescent="0.15">
      <c r="A11" s="37" t="s">
        <v>120</v>
      </c>
      <c r="B11" s="38">
        <f>BCKQKD!B9/(BCĐKT!B10)</f>
        <v>13.897936848153376</v>
      </c>
      <c r="C11" s="38">
        <f>BCKQKD!C9/((BCĐKT!B10+BCĐKT!C10)/2)</f>
        <v>10.315173766095919</v>
      </c>
      <c r="D11" s="38">
        <f>BCKQKD!D9/((BCĐKT!C10+BCĐKT!D10)/2)</f>
        <v>11.4352211178351</v>
      </c>
      <c r="E11" s="38">
        <f>BCKQKD!E9/((BCĐKT!D10+BCĐKT!E10)/2)</f>
        <v>18.801310931001424</v>
      </c>
      <c r="F11" s="38">
        <f>BCKQKD!F9/((BCĐKT!E10+BCĐKT!F10)/2)</f>
        <v>18.607632291220476</v>
      </c>
      <c r="G11" s="38">
        <f>BCKQKD!G9/((BCĐKT!F10+BCĐKT!G10)/2)</f>
        <v>21.712435877471655</v>
      </c>
      <c r="H11" s="56">
        <v>18.7</v>
      </c>
      <c r="I11" s="56">
        <v>18.7</v>
      </c>
      <c r="J11" s="56">
        <v>18.7</v>
      </c>
      <c r="K11" s="56">
        <v>18.7</v>
      </c>
      <c r="L11" s="56">
        <v>18.7</v>
      </c>
    </row>
    <row r="12" spans="1:12" x14ac:dyDescent="0.15">
      <c r="A12" s="4" t="s">
        <v>9</v>
      </c>
      <c r="B12" s="3">
        <v>10247176</v>
      </c>
      <c r="C12" s="3">
        <v>11748873</v>
      </c>
      <c r="D12" s="3">
        <v>14115139</v>
      </c>
      <c r="E12" s="3">
        <v>19411923</v>
      </c>
      <c r="F12" s="3">
        <v>26286822</v>
      </c>
      <c r="G12" s="40">
        <v>42134494</v>
      </c>
      <c r="H12" s="57">
        <f>-BCKQKD!H11*2/BCĐKT!H13-BCĐKT!G12</f>
        <v>33349376.967741936</v>
      </c>
      <c r="I12" s="57">
        <f>-BCKQKD!I11*2/BCĐKT!I13-BCĐKT!H12</f>
        <v>53457074.645161286</v>
      </c>
      <c r="J12" s="57">
        <f>-BCKQKD!J11*2/BCĐKT!J13-BCĐKT!I12</f>
        <v>48930022.129032239</v>
      </c>
      <c r="K12" s="57">
        <f>-BCKQKD!K11*2/BCĐKT!K13-BCĐKT!J12</f>
        <v>65871510.129032239</v>
      </c>
      <c r="L12" s="57">
        <f>-BCKQKD!L11*2/BCĐKT!L13-BCĐKT!K12</f>
        <v>66150251.967741907</v>
      </c>
    </row>
    <row r="13" spans="1:12" s="36" customFormat="1" x14ac:dyDescent="0.15">
      <c r="A13" s="37" t="s">
        <v>121</v>
      </c>
      <c r="B13" s="38">
        <f>-BCKQKD!B11/BCĐKT!B12</f>
        <v>2.3940888689722906</v>
      </c>
      <c r="C13" s="38">
        <f>-BCKQKD!C11/((BCĐKT!B12+BCĐKT!C12)/2)</f>
        <v>3.2311367373295088</v>
      </c>
      <c r="D13" s="38">
        <f>-BCKQKD!D11/((BCĐKT!C12+BCĐKT!D12)/2)</f>
        <v>3.4152184896913904</v>
      </c>
      <c r="E13" s="38">
        <f>-BCKQKD!E11/((BCĐKT!D12+BCĐKT!E12)/2)</f>
        <v>3.1301770492147507</v>
      </c>
      <c r="F13" s="38">
        <f>-BCKQKD!F11/((BCĐKT!E12+BCĐKT!F12)/2)</f>
        <v>3.116691891648228</v>
      </c>
      <c r="G13" s="38">
        <f>-BCKQKD!G11/((BCĐKT!F12+BCĐKT!G12)/2)</f>
        <v>3.1736127378783534</v>
      </c>
      <c r="H13" s="56">
        <v>3.1</v>
      </c>
      <c r="I13" s="56">
        <v>3.1</v>
      </c>
      <c r="J13" s="56">
        <v>3.1</v>
      </c>
      <c r="K13" s="56">
        <v>3.1</v>
      </c>
      <c r="L13" s="56">
        <v>3.1</v>
      </c>
    </row>
    <row r="14" spans="1:12" x14ac:dyDescent="0.15">
      <c r="A14" s="4" t="s">
        <v>10</v>
      </c>
      <c r="B14" s="3">
        <v>288621</v>
      </c>
      <c r="C14" s="3">
        <v>562419</v>
      </c>
      <c r="D14" s="3">
        <v>1743128</v>
      </c>
      <c r="E14" s="3">
        <v>1544376</v>
      </c>
      <c r="F14" s="3">
        <v>2512554</v>
      </c>
      <c r="G14" s="40">
        <v>3650157</v>
      </c>
      <c r="H14" s="57">
        <f>BCKQKD!H9*2/BCĐKT!H15-BCĐKT!G14</f>
        <v>3106599.7567567574</v>
      </c>
      <c r="I14" s="57">
        <f>BCKQKD!I9*2/BCĐKT!I15-BCĐKT!H14</f>
        <v>4663670.5135135129</v>
      </c>
      <c r="J14" s="57">
        <f>BCKQKD!J9*2/BCĐKT!J15-BCĐKT!I14</f>
        <v>4272140.297297297</v>
      </c>
      <c r="K14" s="57">
        <f>BCKQKD!K9*2/BCĐKT!K15-BCĐKT!J14</f>
        <v>6004042.1351351328</v>
      </c>
      <c r="L14" s="57">
        <f>BCKQKD!L9*2/BCĐKT!L15-BCĐKT!K14</f>
        <v>5813567.6621621605</v>
      </c>
    </row>
    <row r="15" spans="1:12" s="36" customFormat="1" x14ac:dyDescent="0.15">
      <c r="A15" s="37" t="s">
        <v>122</v>
      </c>
      <c r="B15" s="38">
        <f>BCKQKD!B9/BCĐKT!B14</f>
        <v>115.31804685036778</v>
      </c>
      <c r="C15" s="38">
        <f>BCKQKD!C9/((BCĐKT!B14+BCĐKT!C14)/2)</f>
        <v>108.48301372438428</v>
      </c>
      <c r="D15" s="38">
        <f>BCKQKD!D9/((BCĐKT!C14+BCĐKT!D14)/2)</f>
        <v>48.436625234705687</v>
      </c>
      <c r="E15" s="38">
        <f>BCKQKD!E9/((BCĐKT!D14+BCĐKT!E14)/2)</f>
        <v>38.727370673921612</v>
      </c>
      <c r="F15" s="38">
        <f>BCKQKD!F9/((BCĐKT!E14+BCĐKT!F14)/2)</f>
        <v>44.426945005213298</v>
      </c>
      <c r="G15" s="38">
        <f>BCKQKD!G9/((BCĐKT!F14+BCĐKT!G14)/2)</f>
        <v>48.575956263404208</v>
      </c>
      <c r="H15" s="56">
        <v>44.4</v>
      </c>
      <c r="I15" s="56">
        <v>44.4</v>
      </c>
      <c r="J15" s="56">
        <v>44.4</v>
      </c>
      <c r="K15" s="56">
        <v>44.4</v>
      </c>
      <c r="L15" s="56">
        <v>44.4</v>
      </c>
    </row>
    <row r="16" spans="1:12" s="45" customFormat="1" x14ac:dyDescent="0.15">
      <c r="A16" s="47" t="s">
        <v>11</v>
      </c>
      <c r="B16" s="61">
        <f t="shared" ref="B16:E16" si="4">B17+B19+B21+B24+B32</f>
        <v>15043763</v>
      </c>
      <c r="C16" s="61">
        <f t="shared" si="4"/>
        <v>19954124</v>
      </c>
      <c r="D16" s="61">
        <f t="shared" si="4"/>
        <v>52914282</v>
      </c>
      <c r="E16" s="61">
        <f t="shared" si="4"/>
        <v>71339065</v>
      </c>
      <c r="F16" s="61">
        <f>F17+F19+F21+F24+F32</f>
        <v>74764176</v>
      </c>
      <c r="G16" s="61">
        <f>G17+G19+G21+G24+G32</f>
        <v>84081561</v>
      </c>
      <c r="H16" s="61">
        <f t="shared" ref="H16:L16" si="5">H17+H19+H21+H24+H32</f>
        <v>97537352.085083619</v>
      </c>
      <c r="I16" s="61">
        <f t="shared" si="5"/>
        <v>119838472.98111254</v>
      </c>
      <c r="J16" s="61">
        <f t="shared" si="5"/>
        <v>130018820.00272973</v>
      </c>
      <c r="K16" s="61">
        <f t="shared" si="5"/>
        <v>118822955.2257722</v>
      </c>
      <c r="L16" s="61">
        <f t="shared" si="5"/>
        <v>108010218.72345503</v>
      </c>
    </row>
    <row r="17" spans="1:12" x14ac:dyDescent="0.15">
      <c r="A17" s="4" t="s">
        <v>12</v>
      </c>
      <c r="B17" s="3">
        <v>18173</v>
      </c>
      <c r="C17" s="3">
        <v>21811</v>
      </c>
      <c r="D17" s="3">
        <v>22302</v>
      </c>
      <c r="E17" s="3">
        <v>27718</v>
      </c>
      <c r="F17" s="3">
        <v>305166</v>
      </c>
      <c r="G17" s="40">
        <v>809235</v>
      </c>
      <c r="H17" s="57">
        <f>BCKQKD!H9*2/BCĐKT!H18-BCĐKT!G17</f>
        <v>310167.98507462698</v>
      </c>
      <c r="I17" s="57">
        <f>BCKQKD!I9*2/BCĐKT!I18-BCĐKT!H17</f>
        <v>977145.44776119385</v>
      </c>
      <c r="J17" s="57">
        <f>BCKQKD!J9*2/BCĐKT!J18-BCĐKT!I17</f>
        <v>503265</v>
      </c>
      <c r="K17" s="57">
        <f>BCKQKD!K9*2/BCĐKT!K18-BCĐKT!J17</f>
        <v>1199207.0149253728</v>
      </c>
      <c r="L17" s="57">
        <f>BCKQKD!L9*2/BCĐKT!L18-BCĐKT!K17</f>
        <v>758635.80223880569</v>
      </c>
    </row>
    <row r="18" spans="1:12" s="36" customFormat="1" x14ac:dyDescent="0.15">
      <c r="A18" s="37" t="s">
        <v>120</v>
      </c>
      <c r="B18" s="39">
        <f>BCKQKD!B9/BCĐKT!B17</f>
        <v>1831.4648104330599</v>
      </c>
      <c r="C18" s="38">
        <f>BCKQKD!C9/((BCĐKT!B17+BCĐKT!C17)/2)</f>
        <v>2309.0082032813125</v>
      </c>
      <c r="D18" s="38">
        <f>BCKQKD!D9/((BCĐKT!C17+BCĐKT!D17)/2)</f>
        <v>2531.519416045157</v>
      </c>
      <c r="E18" s="38">
        <f>BCKQKD!E9/((BCĐKT!D17+BCĐKT!E17)/2)</f>
        <v>2545.3095961615354</v>
      </c>
      <c r="F18" s="38">
        <f>BCKQKD!F9/((BCĐKT!E17+BCĐKT!F17)/2)</f>
        <v>541.44088030665341</v>
      </c>
      <c r="G18" s="38">
        <f>BCKQKD!G9/((BCĐKT!F17+BCĐKT!G17)/2)</f>
        <v>268.62824064228226</v>
      </c>
      <c r="H18" s="56">
        <v>268</v>
      </c>
      <c r="I18" s="56">
        <v>268</v>
      </c>
      <c r="J18" s="56">
        <v>268</v>
      </c>
      <c r="K18" s="56">
        <v>268</v>
      </c>
      <c r="L18" s="56">
        <v>268</v>
      </c>
    </row>
    <row r="19" spans="1:12" s="100" customFormat="1" x14ac:dyDescent="0.15">
      <c r="A19" s="4" t="s">
        <v>175</v>
      </c>
      <c r="B19" s="3">
        <v>47019</v>
      </c>
      <c r="C19" s="3">
        <v>742673</v>
      </c>
      <c r="D19" s="3">
        <v>910420</v>
      </c>
      <c r="E19" s="3">
        <v>750146</v>
      </c>
      <c r="F19" s="3">
        <v>918470</v>
      </c>
      <c r="G19" s="40">
        <v>1409414</v>
      </c>
      <c r="H19" s="57">
        <f>-BCKQKD!H11*2/BCĐKT!H20-BCĐKT!G19</f>
        <v>1190586</v>
      </c>
      <c r="I19" s="57">
        <f>-BCKQKD!I11*2/BCĐKT!I20-BCĐKT!H19</f>
        <v>1799414</v>
      </c>
      <c r="J19" s="57">
        <f>-BCKQKD!J11*2/BCĐKT!J20-BCĐKT!I19</f>
        <v>1727252.666666666</v>
      </c>
      <c r="K19" s="57">
        <f>-BCKQKD!K11*2/BCĐKT!K20-BCĐKT!J19</f>
        <v>2227022.3333333326</v>
      </c>
      <c r="L19" s="57">
        <f>-BCKQKD!L11*2/BCĐKT!L20-BCĐKT!K19</f>
        <v>2320393.9166666665</v>
      </c>
    </row>
    <row r="20" spans="1:12" s="36" customFormat="1" x14ac:dyDescent="0.15">
      <c r="A20" s="37" t="s">
        <v>176</v>
      </c>
      <c r="B20" s="39">
        <f>-BCKQKD!B11/BCĐKT!B19</f>
        <v>521.7603521980476</v>
      </c>
      <c r="C20" s="38">
        <f>-BCKQKD!C11/((BCĐKT!B19+BCĐKT!C19)/2)</f>
        <v>89.999951879973452</v>
      </c>
      <c r="D20" s="38">
        <f>-BCKQKD!D11/((BCĐKT!C19+BCĐKT!D19)/2)</f>
        <v>53.433927794745969</v>
      </c>
      <c r="E20" s="38">
        <f>-BCKQKD!E11/((BCĐKT!D19+BCĐKT!E19)/2)</f>
        <v>63.198716582177404</v>
      </c>
      <c r="F20" s="38">
        <f>-BCKQKD!F11/((BCĐKT!E19+BCĐKT!F19)/2)</f>
        <v>85.357510655537283</v>
      </c>
      <c r="G20" s="38">
        <f>-BCKQKD!G11/((BCĐKT!F19+BCĐKT!G19)/2)</f>
        <v>93.279029367442703</v>
      </c>
      <c r="H20" s="56">
        <v>90</v>
      </c>
      <c r="I20" s="56">
        <v>90</v>
      </c>
      <c r="J20" s="56">
        <v>90</v>
      </c>
      <c r="K20" s="56">
        <v>90</v>
      </c>
      <c r="L20" s="56">
        <v>90</v>
      </c>
    </row>
    <row r="21" spans="1:12" x14ac:dyDescent="0.15">
      <c r="A21" s="4" t="s">
        <v>13</v>
      </c>
      <c r="B21" s="3">
        <f t="shared" ref="B21:I21" si="6">B22+B23</f>
        <v>12873216</v>
      </c>
      <c r="C21" s="3">
        <f t="shared" si="6"/>
        <v>13388988</v>
      </c>
      <c r="D21" s="3">
        <f t="shared" si="6"/>
        <v>12962301</v>
      </c>
      <c r="E21" s="3">
        <f t="shared" si="6"/>
        <v>31826110</v>
      </c>
      <c r="F21" s="3">
        <f t="shared" si="6"/>
        <v>66125955</v>
      </c>
      <c r="G21" s="40">
        <f t="shared" si="6"/>
        <v>69829053</v>
      </c>
      <c r="H21" s="57">
        <f t="shared" si="6"/>
        <v>70772163.090999991</v>
      </c>
      <c r="I21" s="57">
        <f t="shared" si="6"/>
        <v>81965988.181999996</v>
      </c>
      <c r="J21" s="57">
        <f t="shared" ref="J21:K21" si="7">J22+J23</f>
        <v>100969813.273</v>
      </c>
      <c r="K21" s="57">
        <f t="shared" si="7"/>
        <v>108513638.36399999</v>
      </c>
      <c r="L21" s="57">
        <f t="shared" ref="L21" si="8">L22+L23</f>
        <v>96057463.454999998</v>
      </c>
    </row>
    <row r="22" spans="1:12" s="70" customFormat="1" x14ac:dyDescent="0.15">
      <c r="A22" s="29" t="s">
        <v>168</v>
      </c>
      <c r="B22" s="3">
        <f>18855209+215970+245628</f>
        <v>19316807</v>
      </c>
      <c r="C22" s="3">
        <f>21244526+225393+246141</f>
        <v>21716060</v>
      </c>
      <c r="D22" s="3">
        <f>22992663+268391+246767</f>
        <v>23507821</v>
      </c>
      <c r="E22" s="3">
        <f>43804940+339570+663239</f>
        <v>44807749</v>
      </c>
      <c r="F22" s="3">
        <f>82616601+342995+681931</f>
        <v>83641527</v>
      </c>
      <c r="G22" s="40">
        <f>91026106+618322+698820</f>
        <v>92343248</v>
      </c>
      <c r="H22" s="57">
        <f>G22+G24</f>
        <v>100632533</v>
      </c>
      <c r="I22" s="57">
        <f>H22+H24</f>
        <v>120632533</v>
      </c>
      <c r="J22" s="57">
        <f>I22+I24</f>
        <v>150632533</v>
      </c>
      <c r="K22" s="57">
        <f>J22+J24</f>
        <v>170632533</v>
      </c>
      <c r="L22" s="57">
        <f>K22+K24</f>
        <v>170632533</v>
      </c>
    </row>
    <row r="23" spans="1:12" s="77" customFormat="1" x14ac:dyDescent="0.15">
      <c r="A23" s="81" t="s">
        <v>167</v>
      </c>
      <c r="B23" s="75">
        <f>-6367398-33322-42871</f>
        <v>-6443591</v>
      </c>
      <c r="C23" s="75">
        <f>-8232267-39855-54950</f>
        <v>-8327072</v>
      </c>
      <c r="D23" s="75">
        <f>-10427300-51194-67026</f>
        <v>-10545520</v>
      </c>
      <c r="E23" s="75">
        <f>-12824817-70199-86623</f>
        <v>-12981639</v>
      </c>
      <c r="F23" s="75">
        <f>-17308781-89157-117634</f>
        <v>-17515572</v>
      </c>
      <c r="G23" s="77">
        <f>-22281980-81606-150609</f>
        <v>-22514195</v>
      </c>
      <c r="H23" s="76">
        <f>G23-H25</f>
        <v>-29860369.909000002</v>
      </c>
      <c r="I23" s="76">
        <f>H23-I25</f>
        <v>-38666544.818000004</v>
      </c>
      <c r="J23" s="76">
        <f>I23-J25</f>
        <v>-49662719.727000006</v>
      </c>
      <c r="K23" s="76">
        <f>J23-K25</f>
        <v>-62118894.636000007</v>
      </c>
      <c r="L23" s="76">
        <f>K23-L25</f>
        <v>-74575069.545000002</v>
      </c>
    </row>
    <row r="24" spans="1:12" s="14" customFormat="1" x14ac:dyDescent="0.15">
      <c r="A24" s="80" t="s">
        <v>125</v>
      </c>
      <c r="B24" s="3">
        <v>1107960</v>
      </c>
      <c r="C24" s="3">
        <v>4726077</v>
      </c>
      <c r="D24" s="3">
        <v>37196900</v>
      </c>
      <c r="E24" s="3">
        <v>36685147</v>
      </c>
      <c r="F24" s="3">
        <v>5328742</v>
      </c>
      <c r="G24" s="40">
        <v>8289285</v>
      </c>
      <c r="H24" s="57">
        <f>'Thông tin dự báo'!C26</f>
        <v>20000000</v>
      </c>
      <c r="I24" s="57">
        <f>'Thông tin dự báo'!D26</f>
        <v>30000000</v>
      </c>
      <c r="J24" s="57">
        <f>'Thông tin dự báo'!E26</f>
        <v>20000000</v>
      </c>
      <c r="K24" s="57">
        <v>0</v>
      </c>
      <c r="L24" s="57">
        <v>0</v>
      </c>
    </row>
    <row r="25" spans="1:12" s="14" customFormat="1" x14ac:dyDescent="0.15">
      <c r="A25" s="78" t="s">
        <v>169</v>
      </c>
      <c r="B25" s="11">
        <v>1674326</v>
      </c>
      <c r="C25" s="11">
        <v>2004657</v>
      </c>
      <c r="D25" s="11">
        <v>2259594</v>
      </c>
      <c r="E25" s="11">
        <v>2593233</v>
      </c>
      <c r="F25" s="11">
        <v>4775782</v>
      </c>
      <c r="G25" s="40">
        <v>6076516</v>
      </c>
      <c r="H25" s="57">
        <f>H22*H26</f>
        <v>7346174.909</v>
      </c>
      <c r="I25" s="57">
        <f>I22*I26</f>
        <v>8806174.909</v>
      </c>
      <c r="J25" s="57">
        <f>J22*J26</f>
        <v>10996174.909</v>
      </c>
      <c r="K25" s="57">
        <f>K22*K26</f>
        <v>12456174.909</v>
      </c>
      <c r="L25" s="57">
        <f>L22*L26</f>
        <v>12456174.909</v>
      </c>
    </row>
    <row r="26" spans="1:12" s="36" customFormat="1" x14ac:dyDescent="0.15">
      <c r="A26" s="79" t="s">
        <v>135</v>
      </c>
      <c r="B26" s="19">
        <f>B25/B22</f>
        <v>8.6677161499827585E-2</v>
      </c>
      <c r="C26" s="19">
        <f>C25/((B22+C22)/2)</f>
        <v>9.7709818814269059E-2</v>
      </c>
      <c r="D26" s="19">
        <f t="shared" ref="D26:G26" si="9">D25/((C22+D22)/2)</f>
        <v>9.9929238713501831E-2</v>
      </c>
      <c r="E26" s="19">
        <f t="shared" si="9"/>
        <v>7.5919237737458678E-2</v>
      </c>
      <c r="F26" s="19">
        <f t="shared" si="9"/>
        <v>7.4360590401459328E-2</v>
      </c>
      <c r="G26" s="19">
        <f t="shared" si="9"/>
        <v>6.9057292029949743E-2</v>
      </c>
      <c r="H26" s="19">
        <v>7.2999999999999995E-2</v>
      </c>
      <c r="I26" s="19">
        <v>7.2999999999999995E-2</v>
      </c>
      <c r="J26" s="19">
        <v>7.2999999999999995E-2</v>
      </c>
      <c r="K26" s="19">
        <v>7.2999999999999995E-2</v>
      </c>
      <c r="L26" s="19">
        <v>7.2999999999999995E-2</v>
      </c>
    </row>
    <row r="27" spans="1:12" s="14" customFormat="1" x14ac:dyDescent="0.15">
      <c r="A27" s="4"/>
      <c r="B27" s="3"/>
      <c r="C27" s="3"/>
      <c r="D27" s="3"/>
      <c r="E27" s="3"/>
      <c r="F27" s="3"/>
      <c r="G27" s="100"/>
      <c r="H27" s="53"/>
      <c r="I27" s="53"/>
      <c r="L27" s="100"/>
    </row>
    <row r="28" spans="1:12" x14ac:dyDescent="0.15">
      <c r="A28" s="4" t="s">
        <v>14</v>
      </c>
      <c r="B28" s="3"/>
      <c r="C28" s="3"/>
      <c r="D28" s="3"/>
      <c r="E28" s="3"/>
      <c r="F28" s="3"/>
    </row>
    <row r="29" spans="1:12" x14ac:dyDescent="0.15">
      <c r="A29" s="4" t="s">
        <v>15</v>
      </c>
      <c r="B29" s="3">
        <v>78864</v>
      </c>
      <c r="C29" s="3">
        <v>16952</v>
      </c>
      <c r="D29" s="3">
        <v>66585</v>
      </c>
      <c r="E29" s="3">
        <v>45794</v>
      </c>
      <c r="F29" s="3">
        <v>171085</v>
      </c>
      <c r="G29" s="11">
        <v>6715</v>
      </c>
    </row>
    <row r="30" spans="1:12" x14ac:dyDescent="0.15">
      <c r="A30" s="4" t="s">
        <v>16</v>
      </c>
      <c r="B30" s="3">
        <v>918531</v>
      </c>
      <c r="C30" s="3">
        <v>1057623</v>
      </c>
      <c r="D30" s="3">
        <v>1755774</v>
      </c>
      <c r="E30" s="3">
        <v>2004150</v>
      </c>
      <c r="F30" s="3">
        <v>1914758</v>
      </c>
      <c r="G30" s="11">
        <v>3737859</v>
      </c>
    </row>
    <row r="31" spans="1:12" x14ac:dyDescent="0.15">
      <c r="A31" s="2" t="s">
        <v>17</v>
      </c>
      <c r="B31" s="3"/>
      <c r="C31" s="3"/>
      <c r="D31" s="3"/>
      <c r="E31" s="3"/>
      <c r="F31" s="3"/>
    </row>
    <row r="32" spans="1:12" s="14" customFormat="1" x14ac:dyDescent="0.15">
      <c r="A32" s="14" t="s">
        <v>124</v>
      </c>
      <c r="B32" s="3">
        <f>SUM(B28:B31)</f>
        <v>997395</v>
      </c>
      <c r="C32" s="3">
        <f t="shared" ref="C32:G32" si="10">SUM(C28:C31)</f>
        <v>1074575</v>
      </c>
      <c r="D32" s="3">
        <f t="shared" si="10"/>
        <v>1822359</v>
      </c>
      <c r="E32" s="3">
        <f t="shared" si="10"/>
        <v>2049944</v>
      </c>
      <c r="F32" s="3">
        <f t="shared" si="10"/>
        <v>2085843</v>
      </c>
      <c r="G32" s="3">
        <f t="shared" si="10"/>
        <v>3744574</v>
      </c>
      <c r="H32" s="57">
        <f>BCKQKD!H9*2/BCĐKT!H33-BCĐKT!G32</f>
        <v>5264435.0090090092</v>
      </c>
      <c r="I32" s="57">
        <f>BCKQKD!I9*2/BCĐKT!I33-BCĐKT!H32</f>
        <v>5095925.3513513524</v>
      </c>
      <c r="J32" s="57">
        <f>BCKQKD!J9*2/BCĐKT!J33-BCĐKT!I32</f>
        <v>6818489.0630630609</v>
      </c>
      <c r="K32" s="57">
        <f>BCKQKD!K9*2/BCĐKT!K33-BCĐKT!J32</f>
        <v>6883087.5135135129</v>
      </c>
      <c r="L32" s="57">
        <f>BCKQKD!L9*2/BCĐKT!L33-BCĐKT!K32</f>
        <v>8873725.5495495461</v>
      </c>
    </row>
    <row r="33" spans="1:12" s="36" customFormat="1" x14ac:dyDescent="0.15">
      <c r="A33" s="37" t="s">
        <v>123</v>
      </c>
      <c r="B33" s="38">
        <f>BCKQKD!B9/BCĐKT!B32</f>
        <v>33.370139212648951</v>
      </c>
      <c r="C33" s="39">
        <f>BCKQKD!C9/((BCĐKT!B32+BCĐKT!C32)/2)</f>
        <v>44.558262909212004</v>
      </c>
      <c r="D33" s="39">
        <f>BCKQKD!D9/((BCĐKT!C32+BCĐKT!D32)/2)</f>
        <v>38.548657304584779</v>
      </c>
      <c r="E33" s="39">
        <f>BCKQKD!E9/((BCĐKT!D32+BCĐKT!E32)/2)</f>
        <v>32.87872514108529</v>
      </c>
      <c r="F33" s="39">
        <f>BCKQKD!F9/((BCĐKT!E32+BCĐKT!F32)/2)</f>
        <v>43.579856989733756</v>
      </c>
      <c r="G33" s="101">
        <v>33.299999999999997</v>
      </c>
      <c r="H33" s="56">
        <v>33.299999999999997</v>
      </c>
      <c r="I33" s="56">
        <v>33.299999999999997</v>
      </c>
      <c r="J33" s="56">
        <v>33.299999999999997</v>
      </c>
      <c r="K33" s="56">
        <v>33.299999999999997</v>
      </c>
      <c r="L33" s="56">
        <v>33.299999999999997</v>
      </c>
    </row>
    <row r="34" spans="1:12" s="43" customFormat="1" ht="15" thickBot="1" x14ac:dyDescent="0.2">
      <c r="A34" s="50" t="s">
        <v>18</v>
      </c>
      <c r="B34" s="51">
        <f t="shared" ref="B34:F34" si="11">B7+B16</f>
        <v>33226551</v>
      </c>
      <c r="C34" s="51">
        <f t="shared" si="11"/>
        <v>53022184</v>
      </c>
      <c r="D34" s="51">
        <f t="shared" si="11"/>
        <v>78223008</v>
      </c>
      <c r="E34" s="51">
        <f t="shared" si="11"/>
        <v>101776001</v>
      </c>
      <c r="F34" s="51">
        <f t="shared" si="11"/>
        <v>131511434</v>
      </c>
      <c r="G34" s="102">
        <f>G7+G16</f>
        <v>178236422</v>
      </c>
      <c r="H34" s="51">
        <f>H7+H16</f>
        <v>186544603.76139081</v>
      </c>
      <c r="I34" s="51">
        <f>I7+I16</f>
        <v>236716760.81820917</v>
      </c>
      <c r="J34" s="51">
        <f t="shared" ref="J34:K34" si="12">J7+J16</f>
        <v>253443491.66868585</v>
      </c>
      <c r="K34" s="51">
        <f t="shared" si="12"/>
        <v>291473028.4636904</v>
      </c>
      <c r="L34" s="51">
        <f t="shared" ref="L34" si="13">L7+L16</f>
        <v>322404695.39857674</v>
      </c>
    </row>
    <row r="35" spans="1:12" s="4" customFormat="1" ht="15" thickTop="1" x14ac:dyDescent="0.15">
      <c r="A35" s="4" t="s">
        <v>19</v>
      </c>
      <c r="B35" s="5"/>
      <c r="C35" s="5"/>
      <c r="D35" s="5"/>
      <c r="E35" s="5"/>
      <c r="F35" s="5"/>
      <c r="H35" s="58"/>
      <c r="I35" s="58"/>
    </row>
    <row r="36" spans="1:12" s="44" customFormat="1" x14ac:dyDescent="0.15">
      <c r="A36" s="41" t="s">
        <v>20</v>
      </c>
      <c r="B36" s="42">
        <v>13376291</v>
      </c>
      <c r="C36" s="42">
        <v>20624605</v>
      </c>
      <c r="D36" s="42">
        <v>37600058</v>
      </c>
      <c r="E36" s="42">
        <v>53989394</v>
      </c>
      <c r="F36" s="42">
        <v>72291648</v>
      </c>
      <c r="G36" s="103">
        <f>G37+G53</f>
        <v>87455796</v>
      </c>
      <c r="H36" s="59">
        <f t="shared" ref="H36:I36" si="14">H37+H53</f>
        <v>76875497.04355742</v>
      </c>
      <c r="I36" s="59">
        <f t="shared" si="14"/>
        <v>105842011.28879552</v>
      </c>
      <c r="J36" s="59">
        <f t="shared" ref="J36:K36" si="15">J37+J53</f>
        <v>101897564.7693277</v>
      </c>
      <c r="K36" s="59">
        <f t="shared" si="15"/>
        <v>112031241.95294118</v>
      </c>
      <c r="L36" s="59">
        <f t="shared" ref="L36" si="16">L37+L53</f>
        <v>98761815.455882341</v>
      </c>
    </row>
    <row r="37" spans="1:12" s="45" customFormat="1" x14ac:dyDescent="0.15">
      <c r="A37" s="45" t="s">
        <v>21</v>
      </c>
      <c r="B37" s="46">
        <v>11985020</v>
      </c>
      <c r="C37" s="46">
        <v>18519723</v>
      </c>
      <c r="D37" s="46">
        <v>22636149</v>
      </c>
      <c r="E37" s="46">
        <v>26984198</v>
      </c>
      <c r="F37" s="46">
        <v>51975217</v>
      </c>
      <c r="G37" s="46">
        <f>G38+G50</f>
        <v>73459316</v>
      </c>
      <c r="H37" s="46">
        <f t="shared" ref="H37:I37" si="17">H38+H50</f>
        <v>59718897.941176474</v>
      </c>
      <c r="I37" s="46">
        <f t="shared" si="17"/>
        <v>80724908.941176474</v>
      </c>
      <c r="J37" s="46">
        <f t="shared" ref="J37:K37" si="18">J38+J50</f>
        <v>73460900.843137234</v>
      </c>
      <c r="K37" s="46">
        <f t="shared" si="18"/>
        <v>88187835.769607842</v>
      </c>
      <c r="L37" s="46">
        <f t="shared" ref="L37" si="19">L38+L50</f>
        <v>80034185.522549003</v>
      </c>
    </row>
    <row r="38" spans="1:12" x14ac:dyDescent="0.15">
      <c r="A38" s="2" t="s">
        <v>22</v>
      </c>
      <c r="B38" s="3">
        <v>5488171</v>
      </c>
      <c r="C38" s="3">
        <v>11328519</v>
      </c>
      <c r="D38" s="3">
        <v>11494717</v>
      </c>
      <c r="E38" s="3">
        <v>16837653</v>
      </c>
      <c r="F38" s="3">
        <v>36798466</v>
      </c>
      <c r="G38" s="40">
        <v>43747643</v>
      </c>
      <c r="H38" s="57">
        <f>'Tổng hợp vay'!H6</f>
        <v>43548218</v>
      </c>
      <c r="I38" s="57">
        <f>'Tổng hợp vay'!I6</f>
        <v>44130883</v>
      </c>
      <c r="J38" s="57">
        <f>'Tổng hợp vay'!J6</f>
        <v>47819632.666666664</v>
      </c>
      <c r="K38" s="57">
        <f>'Tổng hợp vay'!K6</f>
        <v>44047780.416666664</v>
      </c>
      <c r="L38" s="57">
        <f>'Tổng hợp vay'!L6</f>
        <v>43925718.816666663</v>
      </c>
    </row>
    <row r="39" spans="1:12" s="14" customFormat="1" x14ac:dyDescent="0.15">
      <c r="B39" s="3"/>
      <c r="C39" s="3"/>
      <c r="D39" s="3"/>
      <c r="E39" s="3"/>
      <c r="F39" s="3"/>
      <c r="G39" s="100"/>
      <c r="H39" s="53"/>
      <c r="I39" s="53"/>
      <c r="L39" s="100"/>
    </row>
    <row r="40" spans="1:12" x14ac:dyDescent="0.15">
      <c r="A40" s="2" t="s">
        <v>23</v>
      </c>
      <c r="B40" s="3">
        <v>3733635</v>
      </c>
      <c r="C40" s="3">
        <v>4226438</v>
      </c>
      <c r="D40" s="3">
        <v>8706913</v>
      </c>
      <c r="E40" s="3">
        <v>7507199</v>
      </c>
      <c r="F40" s="3">
        <v>10915753</v>
      </c>
      <c r="G40" s="11">
        <v>23729143</v>
      </c>
    </row>
    <row r="41" spans="1:12" x14ac:dyDescent="0.15">
      <c r="A41" s="2" t="s">
        <v>24</v>
      </c>
      <c r="B41" s="3">
        <v>1036124</v>
      </c>
      <c r="C41" s="3">
        <v>824276</v>
      </c>
      <c r="D41" s="3">
        <v>361444</v>
      </c>
      <c r="E41" s="3">
        <v>408692</v>
      </c>
      <c r="F41" s="3">
        <v>1257273</v>
      </c>
      <c r="G41" s="11">
        <v>788003</v>
      </c>
    </row>
    <row r="42" spans="1:12" x14ac:dyDescent="0.15">
      <c r="A42" s="2" t="s">
        <v>25</v>
      </c>
      <c r="B42" s="3">
        <v>744423</v>
      </c>
      <c r="C42" s="3">
        <v>378252</v>
      </c>
      <c r="D42" s="3">
        <v>481510</v>
      </c>
      <c r="E42" s="3">
        <v>478426</v>
      </c>
      <c r="F42" s="3">
        <v>548579</v>
      </c>
      <c r="G42" s="11">
        <v>796022</v>
      </c>
    </row>
    <row r="43" spans="1:12" x14ac:dyDescent="0.15">
      <c r="A43" s="2" t="s">
        <v>26</v>
      </c>
      <c r="B43" s="3">
        <v>262346</v>
      </c>
      <c r="C43" s="3">
        <v>294643</v>
      </c>
      <c r="D43" s="3">
        <v>252288</v>
      </c>
      <c r="E43" s="3">
        <v>247937</v>
      </c>
      <c r="F43" s="3">
        <v>313099</v>
      </c>
      <c r="G43" s="11">
        <v>816457</v>
      </c>
    </row>
    <row r="44" spans="1:12" x14ac:dyDescent="0.15">
      <c r="A44" s="2" t="s">
        <v>27</v>
      </c>
      <c r="B44" s="3">
        <v>159606</v>
      </c>
      <c r="C44" s="3">
        <v>308755</v>
      </c>
      <c r="D44" s="3">
        <v>261634</v>
      </c>
      <c r="E44" s="3">
        <v>429777</v>
      </c>
      <c r="F44" s="3">
        <v>640129</v>
      </c>
      <c r="G44" s="11">
        <v>772615</v>
      </c>
    </row>
    <row r="45" spans="1:12" x14ac:dyDescent="0.15">
      <c r="A45" s="2" t="s">
        <v>28</v>
      </c>
      <c r="B45" s="3"/>
      <c r="C45" s="3"/>
      <c r="D45" s="3"/>
      <c r="E45" s="3"/>
      <c r="F45" s="3"/>
      <c r="G45" s="11"/>
    </row>
    <row r="46" spans="1:12" x14ac:dyDescent="0.15">
      <c r="A46" s="2" t="s">
        <v>127</v>
      </c>
      <c r="B46" s="3">
        <v>5433</v>
      </c>
      <c r="C46" s="3">
        <v>2863</v>
      </c>
      <c r="D46" s="3">
        <v>9929</v>
      </c>
      <c r="E46" s="3">
        <v>27406</v>
      </c>
      <c r="F46" s="3">
        <v>34546</v>
      </c>
      <c r="G46" s="11">
        <v>16951</v>
      </c>
    </row>
    <row r="47" spans="1:12" x14ac:dyDescent="0.15">
      <c r="A47" s="2" t="s">
        <v>29</v>
      </c>
      <c r="B47" s="3">
        <v>140603</v>
      </c>
      <c r="C47" s="3">
        <v>442135</v>
      </c>
      <c r="D47" s="3">
        <v>300069</v>
      </c>
      <c r="E47" s="3">
        <v>237392</v>
      </c>
      <c r="F47" s="3">
        <v>328061</v>
      </c>
      <c r="G47" s="11">
        <v>1047159</v>
      </c>
    </row>
    <row r="48" spans="1:12" x14ac:dyDescent="0.15">
      <c r="A48" s="2" t="s">
        <v>30</v>
      </c>
      <c r="B48" s="3">
        <v>14918</v>
      </c>
      <c r="C48" s="3">
        <v>8151</v>
      </c>
      <c r="D48" s="3">
        <v>6239</v>
      </c>
      <c r="E48" s="3">
        <v>3111</v>
      </c>
      <c r="F48" s="3">
        <v>5847</v>
      </c>
      <c r="G48" s="11">
        <v>4756</v>
      </c>
    </row>
    <row r="49" spans="1:12" s="14" customFormat="1" x14ac:dyDescent="0.15">
      <c r="A49" s="14" t="s">
        <v>126</v>
      </c>
      <c r="B49" s="3">
        <v>399761</v>
      </c>
      <c r="C49" s="3">
        <v>705690</v>
      </c>
      <c r="D49" s="3">
        <v>761403</v>
      </c>
      <c r="E49" s="3">
        <v>806604</v>
      </c>
      <c r="F49" s="3">
        <v>1133445</v>
      </c>
      <c r="G49" s="11">
        <v>1740567</v>
      </c>
      <c r="H49" s="53"/>
      <c r="I49" s="53"/>
      <c r="L49" s="100"/>
    </row>
    <row r="50" spans="1:12" s="14" customFormat="1" x14ac:dyDescent="0.15">
      <c r="A50" s="14" t="s">
        <v>128</v>
      </c>
      <c r="B50" s="3">
        <f>SUM(B40:B49)</f>
        <v>6496849</v>
      </c>
      <c r="C50" s="3">
        <f t="shared" ref="C50:G50" si="20">SUM(C40:C49)</f>
        <v>7191203</v>
      </c>
      <c r="D50" s="3">
        <f t="shared" si="20"/>
        <v>11141429</v>
      </c>
      <c r="E50" s="3">
        <f t="shared" si="20"/>
        <v>10146544</v>
      </c>
      <c r="F50" s="3">
        <f t="shared" si="20"/>
        <v>15176732</v>
      </c>
      <c r="G50" s="3">
        <f t="shared" si="20"/>
        <v>29711673</v>
      </c>
      <c r="H50" s="57">
        <f>-BCKQKD!H11*2/BCĐKT!H51-BCĐKT!G50</f>
        <v>16170679.941176474</v>
      </c>
      <c r="I50" s="57">
        <f>-BCKQKD!I11*2/BCĐKT!I51-BCĐKT!H50</f>
        <v>36594025.941176474</v>
      </c>
      <c r="J50" s="57">
        <f>-BCKQKD!J11*2/BCĐKT!J51-BCĐKT!I50</f>
        <v>25641268.176470578</v>
      </c>
      <c r="K50" s="57">
        <f>-BCKQKD!K11*2/BCĐKT!K51-BCĐKT!J50</f>
        <v>44140055.35294117</v>
      </c>
      <c r="L50" s="57">
        <f>-BCKQKD!L11*2/BCĐKT!L51-BCĐKT!K50</f>
        <v>36108466.705882341</v>
      </c>
    </row>
    <row r="51" spans="1:12" s="36" customFormat="1" x14ac:dyDescent="0.15">
      <c r="A51" s="37" t="s">
        <v>129</v>
      </c>
      <c r="B51" s="38">
        <f>-BCKQKD!B11/BCĐKT!B50</f>
        <v>3.7760843756719602</v>
      </c>
      <c r="C51" s="38">
        <f>-BCKQKD!C11/((BCĐKT!B50+BCĐKT!C50)/2)</f>
        <v>5.1922831678313317</v>
      </c>
      <c r="D51" s="38">
        <f>-BCKQKD!D11/((BCĐKT!C50+BCĐKT!D50)/2)</f>
        <v>4.8182526109726087</v>
      </c>
      <c r="E51" s="38">
        <f>-BCKQKD!E11/((BCĐKT!D50+BCĐKT!E50)/2)</f>
        <v>4.9298089583259053</v>
      </c>
      <c r="F51" s="38">
        <f>-BCKQKD!F11/((BCĐKT!E50+BCĐKT!F50)/2)</f>
        <v>5.6244266342158893</v>
      </c>
      <c r="G51" s="38">
        <f>-BCKQKD!G11/((BCĐKT!F50+BCĐKT!G50)/2)</f>
        <v>4.8373908585078933</v>
      </c>
      <c r="H51" s="56">
        <v>5.0999999999999996</v>
      </c>
      <c r="I51" s="56">
        <v>5.0999999999999996</v>
      </c>
      <c r="J51" s="56">
        <v>5.0999999999999996</v>
      </c>
      <c r="K51" s="56">
        <v>5.0999999999999996</v>
      </c>
      <c r="L51" s="56">
        <v>5.0999999999999996</v>
      </c>
    </row>
    <row r="52" spans="1:12" s="14" customFormat="1" x14ac:dyDescent="0.15">
      <c r="B52" s="3"/>
      <c r="C52" s="3"/>
      <c r="D52" s="3"/>
      <c r="E52" s="3"/>
      <c r="F52" s="3"/>
      <c r="G52" s="100"/>
      <c r="H52" s="53"/>
      <c r="I52" s="53"/>
      <c r="L52" s="100"/>
    </row>
    <row r="53" spans="1:12" s="45" customFormat="1" x14ac:dyDescent="0.15">
      <c r="A53" s="45" t="s">
        <v>31</v>
      </c>
      <c r="B53" s="46">
        <v>1391271</v>
      </c>
      <c r="C53" s="46">
        <v>2104882</v>
      </c>
      <c r="D53" s="46">
        <v>14963908</v>
      </c>
      <c r="E53" s="46">
        <v>27005196</v>
      </c>
      <c r="F53" s="46">
        <v>20316431</v>
      </c>
      <c r="G53" s="46">
        <f>G54+G63+G56</f>
        <v>13996480</v>
      </c>
      <c r="H53" s="46">
        <f t="shared" ref="H53:I53" si="21">H54+H63+H56</f>
        <v>17156599.10238095</v>
      </c>
      <c r="I53" s="46">
        <f t="shared" si="21"/>
        <v>25117102.347619046</v>
      </c>
      <c r="J53" s="46">
        <f t="shared" ref="J53:K53" si="22">J54+J63+J56</f>
        <v>28436663.926190473</v>
      </c>
      <c r="K53" s="46">
        <f t="shared" si="22"/>
        <v>23843406.18333333</v>
      </c>
      <c r="L53" s="46">
        <f t="shared" ref="L53" si="23">L54+L63+L56</f>
        <v>18727629.93333333</v>
      </c>
    </row>
    <row r="54" spans="1:12" x14ac:dyDescent="0.15">
      <c r="A54" s="2" t="s">
        <v>34</v>
      </c>
      <c r="B54" s="3">
        <v>972200</v>
      </c>
      <c r="C54" s="3">
        <v>1651495</v>
      </c>
      <c r="D54" s="3">
        <v>12810997</v>
      </c>
      <c r="E54" s="3">
        <v>19842099</v>
      </c>
      <c r="F54" s="3">
        <v>17343248</v>
      </c>
      <c r="G54" s="40">
        <v>13464932</v>
      </c>
      <c r="H54" s="57">
        <f>'Tổng hợp vay'!H8</f>
        <v>16128147.10238095</v>
      </c>
      <c r="I54" s="57">
        <f>'Tổng hợp vay'!I8</f>
        <v>24351554.347619046</v>
      </c>
      <c r="J54" s="57">
        <f>'Tổng hợp vay'!J8</f>
        <v>27086211.926190473</v>
      </c>
      <c r="K54" s="57">
        <f>'Tổng hợp vay'!K8</f>
        <v>22821293.18333333</v>
      </c>
      <c r="L54" s="57">
        <f>'Tổng hợp vay'!L8</f>
        <v>17021293.18333333</v>
      </c>
    </row>
    <row r="55" spans="1:12" s="14" customFormat="1" x14ac:dyDescent="0.15">
      <c r="B55" s="3"/>
      <c r="C55" s="3"/>
      <c r="D55" s="3"/>
      <c r="E55" s="3"/>
      <c r="F55" s="3"/>
      <c r="G55" s="100"/>
      <c r="H55" s="53"/>
      <c r="I55" s="53"/>
      <c r="L55" s="100"/>
    </row>
    <row r="56" spans="1:12" x14ac:dyDescent="0.15">
      <c r="A56" s="2" t="s">
        <v>32</v>
      </c>
      <c r="B56" s="3"/>
      <c r="C56" s="3"/>
      <c r="D56" s="3">
        <v>1647092</v>
      </c>
      <c r="E56" s="3">
        <v>6652492</v>
      </c>
      <c r="F56" s="3">
        <v>2637988</v>
      </c>
      <c r="G56" s="11">
        <v>0</v>
      </c>
      <c r="H56" s="62"/>
      <c r="I56" s="62"/>
      <c r="J56" s="62"/>
    </row>
    <row r="57" spans="1:12" s="36" customFormat="1" x14ac:dyDescent="0.15">
      <c r="A57" s="37" t="s">
        <v>160</v>
      </c>
      <c r="B57" s="67"/>
      <c r="C57" s="67"/>
      <c r="D57" s="19">
        <f>D56/D24</f>
        <v>4.4280356696391368E-2</v>
      </c>
      <c r="E57" s="19">
        <f>E56/E24</f>
        <v>0.18134020288919656</v>
      </c>
      <c r="F57" s="19">
        <f>F56/F24</f>
        <v>0.49504892524351901</v>
      </c>
      <c r="H57" s="68"/>
      <c r="I57" s="68"/>
      <c r="J57" s="68"/>
    </row>
    <row r="58" spans="1:12" x14ac:dyDescent="0.15">
      <c r="A58" s="2" t="s">
        <v>132</v>
      </c>
      <c r="B58" s="3">
        <v>280768</v>
      </c>
      <c r="C58" s="3">
        <v>386454</v>
      </c>
      <c r="D58" s="3">
        <v>451100</v>
      </c>
      <c r="E58" s="3">
        <v>427329</v>
      </c>
      <c r="F58" s="3">
        <v>223664</v>
      </c>
      <c r="G58" s="11">
        <v>410407</v>
      </c>
    </row>
    <row r="59" spans="1:12" x14ac:dyDescent="0.15">
      <c r="A59" s="2" t="s">
        <v>33</v>
      </c>
      <c r="B59" s="3">
        <v>118559</v>
      </c>
      <c r="C59" s="3">
        <v>46660</v>
      </c>
      <c r="D59" s="3">
        <v>36481</v>
      </c>
      <c r="E59" s="3">
        <v>58387</v>
      </c>
      <c r="F59" s="3">
        <v>68736</v>
      </c>
      <c r="G59" s="11">
        <v>63027</v>
      </c>
    </row>
    <row r="60" spans="1:12" x14ac:dyDescent="0.15">
      <c r="A60" s="2" t="s">
        <v>35</v>
      </c>
      <c r="B60" s="3">
        <v>909</v>
      </c>
      <c r="C60" s="3">
        <v>323</v>
      </c>
      <c r="D60" s="3"/>
      <c r="E60" s="3">
        <v>1105</v>
      </c>
      <c r="F60" s="3">
        <v>666</v>
      </c>
      <c r="G60" s="11">
        <v>0</v>
      </c>
    </row>
    <row r="61" spans="1:12" x14ac:dyDescent="0.15">
      <c r="A61" s="2" t="s">
        <v>133</v>
      </c>
      <c r="B61" s="3"/>
      <c r="C61" s="3"/>
      <c r="D61" s="3"/>
      <c r="E61" s="3">
        <v>3370</v>
      </c>
      <c r="F61" s="3">
        <v>16127</v>
      </c>
      <c r="G61" s="11">
        <v>8803</v>
      </c>
    </row>
    <row r="62" spans="1:12" x14ac:dyDescent="0.15">
      <c r="A62" s="2" t="s">
        <v>36</v>
      </c>
      <c r="B62" s="3">
        <v>18835</v>
      </c>
      <c r="C62" s="3">
        <v>19950</v>
      </c>
      <c r="D62" s="3">
        <v>18238</v>
      </c>
      <c r="E62" s="3">
        <v>20414</v>
      </c>
      <c r="F62" s="3">
        <v>26001</v>
      </c>
      <c r="G62" s="11">
        <v>49311</v>
      </c>
    </row>
    <row r="63" spans="1:12" s="14" customFormat="1" x14ac:dyDescent="0.15">
      <c r="A63" s="14" t="s">
        <v>130</v>
      </c>
      <c r="B63" s="3">
        <f>SUM(B58:B62)</f>
        <v>419071</v>
      </c>
      <c r="C63" s="3">
        <f t="shared" ref="C63:G63" si="24">SUM(C58:C62)</f>
        <v>453387</v>
      </c>
      <c r="D63" s="3">
        <f t="shared" si="24"/>
        <v>505819</v>
      </c>
      <c r="E63" s="3">
        <f t="shared" si="24"/>
        <v>510605</v>
      </c>
      <c r="F63" s="3">
        <f t="shared" si="24"/>
        <v>335194</v>
      </c>
      <c r="G63" s="3">
        <f t="shared" si="24"/>
        <v>531548</v>
      </c>
      <c r="H63" s="57">
        <f>-BCKQKD!H11*2/BCĐKT!H64-BCĐKT!G63</f>
        <v>1028452</v>
      </c>
      <c r="I63" s="57">
        <f>-BCKQKD!I11*2/BCĐKT!I64-BCĐKT!H63</f>
        <v>765548</v>
      </c>
      <c r="J63" s="57">
        <f>-BCKQKD!J11*2/BCĐKT!J64-BCĐKT!I63</f>
        <v>1350451.9999999995</v>
      </c>
      <c r="K63" s="57">
        <f>-BCKQKD!K11*2/BCĐKT!K64-BCĐKT!J63</f>
        <v>1022112.9999999995</v>
      </c>
      <c r="L63" s="57">
        <f>-BCKQKD!L11*2/BCĐKT!L64-BCĐKT!K63</f>
        <v>1706336.7499999995</v>
      </c>
    </row>
    <row r="64" spans="1:12" s="36" customFormat="1" x14ac:dyDescent="0.15">
      <c r="A64" s="37" t="s">
        <v>131</v>
      </c>
      <c r="B64" s="38">
        <f>-BCKQKD!B11/BCĐKT!B63</f>
        <v>58.540557566617586</v>
      </c>
      <c r="C64" s="38">
        <f>-BCKQKD!C11/((BCĐKT!B63+BCĐKT!C63)/2)</f>
        <v>81.462078403774171</v>
      </c>
      <c r="D64" s="38">
        <f>-BCKQKD!D11/((BCĐKT!C63+BCĐKT!D63)/2)</f>
        <v>92.087885188374557</v>
      </c>
      <c r="E64" s="38">
        <f>-BCKQKD!E11/((BCĐKT!D63+BCĐKT!E63)/2)</f>
        <v>103.24986422988832</v>
      </c>
      <c r="F64" s="38">
        <f>-BCKQKD!F11/((BCĐKT!E63+BCĐKT!F63)/2)</f>
        <v>168.39569212070481</v>
      </c>
      <c r="G64" s="38">
        <f>-BCKQKD!G11/((BCĐKT!F63+BCĐKT!G63)/2)</f>
        <v>250.52756183500972</v>
      </c>
      <c r="H64" s="56">
        <v>150</v>
      </c>
      <c r="I64" s="56">
        <v>150</v>
      </c>
      <c r="J64" s="56">
        <v>150</v>
      </c>
      <c r="K64" s="56">
        <v>150</v>
      </c>
      <c r="L64" s="56">
        <v>150</v>
      </c>
    </row>
    <row r="65" spans="1:12" s="14" customFormat="1" x14ac:dyDescent="0.15">
      <c r="B65" s="3"/>
      <c r="C65" s="3"/>
      <c r="D65" s="3"/>
      <c r="E65" s="3"/>
      <c r="F65" s="3"/>
      <c r="G65" s="100"/>
      <c r="H65" s="53"/>
      <c r="I65" s="53"/>
      <c r="L65" s="100"/>
    </row>
    <row r="66" spans="1:12" s="43" customFormat="1" x14ac:dyDescent="0.15">
      <c r="A66" s="41" t="s">
        <v>37</v>
      </c>
      <c r="B66" s="42">
        <v>19850261</v>
      </c>
      <c r="C66" s="42">
        <v>32397580</v>
      </c>
      <c r="D66" s="42">
        <v>40622950</v>
      </c>
      <c r="E66" s="42">
        <v>47786636</v>
      </c>
      <c r="F66" s="42">
        <v>59219786</v>
      </c>
      <c r="G66" s="103">
        <f>G67</f>
        <v>90780626</v>
      </c>
      <c r="H66" s="59">
        <f t="shared" ref="H66:L66" si="25">H67</f>
        <v>109669106.7178334</v>
      </c>
      <c r="I66" s="59">
        <f t="shared" si="25"/>
        <v>130874749.52941366</v>
      </c>
      <c r="J66" s="59">
        <f t="shared" si="25"/>
        <v>151545926.89935815</v>
      </c>
      <c r="K66" s="59">
        <f t="shared" si="25"/>
        <v>179441786.51074919</v>
      </c>
      <c r="L66" s="59">
        <f t="shared" si="25"/>
        <v>223642879.9426944</v>
      </c>
    </row>
    <row r="67" spans="1:12" x14ac:dyDescent="0.15">
      <c r="A67" s="4" t="s">
        <v>38</v>
      </c>
      <c r="B67" s="3">
        <v>19850261</v>
      </c>
      <c r="C67" s="3">
        <v>32397580</v>
      </c>
      <c r="D67" s="3">
        <v>40622950</v>
      </c>
      <c r="E67" s="3">
        <v>47786636</v>
      </c>
      <c r="F67" s="3">
        <v>59219786</v>
      </c>
      <c r="G67" s="40">
        <v>90780626</v>
      </c>
      <c r="H67" s="57">
        <f>G67+BCKQKD!H36-'Thông tin dự báo'!D10</f>
        <v>109669106.7178334</v>
      </c>
      <c r="I67" s="57">
        <f>H67+BCKQKD!I36-'Thông tin dự báo'!E10</f>
        <v>130874749.52941366</v>
      </c>
      <c r="J67" s="57">
        <f>I67+BCKQKD!J36-'Thông tin dự báo'!F10</f>
        <v>151545926.89935815</v>
      </c>
      <c r="K67" s="57">
        <f>J67+BCKQKD!K36-'Thông tin dự báo'!G10</f>
        <v>179441786.51074919</v>
      </c>
      <c r="L67" s="57">
        <f>K67+BCKQKD!L36-'Thông tin dự báo'!H10</f>
        <v>223642879.9426944</v>
      </c>
    </row>
    <row r="68" spans="1:12" x14ac:dyDescent="0.15">
      <c r="A68" s="2" t="s">
        <v>39</v>
      </c>
      <c r="B68" s="3"/>
      <c r="C68" s="3"/>
      <c r="D68" s="3"/>
      <c r="E68" s="3"/>
      <c r="F68" s="3"/>
    </row>
    <row r="69" spans="1:12" x14ac:dyDescent="0.15">
      <c r="A69" s="2" t="s">
        <v>40</v>
      </c>
      <c r="B69" s="3"/>
      <c r="C69" s="3"/>
      <c r="D69" s="3"/>
      <c r="E69" s="3"/>
      <c r="F69" s="3"/>
    </row>
    <row r="70" spans="1:12" x14ac:dyDescent="0.15">
      <c r="A70" s="2" t="s">
        <v>41</v>
      </c>
      <c r="B70" s="3"/>
      <c r="C70" s="3"/>
      <c r="D70" s="3"/>
      <c r="E70" s="3"/>
      <c r="F70" s="3"/>
    </row>
    <row r="71" spans="1:12" x14ac:dyDescent="0.15">
      <c r="A71" s="2" t="s">
        <v>42</v>
      </c>
      <c r="B71" s="3"/>
      <c r="C71" s="3"/>
      <c r="D71" s="3"/>
      <c r="E71" s="3"/>
      <c r="F71" s="3"/>
    </row>
    <row r="72" spans="1:12" s="49" customFormat="1" ht="15" thickBot="1" x14ac:dyDescent="0.2">
      <c r="A72" s="52" t="s">
        <v>43</v>
      </c>
      <c r="B72" s="60">
        <f t="shared" ref="B72:G72" si="26">B36+B66</f>
        <v>33226552</v>
      </c>
      <c r="C72" s="60">
        <f t="shared" si="26"/>
        <v>53022185</v>
      </c>
      <c r="D72" s="60">
        <f t="shared" si="26"/>
        <v>78223008</v>
      </c>
      <c r="E72" s="60">
        <f t="shared" si="26"/>
        <v>101776030</v>
      </c>
      <c r="F72" s="60">
        <f t="shared" si="26"/>
        <v>131511434</v>
      </c>
      <c r="G72" s="104">
        <f t="shared" si="26"/>
        <v>178236422</v>
      </c>
      <c r="H72" s="60">
        <f t="shared" ref="H72:K72" si="27">H36+H66</f>
        <v>186544603.76139081</v>
      </c>
      <c r="I72" s="60">
        <f t="shared" si="27"/>
        <v>236716760.81820917</v>
      </c>
      <c r="J72" s="60">
        <f t="shared" si="27"/>
        <v>253443491.66868585</v>
      </c>
      <c r="K72" s="60">
        <f t="shared" si="27"/>
        <v>291473028.4636904</v>
      </c>
      <c r="L72" s="60">
        <f t="shared" ref="L72" si="28">L36+L66</f>
        <v>322404695.39857674</v>
      </c>
    </row>
    <row r="73" spans="1:12" ht="15" thickTop="1" x14ac:dyDescent="0.15">
      <c r="B73" s="62">
        <f t="shared" ref="B73:G73" si="29">B34-B72</f>
        <v>-1</v>
      </c>
      <c r="C73" s="62">
        <f t="shared" si="29"/>
        <v>-1</v>
      </c>
      <c r="D73" s="62">
        <f t="shared" si="29"/>
        <v>0</v>
      </c>
      <c r="E73" s="62">
        <f t="shared" si="29"/>
        <v>-29</v>
      </c>
      <c r="F73" s="62">
        <f t="shared" si="29"/>
        <v>0</v>
      </c>
      <c r="G73" s="105">
        <f t="shared" si="29"/>
        <v>0</v>
      </c>
      <c r="H73" s="62">
        <f t="shared" ref="H73:K73" si="30">H34-H72</f>
        <v>0</v>
      </c>
      <c r="I73" s="62">
        <f t="shared" si="30"/>
        <v>0</v>
      </c>
      <c r="J73" s="62">
        <f t="shared" si="30"/>
        <v>0</v>
      </c>
      <c r="K73" s="62">
        <f t="shared" si="30"/>
        <v>0</v>
      </c>
      <c r="L73" s="62">
        <f t="shared" ref="L73" si="31">L34-L72</f>
        <v>0</v>
      </c>
    </row>
    <row r="74" spans="1:12" x14ac:dyDescent="0.15">
      <c r="D74" s="40"/>
      <c r="E74" s="40"/>
    </row>
    <row r="75" spans="1:12" x14ac:dyDescent="0.15">
      <c r="A75" s="2" t="s">
        <v>161</v>
      </c>
      <c r="C75" s="10">
        <f>((C7-B7)+(C17-B17)-(C50-B50)-(C56-B56)-(C63-B63))-(C8-B8+C9-B9)</f>
        <v>5211051</v>
      </c>
      <c r="D75" s="10">
        <f t="shared" ref="D75:L75" si="32">((D7-C7)+(D17-C17)-(D50-C50)-(D56-C56)-(D63-C63))-(D8-C8+D9-C9)</f>
        <v>-5447424</v>
      </c>
      <c r="E75" s="10">
        <f t="shared" si="32"/>
        <v>1439265</v>
      </c>
      <c r="F75" s="10">
        <f t="shared" si="32"/>
        <v>9843645</v>
      </c>
      <c r="G75" s="10">
        <f t="shared" si="32"/>
        <v>6933928</v>
      </c>
      <c r="H75" s="10">
        <f t="shared" si="32"/>
        <v>3933766.5170599474</v>
      </c>
      <c r="I75" s="10">
        <f t="shared" si="32"/>
        <v>3860302.2604990453</v>
      </c>
      <c r="J75" s="10">
        <f t="shared" si="32"/>
        <v>6053771.9001074508</v>
      </c>
      <c r="K75" s="10">
        <f t="shared" si="32"/>
        <v>3302988.991800651</v>
      </c>
      <c r="L75" s="10">
        <f t="shared" si="32"/>
        <v>8550815.3602693528</v>
      </c>
    </row>
    <row r="76" spans="1:12" x14ac:dyDescent="0.15">
      <c r="A76" s="2" t="s">
        <v>162</v>
      </c>
      <c r="C76" s="10">
        <f>((C21-B21)+(C24-B24)+(C32-B32))+C25</f>
        <v>6215726</v>
      </c>
      <c r="D76" s="10">
        <f t="shared" ref="D76:L76" si="33">((D21-C21)+(D24-C24)+(D32-C32))+D25</f>
        <v>35051514</v>
      </c>
      <c r="E76" s="10">
        <f t="shared" si="33"/>
        <v>21172874</v>
      </c>
      <c r="F76" s="10">
        <f t="shared" si="33"/>
        <v>7755121</v>
      </c>
      <c r="G76" s="10">
        <f t="shared" si="33"/>
        <v>14398888</v>
      </c>
      <c r="H76" s="10">
        <f t="shared" si="33"/>
        <v>21519861.009009</v>
      </c>
      <c r="I76" s="10">
        <f t="shared" si="33"/>
        <v>29831490.342342347</v>
      </c>
      <c r="J76" s="10">
        <f t="shared" si="33"/>
        <v>21722563.711711712</v>
      </c>
      <c r="K76" s="10">
        <f t="shared" si="33"/>
        <v>64598.450450442731</v>
      </c>
      <c r="L76" s="10">
        <f t="shared" si="33"/>
        <v>1990638.0360360388</v>
      </c>
    </row>
    <row r="77" spans="1:12" x14ac:dyDescent="0.15">
      <c r="A77" s="2" t="s">
        <v>163</v>
      </c>
      <c r="C77" s="10">
        <f>(C38-B38)+(C54-B54)</f>
        <v>6519643</v>
      </c>
      <c r="D77" s="10">
        <f t="shared" ref="D77:L77" si="34">(D38-C38)+(D54-C54)</f>
        <v>11325700</v>
      </c>
      <c r="E77" s="10">
        <f t="shared" si="34"/>
        <v>12374038</v>
      </c>
      <c r="F77" s="10">
        <f t="shared" si="34"/>
        <v>17461962</v>
      </c>
      <c r="G77" s="10">
        <f t="shared" si="34"/>
        <v>3070861</v>
      </c>
      <c r="H77" s="10">
        <f t="shared" si="34"/>
        <v>2463790.10238095</v>
      </c>
      <c r="I77" s="10">
        <f t="shared" si="34"/>
        <v>8806072.2452380955</v>
      </c>
      <c r="J77" s="10">
        <f t="shared" si="34"/>
        <v>6423407.2452380918</v>
      </c>
      <c r="K77" s="10">
        <f t="shared" si="34"/>
        <v>-8036770.9928571433</v>
      </c>
      <c r="L77" s="10">
        <f t="shared" si="34"/>
        <v>-5922061.6000000015</v>
      </c>
    </row>
  </sheetData>
  <mergeCells count="1">
    <mergeCell ref="A4:A5"/>
  </mergeCells>
  <pageMargins left="0.7" right="0.7" top="0.75" bottom="0.75" header="0.3" footer="0.3"/>
  <pageSetup paperSize="9" scale="72" fitToHeight="2" orientation="landscape" horizontalDpi="0" verticalDpi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C9CA-BF42-6E42-839B-38EEBBCC597E}">
  <sheetPr>
    <pageSetUpPr fitToPage="1"/>
  </sheetPr>
  <dimension ref="A1:M39"/>
  <sheetViews>
    <sheetView zoomScale="140" zoomScaleNormal="140" workbookViewId="0">
      <pane xSplit="1" ySplit="5" topLeftCell="B6" activePane="bottomRight" state="frozen"/>
      <selection activeCell="D10" sqref="D10"/>
      <selection pane="topRight" activeCell="D10" sqref="D10"/>
      <selection pane="bottomLeft" activeCell="D10" sqref="D10"/>
      <selection pane="bottomRight" activeCell="B12" sqref="B12"/>
    </sheetView>
  </sheetViews>
  <sheetFormatPr baseColWidth="10" defaultRowHeight="14" x14ac:dyDescent="0.15"/>
  <cols>
    <col min="1" max="1" width="37.33203125" style="9" customWidth="1"/>
    <col min="2" max="12" width="14" style="9" customWidth="1"/>
    <col min="13" max="16384" width="10.83203125" style="9"/>
  </cols>
  <sheetData>
    <row r="1" spans="1:12" x14ac:dyDescent="0.15">
      <c r="A1" s="12" t="s">
        <v>166</v>
      </c>
    </row>
    <row r="2" spans="1:12" x14ac:dyDescent="0.15">
      <c r="A2" s="12"/>
      <c r="C2" s="99" t="s">
        <v>170</v>
      </c>
    </row>
    <row r="4" spans="1:12" x14ac:dyDescent="0.15">
      <c r="B4" s="1">
        <v>2016</v>
      </c>
      <c r="C4" s="1">
        <v>2017</v>
      </c>
      <c r="D4" s="1">
        <v>2018</v>
      </c>
      <c r="E4" s="1">
        <v>2019</v>
      </c>
      <c r="F4" s="1">
        <v>2020</v>
      </c>
      <c r="G4" s="1">
        <v>2021</v>
      </c>
      <c r="H4" s="113">
        <v>2022</v>
      </c>
      <c r="I4" s="113">
        <v>2023</v>
      </c>
      <c r="J4" s="113">
        <v>2024</v>
      </c>
      <c r="K4" s="113">
        <v>2025</v>
      </c>
      <c r="L4" s="113">
        <v>2026</v>
      </c>
    </row>
    <row r="5" spans="1:12" x14ac:dyDescent="0.15"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  <c r="H5" s="113" t="s">
        <v>68</v>
      </c>
      <c r="I5" s="113" t="s">
        <v>68</v>
      </c>
      <c r="J5" s="113" t="s">
        <v>68</v>
      </c>
      <c r="K5" s="113" t="s">
        <v>68</v>
      </c>
      <c r="L5" s="113" t="s">
        <v>68</v>
      </c>
    </row>
    <row r="6" spans="1:12" x14ac:dyDescent="0.15">
      <c r="A6" s="29" t="s">
        <v>85</v>
      </c>
      <c r="B6" s="3">
        <v>5488171</v>
      </c>
      <c r="C6" s="3">
        <v>11328519</v>
      </c>
      <c r="D6" s="3">
        <v>11494717</v>
      </c>
      <c r="E6" s="3">
        <v>16837653</v>
      </c>
      <c r="F6" s="3">
        <v>36798466</v>
      </c>
      <c r="G6" s="11">
        <f>BCĐKT!G38</f>
        <v>43747643</v>
      </c>
      <c r="H6" s="11">
        <f>G6+H33-H31+I31</f>
        <v>43548218</v>
      </c>
      <c r="I6" s="11">
        <f t="shared" ref="I6:L6" si="0">H6+I33-I31+J31</f>
        <v>44130883</v>
      </c>
      <c r="J6" s="11">
        <f t="shared" si="0"/>
        <v>47819632.666666664</v>
      </c>
      <c r="K6" s="11">
        <f t="shared" si="0"/>
        <v>44047780.416666664</v>
      </c>
      <c r="L6" s="11">
        <f t="shared" si="0"/>
        <v>43925718.816666663</v>
      </c>
    </row>
    <row r="7" spans="1:12" x14ac:dyDescent="0.15">
      <c r="A7" s="31" t="s">
        <v>98</v>
      </c>
      <c r="B7" s="20">
        <f>B6/B10</f>
        <v>0.99823168621142677</v>
      </c>
      <c r="C7" s="20">
        <f t="shared" ref="C7:K7" si="1">C6/C10</f>
        <v>0.87276631596853438</v>
      </c>
      <c r="D7" s="20">
        <f t="shared" si="1"/>
        <v>0.47292241651489852</v>
      </c>
      <c r="E7" s="20">
        <f t="shared" si="1"/>
        <v>0.45904489757727918</v>
      </c>
      <c r="F7" s="20">
        <f t="shared" si="1"/>
        <v>0.67966939502506329</v>
      </c>
      <c r="G7" s="20">
        <f t="shared" si="1"/>
        <v>0.76465083069587414</v>
      </c>
      <c r="H7" s="20">
        <f t="shared" si="1"/>
        <v>0.72973978769130043</v>
      </c>
      <c r="I7" s="20">
        <f t="shared" si="1"/>
        <v>0.64441168727669884</v>
      </c>
      <c r="J7" s="20">
        <f t="shared" si="1"/>
        <v>0.63839654871506035</v>
      </c>
      <c r="K7" s="20">
        <f t="shared" si="1"/>
        <v>0.65871677361874903</v>
      </c>
      <c r="L7" s="20">
        <f t="shared" ref="L7" si="2">L6/L10</f>
        <v>0.72071980848981843</v>
      </c>
    </row>
    <row r="8" spans="1:12" x14ac:dyDescent="0.15">
      <c r="A8" s="29" t="s">
        <v>84</v>
      </c>
      <c r="B8" s="3">
        <v>9722</v>
      </c>
      <c r="C8" s="3">
        <v>1651495</v>
      </c>
      <c r="D8" s="3">
        <v>12810997</v>
      </c>
      <c r="E8" s="3">
        <v>19842099</v>
      </c>
      <c r="F8" s="3">
        <v>17343248</v>
      </c>
      <c r="G8" s="11">
        <f>BCĐKT!G54</f>
        <v>13464932</v>
      </c>
      <c r="H8" s="11">
        <f>G8+H34-I31-H35</f>
        <v>16128147.10238095</v>
      </c>
      <c r="I8" s="11">
        <f t="shared" ref="I8:L8" si="3">H8+I34-J31-I35</f>
        <v>24351554.347619046</v>
      </c>
      <c r="J8" s="11">
        <f t="shared" si="3"/>
        <v>27086211.926190473</v>
      </c>
      <c r="K8" s="11">
        <f t="shared" si="3"/>
        <v>22821293.18333333</v>
      </c>
      <c r="L8" s="11">
        <f t="shared" si="3"/>
        <v>17021293.18333333</v>
      </c>
    </row>
    <row r="9" spans="1:12" x14ac:dyDescent="0.15">
      <c r="A9" s="31" t="s">
        <v>99</v>
      </c>
      <c r="B9" s="20">
        <f>B8/B10</f>
        <v>1.7683137885731862E-3</v>
      </c>
      <c r="C9" s="20">
        <f t="shared" ref="C9:K9" si="4">C8/C10</f>
        <v>0.12723368403146559</v>
      </c>
      <c r="D9" s="20">
        <f t="shared" si="4"/>
        <v>0.52707758348510148</v>
      </c>
      <c r="E9" s="20">
        <f t="shared" si="4"/>
        <v>0.54095510242272082</v>
      </c>
      <c r="F9" s="20">
        <f t="shared" si="4"/>
        <v>0.32033060497493671</v>
      </c>
      <c r="G9" s="20">
        <f t="shared" si="4"/>
        <v>0.23534916930412589</v>
      </c>
      <c r="H9" s="20">
        <f t="shared" si="4"/>
        <v>0.27026021230869968</v>
      </c>
      <c r="I9" s="20">
        <f t="shared" si="4"/>
        <v>0.35558831272330127</v>
      </c>
      <c r="J9" s="20">
        <f t="shared" si="4"/>
        <v>0.36160345128493959</v>
      </c>
      <c r="K9" s="20">
        <f t="shared" si="4"/>
        <v>0.34128322638125097</v>
      </c>
      <c r="L9" s="20">
        <f t="shared" ref="L9" si="5">L8/L10</f>
        <v>0.27928019151018152</v>
      </c>
    </row>
    <row r="10" spans="1:12" x14ac:dyDescent="0.15">
      <c r="A10" s="12" t="s">
        <v>95</v>
      </c>
      <c r="B10" s="21">
        <f t="shared" ref="B10:F10" si="6">B6+B8</f>
        <v>5497893</v>
      </c>
      <c r="C10" s="21">
        <f t="shared" si="6"/>
        <v>12980014</v>
      </c>
      <c r="D10" s="21">
        <f t="shared" si="6"/>
        <v>24305714</v>
      </c>
      <c r="E10" s="21">
        <f t="shared" si="6"/>
        <v>36679752</v>
      </c>
      <c r="F10" s="21">
        <f t="shared" si="6"/>
        <v>54141714</v>
      </c>
      <c r="G10" s="21">
        <f t="shared" ref="G10:L10" si="7">G6+G8</f>
        <v>57212575</v>
      </c>
      <c r="H10" s="21">
        <f t="shared" si="7"/>
        <v>59676365.102380946</v>
      </c>
      <c r="I10" s="21">
        <f t="shared" si="7"/>
        <v>68482437.347619042</v>
      </c>
      <c r="J10" s="21">
        <f t="shared" si="7"/>
        <v>74905844.592857137</v>
      </c>
      <c r="K10" s="21">
        <f t="shared" si="7"/>
        <v>66869073.599999994</v>
      </c>
      <c r="L10" s="21">
        <f t="shared" si="7"/>
        <v>60947011.999999993</v>
      </c>
    </row>
    <row r="11" spans="1:12" x14ac:dyDescent="0.15">
      <c r="A11" s="9" t="s">
        <v>87</v>
      </c>
      <c r="B11" s="74">
        <f>BCKQKD!B16</f>
        <v>-279952</v>
      </c>
      <c r="C11" s="74">
        <f>BCKQKD!C16</f>
        <v>-479708</v>
      </c>
      <c r="D11" s="74">
        <f>BCKQKD!D16</f>
        <v>-539861</v>
      </c>
      <c r="E11" s="74">
        <f>BCKQKD!E16</f>
        <v>-936710</v>
      </c>
      <c r="F11" s="74">
        <f>BCKQKD!F16</f>
        <v>-2191681</v>
      </c>
      <c r="G11" s="74">
        <f>BCKQKD!G16</f>
        <v>-2525823</v>
      </c>
      <c r="H11" s="74">
        <f>-H10*H12</f>
        <v>-2745112.7947095237</v>
      </c>
      <c r="I11" s="74">
        <f>-I10*I12</f>
        <v>-3150192.1179904761</v>
      </c>
      <c r="J11" s="74">
        <f t="shared" ref="J11:K11" si="8">-J10*J12</f>
        <v>-3445668.8512714282</v>
      </c>
      <c r="K11" s="74">
        <f t="shared" si="8"/>
        <v>-3075977.3855999997</v>
      </c>
      <c r="L11" s="74">
        <f t="shared" ref="L11" si="9">-L10*L12</f>
        <v>-2803562.5519999997</v>
      </c>
    </row>
    <row r="12" spans="1:12" x14ac:dyDescent="0.15">
      <c r="A12" s="9" t="s">
        <v>177</v>
      </c>
      <c r="B12" s="23"/>
      <c r="C12" s="23">
        <f>C11/((C10+B10)/2)</f>
        <v>-5.192233081376587E-2</v>
      </c>
      <c r="D12" s="23">
        <f>D11/((D10+C10)/2)</f>
        <v>-2.895805065144497E-2</v>
      </c>
      <c r="E12" s="23">
        <f>E11/((E10+D10)/2)</f>
        <v>-3.0719122487315256E-2</v>
      </c>
      <c r="F12" s="23">
        <f>F11/((F10+E10)/2)</f>
        <v>-4.826350193466377E-2</v>
      </c>
      <c r="G12" s="23">
        <f>G11/((G10+F10)/2)</f>
        <v>-4.536552696232473E-2</v>
      </c>
      <c r="H12" s="23">
        <v>4.5999999999999999E-2</v>
      </c>
      <c r="I12" s="23">
        <v>4.5999999999999999E-2</v>
      </c>
      <c r="J12" s="23">
        <v>4.5999999999999999E-2</v>
      </c>
      <c r="K12" s="23">
        <v>4.5999999999999999E-2</v>
      </c>
      <c r="L12" s="23">
        <v>4.5999999999999999E-2</v>
      </c>
    </row>
    <row r="13" spans="1:12" x14ac:dyDescent="0.15">
      <c r="A13" s="9" t="s">
        <v>94</v>
      </c>
      <c r="B13" s="73">
        <f>BCKQKD!B14</f>
        <v>197181</v>
      </c>
      <c r="C13" s="73">
        <f>BCKQKD!C14</f>
        <v>186215</v>
      </c>
      <c r="D13" s="73">
        <f>BCKQKD!D14</f>
        <v>294408</v>
      </c>
      <c r="E13" s="73">
        <f>BCKQKD!E14</f>
        <v>471054</v>
      </c>
      <c r="F13" s="73">
        <f>BCKQKD!F14</f>
        <v>1004790</v>
      </c>
      <c r="G13" s="73">
        <f>BCKQKD!G14</f>
        <v>3071441</v>
      </c>
      <c r="H13" s="73">
        <f>H6*H14</f>
        <v>1959669.8099999998</v>
      </c>
      <c r="I13" s="73">
        <f>I6*I14</f>
        <v>1985889.7349999999</v>
      </c>
      <c r="J13" s="73">
        <f t="shared" ref="J13:K13" si="10">J6*J14</f>
        <v>2151883.4699999997</v>
      </c>
      <c r="K13" s="73">
        <f t="shared" si="10"/>
        <v>1982150.1187499999</v>
      </c>
      <c r="L13" s="73">
        <f t="shared" ref="L13" si="11">L6*L14</f>
        <v>1976657.3467499998</v>
      </c>
    </row>
    <row r="14" spans="1:12" x14ac:dyDescent="0.15">
      <c r="A14" s="9" t="s">
        <v>178</v>
      </c>
      <c r="B14" s="20"/>
      <c r="C14" s="20">
        <f>C13/((C6+B6)/2)</f>
        <v>2.214645093653983E-2</v>
      </c>
      <c r="D14" s="20">
        <f t="shared" ref="D14:G14" si="12">D13/((D6+C6)/2)</f>
        <v>2.5798970838315827E-2</v>
      </c>
      <c r="E14" s="20">
        <f t="shared" si="12"/>
        <v>3.3252001156274608E-2</v>
      </c>
      <c r="F14" s="20">
        <f t="shared" si="12"/>
        <v>3.746691664995374E-2</v>
      </c>
      <c r="G14" s="20">
        <f t="shared" si="12"/>
        <v>7.6265409667399323E-2</v>
      </c>
      <c r="H14" s="20">
        <v>4.4999999999999998E-2</v>
      </c>
      <c r="I14" s="20">
        <v>4.4999999999999998E-2</v>
      </c>
      <c r="J14" s="20">
        <v>4.4999999999999998E-2</v>
      </c>
      <c r="K14" s="20">
        <v>4.4999999999999998E-2</v>
      </c>
      <c r="L14" s="20">
        <v>4.4999999999999998E-2</v>
      </c>
    </row>
    <row r="17" spans="1:13" x14ac:dyDescent="0.15">
      <c r="A17" s="12" t="s">
        <v>149</v>
      </c>
      <c r="F17" s="7" t="s">
        <v>152</v>
      </c>
      <c r="G17" s="7" t="s">
        <v>179</v>
      </c>
      <c r="H17" s="71">
        <v>2022</v>
      </c>
      <c r="I17" s="71">
        <v>2023</v>
      </c>
      <c r="J17" s="71">
        <v>2024</v>
      </c>
      <c r="K17" s="71">
        <v>2025</v>
      </c>
      <c r="L17" s="71">
        <v>2026</v>
      </c>
      <c r="M17" s="106" t="s">
        <v>184</v>
      </c>
    </row>
    <row r="18" spans="1:13" x14ac:dyDescent="0.15">
      <c r="A18" s="9" t="s">
        <v>150</v>
      </c>
      <c r="F18" s="65">
        <v>2025</v>
      </c>
      <c r="G18" s="11">
        <v>7364401</v>
      </c>
      <c r="H18" s="11">
        <f>$G$18/4</f>
        <v>1841100.25</v>
      </c>
      <c r="I18" s="11">
        <f>$G$18/4</f>
        <v>1841100.25</v>
      </c>
      <c r="J18" s="11">
        <f>$G$18/4</f>
        <v>1841100.25</v>
      </c>
      <c r="K18" s="11">
        <f>$G$18/4</f>
        <v>1841100.25</v>
      </c>
      <c r="L18" s="11"/>
      <c r="M18" s="22">
        <f t="shared" ref="M18:M29" si="13">SUM(H18:L18)-G18</f>
        <v>0</v>
      </c>
    </row>
    <row r="19" spans="1:13" x14ac:dyDescent="0.15">
      <c r="A19" s="9" t="s">
        <v>151</v>
      </c>
      <c r="F19" s="65">
        <v>2025</v>
      </c>
      <c r="G19" s="11">
        <v>6823526</v>
      </c>
      <c r="H19" s="11">
        <f>$G$19/4</f>
        <v>1705881.5</v>
      </c>
      <c r="I19" s="11">
        <f>$G$19/4</f>
        <v>1705881.5</v>
      </c>
      <c r="J19" s="11">
        <f>$G$19/4</f>
        <v>1705881.5</v>
      </c>
      <c r="K19" s="11">
        <f>$G$19/4</f>
        <v>1705881.5</v>
      </c>
      <c r="L19" s="11"/>
      <c r="M19" s="22">
        <f t="shared" si="13"/>
        <v>0</v>
      </c>
    </row>
    <row r="20" spans="1:13" x14ac:dyDescent="0.15">
      <c r="A20" s="9" t="s">
        <v>153</v>
      </c>
      <c r="F20" s="65">
        <v>2023</v>
      </c>
      <c r="G20" s="11">
        <v>2820923</v>
      </c>
      <c r="H20" s="11">
        <f>$G$20/2</f>
        <v>1410461.5</v>
      </c>
      <c r="I20" s="11">
        <f>$G$20/2</f>
        <v>1410461.5</v>
      </c>
      <c r="J20" s="11"/>
      <c r="M20" s="22">
        <f t="shared" si="13"/>
        <v>0</v>
      </c>
    </row>
    <row r="21" spans="1:13" x14ac:dyDescent="0.15">
      <c r="A21" s="9" t="s">
        <v>154</v>
      </c>
      <c r="F21" s="65">
        <v>2024</v>
      </c>
      <c r="G21" s="11">
        <v>503751</v>
      </c>
      <c r="H21" s="11">
        <f>$G$21/3</f>
        <v>167917</v>
      </c>
      <c r="I21" s="11">
        <f>$G$21/3</f>
        <v>167917</v>
      </c>
      <c r="J21" s="11">
        <f>$G$21/3</f>
        <v>167917</v>
      </c>
      <c r="K21" s="11"/>
      <c r="M21" s="22">
        <f t="shared" si="13"/>
        <v>0</v>
      </c>
    </row>
    <row r="22" spans="1:13" x14ac:dyDescent="0.15">
      <c r="A22" s="9" t="s">
        <v>154</v>
      </c>
      <c r="F22" s="65">
        <v>2022</v>
      </c>
      <c r="G22" s="11">
        <v>199425</v>
      </c>
      <c r="H22" s="22">
        <f>$G$22</f>
        <v>199425</v>
      </c>
      <c r="I22" s="22"/>
      <c r="M22" s="22">
        <f t="shared" si="13"/>
        <v>0</v>
      </c>
    </row>
    <row r="23" spans="1:13" x14ac:dyDescent="0.15">
      <c r="A23" s="9" t="s">
        <v>155</v>
      </c>
      <c r="F23" s="65">
        <v>2025</v>
      </c>
      <c r="G23" s="11">
        <v>14130</v>
      </c>
      <c r="H23" s="22">
        <f>$G$23/4</f>
        <v>3532.5</v>
      </c>
      <c r="I23" s="22">
        <f t="shared" ref="I23:K23" si="14">$G$23/4</f>
        <v>3532.5</v>
      </c>
      <c r="J23" s="22">
        <f t="shared" si="14"/>
        <v>3532.5</v>
      </c>
      <c r="K23" s="22">
        <f t="shared" si="14"/>
        <v>3532.5</v>
      </c>
      <c r="L23" s="22"/>
      <c r="M23" s="22">
        <f t="shared" si="13"/>
        <v>0</v>
      </c>
    </row>
    <row r="24" spans="1:13" x14ac:dyDescent="0.15">
      <c r="A24" s="9" t="s">
        <v>180</v>
      </c>
      <c r="F24" s="65">
        <v>2025</v>
      </c>
      <c r="G24" s="11">
        <v>267584</v>
      </c>
      <c r="H24" s="22">
        <f>$G$24/4</f>
        <v>66896</v>
      </c>
      <c r="I24" s="22">
        <f t="shared" ref="I24:K24" si="15">$G$24/4</f>
        <v>66896</v>
      </c>
      <c r="J24" s="22">
        <f t="shared" si="15"/>
        <v>66896</v>
      </c>
      <c r="K24" s="22">
        <f t="shared" si="15"/>
        <v>66896</v>
      </c>
      <c r="M24" s="22">
        <f t="shared" si="13"/>
        <v>0</v>
      </c>
    </row>
    <row r="25" spans="1:13" x14ac:dyDescent="0.15">
      <c r="A25" s="9" t="s">
        <v>180</v>
      </c>
      <c r="F25" s="65">
        <v>2024</v>
      </c>
      <c r="G25" s="11">
        <v>80000</v>
      </c>
      <c r="H25" s="22">
        <f>$G$25/3</f>
        <v>26666.666666666668</v>
      </c>
      <c r="I25" s="22">
        <f t="shared" ref="I25:J25" si="16">$G$25/3</f>
        <v>26666.666666666668</v>
      </c>
      <c r="J25" s="22">
        <f t="shared" si="16"/>
        <v>26666.666666666668</v>
      </c>
      <c r="M25" s="22">
        <f t="shared" si="13"/>
        <v>0</v>
      </c>
    </row>
    <row r="26" spans="1:13" x14ac:dyDescent="0.15">
      <c r="A26" s="9" t="s">
        <v>181</v>
      </c>
      <c r="F26" s="65">
        <v>2025</v>
      </c>
      <c r="G26" s="11">
        <v>617768</v>
      </c>
      <c r="H26" s="22">
        <f>$G$26/4</f>
        <v>154442</v>
      </c>
      <c r="I26" s="22">
        <f t="shared" ref="I26:K26" si="17">$G$26/4</f>
        <v>154442</v>
      </c>
      <c r="J26" s="22">
        <f t="shared" si="17"/>
        <v>154442</v>
      </c>
      <c r="K26" s="22">
        <f t="shared" si="17"/>
        <v>154442</v>
      </c>
      <c r="M26" s="22">
        <f t="shared" si="13"/>
        <v>0</v>
      </c>
    </row>
    <row r="27" spans="1:13" x14ac:dyDescent="0.15">
      <c r="A27" s="9" t="s">
        <v>182</v>
      </c>
      <c r="F27" s="65">
        <v>2026</v>
      </c>
      <c r="G27" s="11">
        <v>610308</v>
      </c>
      <c r="H27" s="22">
        <f>$G$27/5</f>
        <v>122061.6</v>
      </c>
      <c r="I27" s="22">
        <f t="shared" ref="I27:L27" si="18">$G$27/5</f>
        <v>122061.6</v>
      </c>
      <c r="J27" s="22">
        <f t="shared" si="18"/>
        <v>122061.6</v>
      </c>
      <c r="K27" s="22">
        <f t="shared" si="18"/>
        <v>122061.6</v>
      </c>
      <c r="L27" s="22">
        <f t="shared" si="18"/>
        <v>122061.6</v>
      </c>
      <c r="M27" s="22">
        <f t="shared" si="13"/>
        <v>0</v>
      </c>
    </row>
    <row r="28" spans="1:13" x14ac:dyDescent="0.15">
      <c r="A28" s="9" t="s">
        <v>183</v>
      </c>
      <c r="F28" s="65">
        <v>2023</v>
      </c>
      <c r="G28" s="11">
        <v>13747</v>
      </c>
      <c r="H28" s="22">
        <f>$G$28/2</f>
        <v>6873.5</v>
      </c>
      <c r="I28" s="22">
        <f t="shared" ref="I28" si="19">$G$28/2</f>
        <v>6873.5</v>
      </c>
      <c r="M28" s="22">
        <f t="shared" si="13"/>
        <v>0</v>
      </c>
    </row>
    <row r="29" spans="1:13" x14ac:dyDescent="0.15">
      <c r="A29" s="9" t="s">
        <v>180</v>
      </c>
      <c r="F29" s="65">
        <v>2024</v>
      </c>
      <c r="G29" s="11">
        <v>350000</v>
      </c>
      <c r="H29" s="22">
        <f>$G$29/3</f>
        <v>116666.66666666667</v>
      </c>
      <c r="I29" s="22">
        <f t="shared" ref="I29:J29" si="20">$G$29/3</f>
        <v>116666.66666666667</v>
      </c>
      <c r="J29" s="22">
        <f t="shared" si="20"/>
        <v>116666.66666666667</v>
      </c>
      <c r="M29" s="22">
        <f t="shared" si="13"/>
        <v>0</v>
      </c>
    </row>
    <row r="30" spans="1:13" x14ac:dyDescent="0.15">
      <c r="F30" s="65"/>
      <c r="G30" s="11"/>
      <c r="H30" s="22"/>
      <c r="I30" s="22"/>
    </row>
    <row r="31" spans="1:13" x14ac:dyDescent="0.15">
      <c r="G31" s="21">
        <f>SUM(G18:G29)</f>
        <v>19665563</v>
      </c>
      <c r="H31" s="21">
        <f t="shared" ref="H31:L31" si="21">SUM(H18:H29)</f>
        <v>5821924.1833333336</v>
      </c>
      <c r="I31" s="21">
        <f t="shared" si="21"/>
        <v>5622499.1833333336</v>
      </c>
      <c r="J31" s="21">
        <f t="shared" si="21"/>
        <v>4205164.1833333336</v>
      </c>
      <c r="K31" s="21">
        <f t="shared" si="21"/>
        <v>3893913.85</v>
      </c>
      <c r="L31" s="21">
        <f t="shared" si="21"/>
        <v>122061.6</v>
      </c>
    </row>
    <row r="32" spans="1:13" x14ac:dyDescent="0.15">
      <c r="A32" s="12" t="s">
        <v>165</v>
      </c>
    </row>
    <row r="33" spans="1:12" x14ac:dyDescent="0.15">
      <c r="A33" s="72" t="s">
        <v>193</v>
      </c>
      <c r="H33" s="11">
        <f>'Thông tin dự báo'!C40</f>
        <v>0</v>
      </c>
      <c r="I33" s="11">
        <f>'Thông tin dự báo'!D40</f>
        <v>2000000</v>
      </c>
      <c r="J33" s="11">
        <f>'Thông tin dự báo'!E40</f>
        <v>4000000</v>
      </c>
      <c r="K33" s="11">
        <f>'Thông tin dự báo'!F40</f>
        <v>0</v>
      </c>
      <c r="L33" s="11">
        <f>'Thông tin dự báo'!G40</f>
        <v>0</v>
      </c>
    </row>
    <row r="34" spans="1:12" x14ac:dyDescent="0.15">
      <c r="A34" s="72" t="s">
        <v>164</v>
      </c>
      <c r="H34" s="11">
        <f>'Thông tin dự báo'!C39</f>
        <v>8285714.2857142854</v>
      </c>
      <c r="I34" s="11">
        <f>'Thông tin dự báo'!D39</f>
        <v>12428571.428571427</v>
      </c>
      <c r="J34" s="11">
        <f>'Thông tin dự báo'!E39</f>
        <v>8285714.2857142854</v>
      </c>
      <c r="K34" s="11">
        <f>'Thông tin dự báo'!F39</f>
        <v>0</v>
      </c>
      <c r="L34" s="11">
        <f>'Thông tin dự báo'!G39</f>
        <v>0</v>
      </c>
    </row>
    <row r="35" spans="1:12" x14ac:dyDescent="0.15">
      <c r="A35" s="72" t="s">
        <v>194</v>
      </c>
      <c r="B35" s="15" t="s">
        <v>195</v>
      </c>
      <c r="J35" s="22">
        <f>SUM(J36:J38)</f>
        <v>1657142.857142857</v>
      </c>
      <c r="K35" s="22">
        <f t="shared" ref="K35:L35" si="22">SUM(K36:K38)</f>
        <v>4142857.1428571427</v>
      </c>
      <c r="L35" s="22">
        <f t="shared" si="22"/>
        <v>5800000</v>
      </c>
    </row>
    <row r="36" spans="1:12" s="15" customFormat="1" x14ac:dyDescent="0.15">
      <c r="A36" s="111" t="s">
        <v>196</v>
      </c>
      <c r="J36" s="108">
        <f>$H$34/5</f>
        <v>1657142.857142857</v>
      </c>
      <c r="K36" s="108">
        <f t="shared" ref="K36:L36" si="23">$H$34/5</f>
        <v>1657142.857142857</v>
      </c>
      <c r="L36" s="108">
        <f t="shared" si="23"/>
        <v>1657142.857142857</v>
      </c>
    </row>
    <row r="37" spans="1:12" s="15" customFormat="1" x14ac:dyDescent="0.15">
      <c r="A37" s="111" t="s">
        <v>197</v>
      </c>
      <c r="K37" s="28">
        <f>$I$34/5</f>
        <v>2485714.2857142854</v>
      </c>
      <c r="L37" s="28">
        <f>$I$34/5</f>
        <v>2485714.2857142854</v>
      </c>
    </row>
    <row r="38" spans="1:12" s="15" customFormat="1" x14ac:dyDescent="0.15">
      <c r="A38" s="111" t="s">
        <v>198</v>
      </c>
      <c r="L38" s="28">
        <f>$J$34/5</f>
        <v>1657142.857142857</v>
      </c>
    </row>
    <row r="39" spans="1:12" s="15" customFormat="1" x14ac:dyDescent="0.15">
      <c r="A39" s="111"/>
    </row>
  </sheetData>
  <pageMargins left="0.7" right="0.7" top="0.75" bottom="0.75" header="0.3" footer="0.3"/>
  <pageSetup paperSize="9" scale="69" fitToHeight="2"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A0F54-A3CD-014E-B165-2A65B2B4B6F8}">
  <dimension ref="A1:I43"/>
  <sheetViews>
    <sheetView tabSelected="1" zoomScale="150" zoomScaleNormal="150" workbookViewId="0">
      <selection activeCell="E12" sqref="E12"/>
    </sheetView>
  </sheetViews>
  <sheetFormatPr baseColWidth="10" defaultRowHeight="14" x14ac:dyDescent="0.15"/>
  <cols>
    <col min="1" max="1" width="33.83203125" style="9" customWidth="1"/>
    <col min="2" max="2" width="12.1640625" style="9" customWidth="1"/>
    <col min="3" max="5" width="14.1640625" style="9" customWidth="1"/>
    <col min="6" max="6" width="15.83203125" style="9" customWidth="1"/>
    <col min="7" max="7" width="14.83203125" style="9" customWidth="1"/>
    <col min="8" max="8" width="13.6640625" style="9" customWidth="1"/>
    <col min="9" max="16384" width="10.83203125" style="9"/>
  </cols>
  <sheetData>
    <row r="1" spans="1:7" x14ac:dyDescent="0.15">
      <c r="A1" s="12" t="s">
        <v>101</v>
      </c>
    </row>
    <row r="2" spans="1:7" x14ac:dyDescent="0.15">
      <c r="A2" s="9" t="s">
        <v>102</v>
      </c>
      <c r="G2" s="99" t="s">
        <v>170</v>
      </c>
    </row>
    <row r="4" spans="1:7" x14ac:dyDescent="0.15">
      <c r="C4" s="9" t="s">
        <v>97</v>
      </c>
    </row>
    <row r="5" spans="1:7" x14ac:dyDescent="0.15">
      <c r="C5" s="24">
        <v>2022</v>
      </c>
      <c r="D5" s="24">
        <v>2023</v>
      </c>
      <c r="E5" s="24">
        <v>2024</v>
      </c>
      <c r="F5" s="24">
        <v>2025</v>
      </c>
      <c r="G5" s="24">
        <v>2026</v>
      </c>
    </row>
    <row r="6" spans="1:7" x14ac:dyDescent="0.15">
      <c r="A6" s="9" t="s">
        <v>71</v>
      </c>
      <c r="C6" s="11">
        <v>150000000</v>
      </c>
      <c r="D6" s="66">
        <f>C6*115%</f>
        <v>172500000</v>
      </c>
      <c r="E6" s="66">
        <f>D6*115%</f>
        <v>198374999.99999997</v>
      </c>
      <c r="F6" s="66">
        <f>E6*115%</f>
        <v>228131249.99999994</v>
      </c>
      <c r="G6" s="66">
        <f>F6*115%</f>
        <v>262350937.49999991</v>
      </c>
    </row>
    <row r="7" spans="1:7" x14ac:dyDescent="0.15">
      <c r="A7" s="9" t="s">
        <v>103</v>
      </c>
      <c r="C7" s="11">
        <f>$C$8*C6</f>
        <v>34500000</v>
      </c>
      <c r="D7" s="11">
        <f>$C$8*D6</f>
        <v>39675000</v>
      </c>
      <c r="E7" s="11">
        <f t="shared" ref="E7:G7" si="0">$C$8*E6</f>
        <v>45626249.999999993</v>
      </c>
      <c r="F7" s="11">
        <f t="shared" si="0"/>
        <v>52470187.499999985</v>
      </c>
      <c r="G7" s="11">
        <f t="shared" si="0"/>
        <v>60340715.624999985</v>
      </c>
    </row>
    <row r="8" spans="1:7" x14ac:dyDescent="0.15">
      <c r="A8" s="17" t="s">
        <v>104</v>
      </c>
      <c r="C8" s="19">
        <v>0.23</v>
      </c>
      <c r="D8" s="11"/>
      <c r="E8" s="11"/>
    </row>
    <row r="9" spans="1:7" x14ac:dyDescent="0.15">
      <c r="A9" s="9" t="s">
        <v>174</v>
      </c>
    </row>
    <row r="10" spans="1:7" x14ac:dyDescent="0.15">
      <c r="A10" s="9" t="s">
        <v>171</v>
      </c>
      <c r="C10" s="22">
        <f>C13*5%*10000/1000000</f>
        <v>2236465.7949999999</v>
      </c>
      <c r="D10" s="22">
        <f>D13*10%*10000/1000000</f>
        <v>5814811.0669999998</v>
      </c>
      <c r="E10" s="22">
        <f>E13*10%*10000/1000000</f>
        <v>6977773.2803999996</v>
      </c>
      <c r="F10" s="22">
        <f>F13*10%*10000/1000000</f>
        <v>8373327.9364799997</v>
      </c>
      <c r="G10" s="22">
        <f>G13*10%*10000/1000000</f>
        <v>10047993.523776</v>
      </c>
    </row>
    <row r="11" spans="1:7" x14ac:dyDescent="0.15">
      <c r="A11" s="9" t="s">
        <v>200</v>
      </c>
    </row>
    <row r="12" spans="1:7" x14ac:dyDescent="0.15">
      <c r="A12" s="9" t="s">
        <v>96</v>
      </c>
    </row>
    <row r="13" spans="1:7" x14ac:dyDescent="0.15">
      <c r="A13" s="9" t="s">
        <v>105</v>
      </c>
      <c r="C13" s="11">
        <v>4472931590</v>
      </c>
      <c r="D13" s="22">
        <f>C14</f>
        <v>5814811067</v>
      </c>
      <c r="E13" s="22">
        <f>D14</f>
        <v>6977773280.3999996</v>
      </c>
      <c r="F13" s="22">
        <f>E14</f>
        <v>8373327936.4799995</v>
      </c>
      <c r="G13" s="22">
        <f>F14</f>
        <v>10047993523.775999</v>
      </c>
    </row>
    <row r="14" spans="1:7" x14ac:dyDescent="0.15">
      <c r="A14" s="9" t="s">
        <v>106</v>
      </c>
      <c r="C14" s="22">
        <f>C13*1.3</f>
        <v>5814811067</v>
      </c>
      <c r="D14" s="22">
        <f>D13*1.2</f>
        <v>6977773280.3999996</v>
      </c>
      <c r="E14" s="22">
        <f>E13*1.2</f>
        <v>8373327936.4799995</v>
      </c>
      <c r="F14" s="22">
        <f>F13*1.2</f>
        <v>10047993523.775999</v>
      </c>
      <c r="G14" s="22">
        <f>G13*1.2</f>
        <v>12057592228.531199</v>
      </c>
    </row>
    <row r="15" spans="1:7" x14ac:dyDescent="0.15">
      <c r="A15" s="9" t="s">
        <v>159</v>
      </c>
      <c r="C15" s="22">
        <f>C13*6/12+C14*6/12</f>
        <v>5143871328.5</v>
      </c>
      <c r="D15" s="22">
        <f t="shared" ref="D15:G15" si="1">D13*6/12+D14*6/12</f>
        <v>6396292173.6999989</v>
      </c>
      <c r="E15" s="22">
        <f t="shared" si="1"/>
        <v>7675550608.4399986</v>
      </c>
      <c r="F15" s="22">
        <f t="shared" si="1"/>
        <v>9210660730.1279984</v>
      </c>
      <c r="G15" s="22">
        <f t="shared" si="1"/>
        <v>11052792876.153599</v>
      </c>
    </row>
    <row r="17" spans="1:9" x14ac:dyDescent="0.15">
      <c r="A17" s="12" t="s">
        <v>78</v>
      </c>
    </row>
    <row r="18" spans="1:9" x14ac:dyDescent="0.15">
      <c r="A18" s="9" t="s">
        <v>134</v>
      </c>
    </row>
    <row r="20" spans="1:9" x14ac:dyDescent="0.15">
      <c r="A20" s="9" t="s">
        <v>72</v>
      </c>
    </row>
    <row r="21" spans="1:9" x14ac:dyDescent="0.15">
      <c r="A21" s="9" t="s">
        <v>73</v>
      </c>
    </row>
    <row r="22" spans="1:9" x14ac:dyDescent="0.15">
      <c r="A22" s="9" t="s">
        <v>74</v>
      </c>
    </row>
    <row r="23" spans="1:9" x14ac:dyDescent="0.15">
      <c r="A23" s="9" t="s">
        <v>75</v>
      </c>
      <c r="C23" s="9" t="s">
        <v>97</v>
      </c>
    </row>
    <row r="24" spans="1:9" x14ac:dyDescent="0.15">
      <c r="A24" s="9" t="s">
        <v>76</v>
      </c>
      <c r="B24" s="34" t="s">
        <v>111</v>
      </c>
      <c r="C24" s="24">
        <v>2022</v>
      </c>
      <c r="D24" s="24">
        <v>2023</v>
      </c>
      <c r="E24" s="24">
        <v>2024</v>
      </c>
      <c r="F24" s="24">
        <v>2025</v>
      </c>
      <c r="G24" s="24">
        <v>2026</v>
      </c>
      <c r="H24" s="34" t="s">
        <v>86</v>
      </c>
    </row>
    <row r="25" spans="1:9" x14ac:dyDescent="0.15">
      <c r="A25" s="12" t="s">
        <v>77</v>
      </c>
      <c r="B25" s="13">
        <f>SUM(B26:B28)</f>
        <v>85000000</v>
      </c>
      <c r="C25" s="13">
        <f>SUM(C26:C28)</f>
        <v>20000000.285714287</v>
      </c>
      <c r="D25" s="13">
        <f>SUM(D26:D28)</f>
        <v>35000000.428571433</v>
      </c>
      <c r="E25" s="13">
        <f>SUM(E26:E28)</f>
        <v>30000000.285714287</v>
      </c>
      <c r="F25" s="13">
        <f>SUM(F26:F28)</f>
        <v>0</v>
      </c>
      <c r="H25" s="13">
        <f>SUM(H26:H28)</f>
        <v>85000000</v>
      </c>
    </row>
    <row r="26" spans="1:9" x14ac:dyDescent="0.15">
      <c r="A26" s="9" t="s">
        <v>79</v>
      </c>
      <c r="B26" s="11">
        <v>70000000</v>
      </c>
      <c r="C26" s="11">
        <v>20000000</v>
      </c>
      <c r="D26" s="11">
        <v>30000000</v>
      </c>
      <c r="E26" s="11">
        <v>20000000</v>
      </c>
      <c r="H26" s="22">
        <f>SUM(C26:G26)</f>
        <v>70000000</v>
      </c>
    </row>
    <row r="27" spans="1:9" s="15" customFormat="1" x14ac:dyDescent="0.15">
      <c r="A27" s="18" t="s">
        <v>187</v>
      </c>
      <c r="B27" s="108"/>
      <c r="C27" s="19">
        <f>C26/$B$26</f>
        <v>0.2857142857142857</v>
      </c>
      <c r="D27" s="19">
        <f t="shared" ref="D27:G27" si="2">D26/$B$26</f>
        <v>0.42857142857142855</v>
      </c>
      <c r="E27" s="19">
        <f t="shared" si="2"/>
        <v>0.2857142857142857</v>
      </c>
      <c r="F27" s="19">
        <f t="shared" si="2"/>
        <v>0</v>
      </c>
      <c r="G27" s="19">
        <f t="shared" si="2"/>
        <v>0</v>
      </c>
      <c r="H27" s="28"/>
    </row>
    <row r="28" spans="1:9" x14ac:dyDescent="0.15">
      <c r="A28" s="9" t="s">
        <v>80</v>
      </c>
      <c r="B28" s="11">
        <v>15000000</v>
      </c>
      <c r="C28" s="11">
        <v>0</v>
      </c>
      <c r="D28" s="11">
        <v>5000000</v>
      </c>
      <c r="E28" s="11">
        <v>10000000</v>
      </c>
      <c r="F28" s="11"/>
      <c r="H28" s="22">
        <f>SUM(C28:G28)</f>
        <v>15000000</v>
      </c>
    </row>
    <row r="29" spans="1:9" x14ac:dyDescent="0.15">
      <c r="A29" s="18" t="s">
        <v>187</v>
      </c>
      <c r="B29" s="11"/>
      <c r="C29" s="19">
        <f>C28/$B$28</f>
        <v>0</v>
      </c>
      <c r="D29" s="19">
        <f t="shared" ref="D29:G29" si="3">D28/$B$28</f>
        <v>0.33333333333333331</v>
      </c>
      <c r="E29" s="19">
        <f t="shared" si="3"/>
        <v>0.66666666666666663</v>
      </c>
      <c r="F29" s="19">
        <f t="shared" si="3"/>
        <v>0</v>
      </c>
      <c r="G29" s="19">
        <f t="shared" si="3"/>
        <v>0</v>
      </c>
      <c r="H29" s="22"/>
    </row>
    <row r="30" spans="1:9" x14ac:dyDescent="0.15">
      <c r="A30" s="9" t="s">
        <v>81</v>
      </c>
    </row>
    <row r="31" spans="1:9" x14ac:dyDescent="0.15">
      <c r="A31" s="15" t="s">
        <v>185</v>
      </c>
    </row>
    <row r="32" spans="1:9" x14ac:dyDescent="0.15">
      <c r="A32" s="9" t="s">
        <v>186</v>
      </c>
      <c r="B32" s="11">
        <v>35000000</v>
      </c>
      <c r="I32" s="106" t="s">
        <v>184</v>
      </c>
    </row>
    <row r="33" spans="1:9" x14ac:dyDescent="0.15">
      <c r="A33" s="9" t="s">
        <v>108</v>
      </c>
      <c r="B33" s="11">
        <v>29000000</v>
      </c>
      <c r="C33" s="11">
        <f>$B$33*C34</f>
        <v>8285714.2857142854</v>
      </c>
      <c r="D33" s="11">
        <f t="shared" ref="D33:G33" si="4">$B$33*D34</f>
        <v>12428571.428571427</v>
      </c>
      <c r="E33" s="11">
        <f t="shared" si="4"/>
        <v>8285714.2857142854</v>
      </c>
      <c r="F33" s="11">
        <f t="shared" si="4"/>
        <v>0</v>
      </c>
      <c r="G33" s="11">
        <f t="shared" si="4"/>
        <v>0</v>
      </c>
      <c r="I33" s="22">
        <f>SUM(C33:G33)-B33</f>
        <v>0</v>
      </c>
    </row>
    <row r="34" spans="1:9" x14ac:dyDescent="0.15">
      <c r="A34" s="18" t="s">
        <v>187</v>
      </c>
      <c r="B34" s="107">
        <f>B33/$B$32</f>
        <v>0.82857142857142863</v>
      </c>
      <c r="C34" s="20">
        <f>C27</f>
        <v>0.2857142857142857</v>
      </c>
      <c r="D34" s="20">
        <f t="shared" ref="D34:G34" si="5">D27</f>
        <v>0.42857142857142855</v>
      </c>
      <c r="E34" s="20">
        <f t="shared" si="5"/>
        <v>0.2857142857142857</v>
      </c>
      <c r="F34" s="107">
        <f t="shared" si="5"/>
        <v>0</v>
      </c>
      <c r="G34" s="107">
        <f t="shared" si="5"/>
        <v>0</v>
      </c>
    </row>
    <row r="35" spans="1:9" x14ac:dyDescent="0.15">
      <c r="A35" s="9" t="s">
        <v>110</v>
      </c>
      <c r="B35" s="11">
        <v>6000000</v>
      </c>
      <c r="C35" s="11">
        <f>$B$35*C36</f>
        <v>0</v>
      </c>
      <c r="D35" s="11">
        <f t="shared" ref="D35:H35" si="6">$B$35*D36</f>
        <v>2000000</v>
      </c>
      <c r="E35" s="11">
        <f t="shared" si="6"/>
        <v>4000000</v>
      </c>
      <c r="F35" s="11">
        <f t="shared" si="6"/>
        <v>0</v>
      </c>
      <c r="G35" s="11">
        <f t="shared" si="6"/>
        <v>0</v>
      </c>
      <c r="H35" s="11">
        <f t="shared" si="6"/>
        <v>0</v>
      </c>
      <c r="I35" s="22">
        <f>SUM(C35:G35)-B35</f>
        <v>0</v>
      </c>
    </row>
    <row r="36" spans="1:9" x14ac:dyDescent="0.15">
      <c r="A36" s="18" t="s">
        <v>187</v>
      </c>
      <c r="B36" s="107">
        <f>B35/$B$32</f>
        <v>0.17142857142857143</v>
      </c>
      <c r="C36" s="107">
        <f>C29</f>
        <v>0</v>
      </c>
      <c r="D36" s="107">
        <f t="shared" ref="D36:G36" si="7">D29</f>
        <v>0.33333333333333331</v>
      </c>
      <c r="E36" s="107">
        <f t="shared" si="7"/>
        <v>0.66666666666666663</v>
      </c>
      <c r="F36" s="107">
        <f t="shared" si="7"/>
        <v>0</v>
      </c>
      <c r="G36" s="107">
        <f t="shared" si="7"/>
        <v>0</v>
      </c>
    </row>
    <row r="37" spans="1:9" x14ac:dyDescent="0.15">
      <c r="A37" s="18"/>
      <c r="B37" s="107"/>
      <c r="C37" s="107"/>
      <c r="D37" s="107"/>
      <c r="E37" s="107"/>
      <c r="F37" s="107"/>
      <c r="G37" s="107"/>
    </row>
    <row r="38" spans="1:9" x14ac:dyDescent="0.15">
      <c r="A38" s="12" t="s">
        <v>107</v>
      </c>
      <c r="B38" s="26"/>
      <c r="C38" s="24">
        <v>2022</v>
      </c>
      <c r="D38" s="24">
        <v>2023</v>
      </c>
      <c r="E38" s="24">
        <v>2024</v>
      </c>
      <c r="F38" s="24">
        <v>2025</v>
      </c>
      <c r="G38" s="24">
        <v>2026</v>
      </c>
      <c r="H38" s="13"/>
      <c r="I38" s="9" t="s">
        <v>188</v>
      </c>
    </row>
    <row r="39" spans="1:9" x14ac:dyDescent="0.15">
      <c r="A39" s="9" t="s">
        <v>108</v>
      </c>
      <c r="C39" s="11">
        <f>C33</f>
        <v>8285714.2857142854</v>
      </c>
      <c r="D39" s="11">
        <f>D33</f>
        <v>12428571.428571427</v>
      </c>
      <c r="E39" s="11">
        <f>E33</f>
        <v>8285714.2857142854</v>
      </c>
      <c r="F39" s="11">
        <f>F33</f>
        <v>0</v>
      </c>
      <c r="G39" s="11">
        <f>G33</f>
        <v>0</v>
      </c>
      <c r="H39" s="22"/>
    </row>
    <row r="40" spans="1:9" x14ac:dyDescent="0.15">
      <c r="A40" s="9" t="s">
        <v>110</v>
      </c>
      <c r="C40" s="11">
        <f>C35</f>
        <v>0</v>
      </c>
      <c r="D40" s="11">
        <f>D35</f>
        <v>2000000</v>
      </c>
      <c r="E40" s="11">
        <f>E35</f>
        <v>4000000</v>
      </c>
      <c r="F40" s="11">
        <f>F35</f>
        <v>0</v>
      </c>
      <c r="G40" s="11">
        <f>G35</f>
        <v>0</v>
      </c>
      <c r="H40" s="22"/>
    </row>
    <row r="41" spans="1:9" x14ac:dyDescent="0.15">
      <c r="A41" s="9" t="s">
        <v>109</v>
      </c>
      <c r="C41" s="22">
        <f>BCKQKD!H36-'Thông tin dự báo'!C10</f>
        <v>22466825.9898334</v>
      </c>
      <c r="D41" s="22">
        <f>BCKQKD!I36-'Thông tin dự báo'!D10</f>
        <v>22368605.02498024</v>
      </c>
      <c r="E41" s="22">
        <f>BCKQKD!J36-'Thông tin dự báo'!E10</f>
        <v>22066732.026024487</v>
      </c>
      <c r="F41" s="22"/>
      <c r="H41" s="22"/>
      <c r="I41" s="9" t="s">
        <v>112</v>
      </c>
    </row>
    <row r="42" spans="1:9" x14ac:dyDescent="0.15">
      <c r="A42" s="12" t="s">
        <v>86</v>
      </c>
      <c r="C42" s="13">
        <f t="shared" ref="C42:F42" si="8">SUM(C39:C41)</f>
        <v>30752540.275547683</v>
      </c>
      <c r="D42" s="13">
        <f t="shared" si="8"/>
        <v>36797176.453551665</v>
      </c>
      <c r="E42" s="13">
        <f t="shared" si="8"/>
        <v>34352446.311738774</v>
      </c>
      <c r="F42" s="13">
        <f t="shared" si="8"/>
        <v>0</v>
      </c>
      <c r="H42" s="13"/>
    </row>
    <row r="43" spans="1:9" x14ac:dyDescent="0.15">
      <c r="A43" s="15" t="s">
        <v>113</v>
      </c>
      <c r="B43" s="15"/>
      <c r="C43" s="28">
        <f>C42-C26</f>
        <v>10752540.275547683</v>
      </c>
      <c r="D43" s="28">
        <f>C43+D42-D25</f>
        <v>12549716.300527915</v>
      </c>
      <c r="E43" s="28">
        <f>D43+E42-E25</f>
        <v>16902162.326552402</v>
      </c>
      <c r="F43" s="28"/>
      <c r="H43" s="21"/>
    </row>
  </sheetData>
  <pageMargins left="0.7" right="0.7" top="0.75" bottom="0.75" header="0.3" footer="0.3"/>
  <pageSetup paperSize="9" orientation="portrait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BCKQKD</vt:lpstr>
      <vt:lpstr>BCĐKT</vt:lpstr>
      <vt:lpstr>Tổng hợp vay</vt:lpstr>
      <vt:lpstr>Thông tin dự báo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Thinh Nguyen</dc:creator>
  <cp:lastModifiedBy>Microsoft Office User</cp:lastModifiedBy>
  <cp:lastPrinted>2021-09-23T04:55:29Z</cp:lastPrinted>
  <dcterms:created xsi:type="dcterms:W3CDTF">2020-10-09T06:35:27Z</dcterms:created>
  <dcterms:modified xsi:type="dcterms:W3CDTF">2022-06-09T04:02:11Z</dcterms:modified>
</cp:coreProperties>
</file>