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drawings/drawing2.xml" ContentType="application/vnd.openxmlformats-officedocument.drawing+xml"/>
  <Override PartName="/xl/comments3.xml" ContentType="application/vnd.openxmlformats-officedocument.spreadsheetml.comments+xml"/>
  <Override PartName="/xl/drawings/drawing3.xml" ContentType="application/vnd.openxmlformats-officedocument.drawing+xml"/>
  <Override PartName="/xl/comments4.xml" ContentType="application/vnd.openxmlformats-officedocument.spreadsheetml.comments+xml"/>
  <Override PartName="/xl/drawings/drawing4.xml" ContentType="application/vnd.openxmlformats-officedocument.drawing+xml"/>
  <Override PartName="/xl/comments5.xml" ContentType="application/vnd.openxmlformats-officedocument.spreadsheetml.comments+xml"/>
  <Override PartName="/xl/drawings/drawing5.xml" ContentType="application/vnd.openxmlformats-officedocument.drawing+xml"/>
  <Override PartName="/xl/comments6.xml" ContentType="application/vnd.openxmlformats-officedocument.spreadsheetml.comments+xml"/>
  <Override PartName="/xl/drawings/drawing6.xml" ContentType="application/vnd.openxmlformats-officedocument.drawing+xml"/>
  <Override PartName="/xl/comments7.xml" ContentType="application/vnd.openxmlformats-officedocument.spreadsheetml.comments+xml"/>
  <Override PartName="/xl/drawings/drawing7.xml" ContentType="application/vnd.openxmlformats-officedocument.drawing+xml"/>
  <Override PartName="/xl/comments8.xml" ContentType="application/vnd.openxmlformats-officedocument.spreadsheetml.comments+xml"/>
  <Override PartName="/xl/drawings/drawing8.xml" ContentType="application/vnd.openxmlformats-officedocument.drawing+xml"/>
  <Override PartName="/xl/comments9.xml" ContentType="application/vnd.openxmlformats-officedocument.spreadsheetml.comments+xml"/>
  <Override PartName="/xl/drawings/drawing9.xml" ContentType="application/vnd.openxmlformats-officedocument.drawing+xml"/>
  <Override PartName="/xl/comments10.xml" ContentType="application/vnd.openxmlformats-officedocument.spreadsheetml.comments+xml"/>
  <Override PartName="/xl/drawings/drawing10.xml" ContentType="application/vnd.openxmlformats-officedocument.drawing+xml"/>
  <Override PartName="/xl/comments11.xml" ContentType="application/vnd.openxmlformats-officedocument.spreadsheetml.comments+xml"/>
  <Override PartName="/xl/drawings/drawing11.xml" ContentType="application/vnd.openxmlformats-officedocument.drawing+xml"/>
  <Override PartName="/xl/comments12.xml" ContentType="application/vnd.openxmlformats-officedocument.spreadsheetml.comments+xml"/>
  <Override PartName="/xl/drawings/drawing12.xml" ContentType="application/vnd.openxmlformats-officedocument.drawing+xml"/>
  <Override PartName="/xl/comments13.xml" ContentType="application/vnd.openxmlformats-officedocument.spreadsheetml.comments+xml"/>
  <Override PartName="/xl/drawings/drawing13.xml" ContentType="application/vnd.openxmlformats-officedocument.drawing+xml"/>
  <Override PartName="/xl/comments14.xml" ContentType="application/vnd.openxmlformats-officedocument.spreadsheetml.comments+xml"/>
  <Override PartName="/xl/drawings/drawing14.xml" ContentType="application/vnd.openxmlformats-officedocument.drawing+xml"/>
  <Override PartName="/xl/comments15.xml" ContentType="application/vnd.openxmlformats-officedocument.spreadsheetml.comments+xml"/>
  <Override PartName="/xl/drawings/drawing15.xml" ContentType="application/vnd.openxmlformats-officedocument.drawing+xml"/>
  <Override PartName="/xl/comments16.xml" ContentType="application/vnd.openxmlformats-officedocument.spreadsheetml.comments+xml"/>
  <Override PartName="/xl/drawings/drawing16.xml" ContentType="application/vnd.openxmlformats-officedocument.drawing+xml"/>
  <Override PartName="/xl/comments17.xml" ContentType="application/vnd.openxmlformats-officedocument.spreadsheetml.comments+xml"/>
  <Override PartName="/xl/threadedComments/threadedComment1.xml" ContentType="application/vnd.ms-excel.threadedcomments+xml"/>
  <Override PartName="/xl/drawings/drawing17.xml" ContentType="application/vnd.openxmlformats-officedocument.drawing+xml"/>
  <Override PartName="/xl/comments18.xml" ContentType="application/vnd.openxmlformats-officedocument.spreadsheetml.comments+xml"/>
  <Override PartName="/xl/drawings/drawing18.xml" ContentType="application/vnd.openxmlformats-officedocument.drawing+xml"/>
  <Override PartName="/xl/comments19.xml" ContentType="application/vnd.openxmlformats-officedocument.spreadsheetml.comments+xml"/>
  <Override PartName="/xl/threadedComments/threadedComment2.xml" ContentType="application/vnd.ms-excel.threadedcomments+xml"/>
  <Override PartName="/xl/drawings/drawing19.xml" ContentType="application/vnd.openxmlformats-officedocument.drawing+xml"/>
  <Override PartName="/xl/comments20.xml" ContentType="application/vnd.openxmlformats-officedocument.spreadsheetml.comments+xml"/>
  <Override PartName="/xl/threadedComments/threadedComment3.xml" ContentType="application/vnd.ms-excel.threadedcomments+xml"/>
  <Override PartName="/xl/drawings/drawing20.xml" ContentType="application/vnd.openxmlformats-officedocument.drawing+xml"/>
  <Override PartName="/xl/comments21.xml" ContentType="application/vnd.openxmlformats-officedocument.spreadsheetml.comments+xml"/>
  <Override PartName="/xl/drawings/drawing21.xml" ContentType="application/vnd.openxmlformats-officedocument.drawing+xml"/>
  <Override PartName="/xl/comments22.xml" ContentType="application/vnd.openxmlformats-officedocument.spreadsheetml.comments+xml"/>
  <Override PartName="/xl/threadedComments/threadedComment4.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1" ContentType="application/binary"/>
  <Override PartName="/xl/commentsmeta3"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Rizky Miftah Alfiah\Downloads\"/>
    </mc:Choice>
  </mc:AlternateContent>
  <xr:revisionPtr revIDLastSave="0" documentId="8_{402C606F-F544-4018-9391-C6899AABB53C}" xr6:coauthVersionLast="47" xr6:coauthVersionMax="47" xr10:uidLastSave="{00000000-0000-0000-0000-000000000000}"/>
  <bookViews>
    <workbookView xWindow="-108" yWindow="-108" windowWidth="23256" windowHeight="12456" activeTab="1" xr2:uid="{00000000-000D-0000-FFFF-FFFF00000000}"/>
  </bookViews>
  <sheets>
    <sheet name="Format LRP" sheetId="2" r:id="rId1"/>
    <sheet name="Perhitungan LRP" sheetId="5" r:id="rId2"/>
    <sheet name="Perhitungan LRP Bottom Base 1" sheetId="38" r:id="rId3"/>
    <sheet name="LRP Bottom Base 1" sheetId="37" r:id="rId4"/>
    <sheet name="LRP Bush" sheetId="26" r:id="rId5"/>
    <sheet name="Perhitungan LRP Bush" sheetId="29" r:id="rId6"/>
    <sheet name="LRP Rib" sheetId="31" r:id="rId7"/>
    <sheet name="Perhitungan LRP Rib" sheetId="32" r:id="rId8"/>
    <sheet name="LRP Pivot Holder" sheetId="33" r:id="rId9"/>
    <sheet name="Perhitungan LRP Pivot Holder" sheetId="34" r:id="rId10"/>
    <sheet name="LRP Guide Male" sheetId="35" r:id="rId11"/>
    <sheet name="Perhitungan LRP Guide Male" sheetId="36" r:id="rId12"/>
    <sheet name="LRP Bottom Base 2" sheetId="10" r:id="rId13"/>
    <sheet name="Perhitungan LRP Bottom Base 2" sheetId="11" r:id="rId14"/>
    <sheet name="LRP Guide Female" sheetId="16" r:id="rId15"/>
    <sheet name="Perhitungan LRP Guide Female" sheetId="17" r:id="rId16"/>
    <sheet name="LRP Pan" sheetId="24" r:id="rId17"/>
    <sheet name="Perhitungan LRP Pan" sheetId="25" r:id="rId18"/>
    <sheet name="LRP Pivot" sheetId="12" r:id="rId19"/>
    <sheet name="Perhitungan LRP Pivot" sheetId="13" r:id="rId20"/>
    <sheet name="LRP Tilt" sheetId="27" r:id="rId21"/>
    <sheet name="Perhitungan LRP Tilt" sheetId="30" r:id="rId22"/>
  </sheets>
  <externalReferences>
    <externalReference r:id="rId23"/>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25" roundtripDataChecksum="OnvAz7wfdc3qSSMRz43CC10m4JwDReElHyv7Xja7gOw="/>
    </ext>
  </extLst>
</workbook>
</file>

<file path=xl/calcChain.xml><?xml version="1.0" encoding="utf-8"?>
<calcChain xmlns="http://schemas.openxmlformats.org/spreadsheetml/2006/main">
  <c r="M25" i="38" l="1"/>
  <c r="G25" i="38"/>
  <c r="H25" i="38" s="1"/>
  <c r="M24" i="38"/>
  <c r="G24" i="38"/>
  <c r="H24" i="38" s="1"/>
  <c r="M23" i="38"/>
  <c r="G23" i="38"/>
  <c r="H23" i="38" s="1"/>
  <c r="M22" i="38"/>
  <c r="G22" i="38"/>
  <c r="H22" i="38" s="1"/>
  <c r="P18" i="38"/>
  <c r="Q18" i="38" s="1"/>
  <c r="J18" i="38"/>
  <c r="K18" i="38" s="1"/>
  <c r="P17" i="38"/>
  <c r="Q17" i="38" s="1"/>
  <c r="J17" i="38"/>
  <c r="K17" i="38" s="1"/>
  <c r="P16" i="38"/>
  <c r="J16" i="38"/>
  <c r="K16" i="38" s="1"/>
  <c r="P15" i="38"/>
  <c r="J15" i="38"/>
  <c r="K15" i="38" s="1"/>
  <c r="P14" i="38"/>
  <c r="Q14" i="38" s="1"/>
  <c r="O14" i="38"/>
  <c r="R14" i="38" s="1"/>
  <c r="O15" i="38" s="1"/>
  <c r="R15" i="38" s="1"/>
  <c r="O16" i="38" s="1"/>
  <c r="R16" i="38" s="1"/>
  <c r="O17" i="38" s="1"/>
  <c r="R17" i="38" s="1"/>
  <c r="O18" i="38" s="1"/>
  <c r="R18" i="38" s="1"/>
  <c r="L22" i="38" s="1"/>
  <c r="O22" i="38" s="1"/>
  <c r="L23" i="38" s="1"/>
  <c r="O23" i="38" s="1"/>
  <c r="L24" i="38" s="1"/>
  <c r="O24" i="38" s="1"/>
  <c r="L25" i="38" s="1"/>
  <c r="O25" i="38" s="1"/>
  <c r="N7" i="38" s="1"/>
  <c r="Q7" i="38" s="1"/>
  <c r="N8" i="38" s="1"/>
  <c r="Q8" i="38" s="1"/>
  <c r="N9" i="38" s="1"/>
  <c r="Q9" i="38" s="1"/>
  <c r="N10" i="38" s="1"/>
  <c r="Q10" i="38" s="1"/>
  <c r="J14" i="38"/>
  <c r="K14" i="38" s="1"/>
  <c r="O10" i="38"/>
  <c r="M10" i="38"/>
  <c r="J10" i="38"/>
  <c r="K10" i="38" s="1"/>
  <c r="L10" i="38" s="1"/>
  <c r="G10" i="38"/>
  <c r="O9" i="38"/>
  <c r="P9" i="38" s="1"/>
  <c r="M9" i="38"/>
  <c r="J9" i="38"/>
  <c r="K9" i="38" s="1"/>
  <c r="L9" i="38" s="1"/>
  <c r="G9" i="38"/>
  <c r="O8" i="38"/>
  <c r="M8" i="38"/>
  <c r="J8" i="38"/>
  <c r="K8" i="38" s="1"/>
  <c r="L8" i="38" s="1"/>
  <c r="G8" i="38"/>
  <c r="O7" i="38"/>
  <c r="M7" i="38"/>
  <c r="J7" i="38"/>
  <c r="K7" i="38" s="1"/>
  <c r="L7" i="38" s="1"/>
  <c r="G7" i="38"/>
  <c r="I27" i="37"/>
  <c r="I26" i="37"/>
  <c r="H25" i="37"/>
  <c r="I25" i="37" s="1"/>
  <c r="H24" i="37"/>
  <c r="I24" i="37" s="1"/>
  <c r="I23" i="37"/>
  <c r="H23" i="37"/>
  <c r="I22" i="37"/>
  <c r="H22" i="37"/>
  <c r="I21" i="37"/>
  <c r="H21" i="37"/>
  <c r="I20" i="37"/>
  <c r="H20" i="37"/>
  <c r="H19" i="37"/>
  <c r="I19" i="37" s="1"/>
  <c r="H18" i="37"/>
  <c r="I18" i="37" s="1"/>
  <c r="H17" i="37"/>
  <c r="I17" i="37" s="1"/>
  <c r="I16" i="37"/>
  <c r="H16" i="37"/>
  <c r="I15" i="37"/>
  <c r="H15" i="37"/>
  <c r="I14" i="37"/>
  <c r="H14" i="37"/>
  <c r="H13" i="37"/>
  <c r="I13" i="37" s="1"/>
  <c r="I12" i="37"/>
  <c r="I28" i="37" s="1"/>
  <c r="L17" i="38" l="1"/>
  <c r="M17" i="38" s="1"/>
  <c r="N17" i="38"/>
  <c r="P10" i="38"/>
  <c r="I23" i="38"/>
  <c r="J23" i="38"/>
  <c r="K23" i="38"/>
  <c r="N23" i="38"/>
  <c r="I24" i="38"/>
  <c r="K24" i="38"/>
  <c r="J24" i="38"/>
  <c r="Q15" i="38"/>
  <c r="N24" i="38"/>
  <c r="P8" i="38"/>
  <c r="L16" i="38"/>
  <c r="M16" i="38" s="1"/>
  <c r="N16" i="38"/>
  <c r="K25" i="38"/>
  <c r="J25" i="38"/>
  <c r="I25" i="38"/>
  <c r="N18" i="38"/>
  <c r="L18" i="38"/>
  <c r="M18" i="38" s="1"/>
  <c r="P7" i="38"/>
  <c r="K22" i="38"/>
  <c r="J22" i="38"/>
  <c r="I22" i="38"/>
  <c r="N14" i="38"/>
  <c r="L14" i="38"/>
  <c r="M14" i="38" s="1"/>
  <c r="N22" i="38"/>
  <c r="N15" i="38"/>
  <c r="L15" i="38"/>
  <c r="M15" i="38" s="1"/>
  <c r="Q16" i="38"/>
  <c r="N25" i="38"/>
  <c r="H18" i="31" l="1"/>
  <c r="H17" i="31"/>
  <c r="H16" i="31"/>
  <c r="H15" i="31"/>
  <c r="H14" i="31"/>
  <c r="H13" i="31"/>
  <c r="O23" i="29"/>
  <c r="L23" i="29"/>
  <c r="O22" i="29"/>
  <c r="N23" i="29"/>
  <c r="N22" i="29"/>
  <c r="L22" i="29"/>
  <c r="M23" i="29"/>
  <c r="M22" i="29"/>
  <c r="N8" i="32"/>
  <c r="J8" i="32"/>
  <c r="G8" i="32"/>
  <c r="H8" i="32" s="1"/>
  <c r="K8" i="32" s="1"/>
  <c r="N7" i="32"/>
  <c r="J7" i="32"/>
  <c r="G7" i="32"/>
  <c r="H7" i="32" s="1"/>
  <c r="K7" i="32" s="1"/>
  <c r="B8" i="32"/>
  <c r="B7" i="32"/>
  <c r="H18" i="33"/>
  <c r="H17" i="33"/>
  <c r="H15" i="33"/>
  <c r="H16" i="33"/>
  <c r="H14" i="33"/>
  <c r="H13" i="33"/>
  <c r="I13" i="33" s="1"/>
  <c r="I15" i="33"/>
  <c r="M15" i="32"/>
  <c r="L13" i="32"/>
  <c r="H14" i="35"/>
  <c r="I14" i="35" s="1"/>
  <c r="H15" i="35"/>
  <c r="I15" i="35" s="1"/>
  <c r="H13" i="35"/>
  <c r="H32" i="36"/>
  <c r="H33" i="36"/>
  <c r="H31" i="36"/>
  <c r="I33" i="36"/>
  <c r="G33" i="36"/>
  <c r="F33" i="36"/>
  <c r="I32" i="36"/>
  <c r="G32" i="36"/>
  <c r="F32" i="36"/>
  <c r="I31" i="36"/>
  <c r="G31" i="36"/>
  <c r="F31" i="36"/>
  <c r="R19" i="36"/>
  <c r="Q19" i="36"/>
  <c r="P19" i="36"/>
  <c r="O19" i="36"/>
  <c r="N19" i="36"/>
  <c r="M19" i="36"/>
  <c r="L19" i="36"/>
  <c r="K19" i="36"/>
  <c r="J19" i="36"/>
  <c r="B33" i="36"/>
  <c r="B32" i="36"/>
  <c r="B31" i="36"/>
  <c r="K18" i="36"/>
  <c r="L18" i="36" s="1"/>
  <c r="M18" i="36" s="1"/>
  <c r="J18" i="36"/>
  <c r="O17" i="36"/>
  <c r="N17" i="36"/>
  <c r="K17" i="36"/>
  <c r="L17" i="36" s="1"/>
  <c r="M17" i="36" s="1"/>
  <c r="K7" i="34"/>
  <c r="J17" i="36"/>
  <c r="F18" i="36"/>
  <c r="F19" i="36"/>
  <c r="F17" i="36"/>
  <c r="E18" i="36"/>
  <c r="N18" i="36" s="1"/>
  <c r="E17" i="36"/>
  <c r="B18" i="36"/>
  <c r="B19" i="36"/>
  <c r="B17" i="36"/>
  <c r="AA119" i="36"/>
  <c r="I16" i="33"/>
  <c r="I17" i="33"/>
  <c r="Q8" i="34"/>
  <c r="Q9" i="34"/>
  <c r="Q10" i="34"/>
  <c r="Q11" i="34"/>
  <c r="Q12" i="34"/>
  <c r="Q7" i="34"/>
  <c r="P8" i="34"/>
  <c r="P9" i="34"/>
  <c r="P10" i="34"/>
  <c r="P11" i="34"/>
  <c r="P12" i="34"/>
  <c r="O8" i="34"/>
  <c r="O9" i="34"/>
  <c r="O10" i="34"/>
  <c r="O11" i="34"/>
  <c r="O12" i="34"/>
  <c r="O7" i="34"/>
  <c r="P7" i="34" s="1"/>
  <c r="N8" i="34"/>
  <c r="N9" i="34"/>
  <c r="N10" i="34"/>
  <c r="N11" i="34"/>
  <c r="N12" i="34"/>
  <c r="N7" i="34"/>
  <c r="M8" i="34"/>
  <c r="M9" i="34"/>
  <c r="M10" i="34"/>
  <c r="M11" i="34"/>
  <c r="M12" i="34"/>
  <c r="M7" i="34"/>
  <c r="L8" i="34"/>
  <c r="L9" i="34"/>
  <c r="L10" i="34"/>
  <c r="L11" i="34"/>
  <c r="L12" i="34"/>
  <c r="L7" i="34"/>
  <c r="K8" i="34"/>
  <c r="K9" i="34"/>
  <c r="K10" i="34"/>
  <c r="K11" i="34"/>
  <c r="K12" i="34"/>
  <c r="J8" i="34"/>
  <c r="J9" i="34"/>
  <c r="J10" i="34"/>
  <c r="J11" i="34"/>
  <c r="J12" i="34"/>
  <c r="J7" i="34"/>
  <c r="H8" i="34"/>
  <c r="H9" i="34"/>
  <c r="H10" i="34"/>
  <c r="H11" i="34"/>
  <c r="H12" i="34"/>
  <c r="H7" i="34"/>
  <c r="F8" i="34"/>
  <c r="F9" i="34"/>
  <c r="F10" i="34"/>
  <c r="F11" i="34"/>
  <c r="F12" i="34"/>
  <c r="F7" i="34"/>
  <c r="B7" i="34"/>
  <c r="I17" i="31"/>
  <c r="I18" i="31"/>
  <c r="I20" i="35"/>
  <c r="I19" i="35"/>
  <c r="I18" i="35"/>
  <c r="I17" i="35"/>
  <c r="I16" i="35"/>
  <c r="I13" i="35"/>
  <c r="A9" i="34"/>
  <c r="A10" i="34"/>
  <c r="A11" i="34"/>
  <c r="A12" i="34"/>
  <c r="A8" i="34"/>
  <c r="A7" i="34"/>
  <c r="B11" i="34"/>
  <c r="B12" i="34"/>
  <c r="B10" i="34"/>
  <c r="B8" i="34"/>
  <c r="I14" i="33"/>
  <c r="I18" i="33"/>
  <c r="I19" i="33"/>
  <c r="I20" i="33"/>
  <c r="B9" i="34"/>
  <c r="I12" i="33"/>
  <c r="K14" i="32"/>
  <c r="M14" i="32" s="1"/>
  <c r="K15" i="32"/>
  <c r="K16" i="32"/>
  <c r="K13" i="32"/>
  <c r="M13" i="32" s="1"/>
  <c r="N13" i="32" s="1"/>
  <c r="K22" i="29"/>
  <c r="J14" i="32"/>
  <c r="J15" i="32"/>
  <c r="I13" i="32"/>
  <c r="J13" i="32" s="1"/>
  <c r="I14" i="32"/>
  <c r="I15" i="32"/>
  <c r="I16" i="32"/>
  <c r="J16" i="32" s="1"/>
  <c r="I22" i="29"/>
  <c r="E14" i="32"/>
  <c r="E15" i="32"/>
  <c r="E16" i="32"/>
  <c r="E13" i="32"/>
  <c r="B23" i="29"/>
  <c r="B22" i="29"/>
  <c r="B16" i="32"/>
  <c r="B15" i="32"/>
  <c r="B14" i="32"/>
  <c r="B13" i="32"/>
  <c r="I13" i="31"/>
  <c r="I14" i="31"/>
  <c r="I15" i="31"/>
  <c r="I16" i="31"/>
  <c r="I19" i="31"/>
  <c r="I20" i="31"/>
  <c r="I12" i="31"/>
  <c r="K23" i="29"/>
  <c r="J23" i="29"/>
  <c r="H14" i="26" s="1"/>
  <c r="I14" i="26" s="1"/>
  <c r="J22" i="29"/>
  <c r="H13" i="26" s="1"/>
  <c r="I13" i="26" s="1"/>
  <c r="I23" i="29"/>
  <c r="E23" i="29"/>
  <c r="E22" i="29"/>
  <c r="K7" i="11"/>
  <c r="L40" i="30"/>
  <c r="F40" i="30"/>
  <c r="D40" i="30"/>
  <c r="C40" i="30"/>
  <c r="E43" i="30"/>
  <c r="Q40" i="30"/>
  <c r="I12" i="27"/>
  <c r="H14" i="27"/>
  <c r="I14" i="27" s="1"/>
  <c r="N8" i="13"/>
  <c r="I15" i="26"/>
  <c r="I16" i="26"/>
  <c r="I12" i="26"/>
  <c r="H13" i="12"/>
  <c r="J38" i="17"/>
  <c r="K38" i="17"/>
  <c r="E38" i="17"/>
  <c r="M7" i="32" l="1"/>
  <c r="O7" i="32" s="1"/>
  <c r="L7" i="32"/>
  <c r="L8" i="32"/>
  <c r="O13" i="32"/>
  <c r="L14" i="32" s="1"/>
  <c r="O14" i="32" s="1"/>
  <c r="L15" i="32" s="1"/>
  <c r="O15" i="32" s="1"/>
  <c r="L16" i="32" s="1"/>
  <c r="O16" i="32" s="1"/>
  <c r="N14" i="32"/>
  <c r="M8" i="32"/>
  <c r="O8" i="32" s="1"/>
  <c r="M16" i="32"/>
  <c r="P18" i="36"/>
  <c r="P17" i="36"/>
  <c r="R17" i="36" s="1"/>
  <c r="O18" i="36" s="1"/>
  <c r="I21" i="35"/>
  <c r="I21" i="33"/>
  <c r="I21" i="31"/>
  <c r="M40" i="30"/>
  <c r="N40" i="30" s="1"/>
  <c r="H13" i="27" s="1"/>
  <c r="I13" i="27" s="1"/>
  <c r="I15" i="27" s="1"/>
  <c r="O40" i="30"/>
  <c r="I17" i="26"/>
  <c r="P7" i="32" l="1"/>
  <c r="Q7" i="32"/>
  <c r="P8" i="32"/>
  <c r="Q8" i="32"/>
  <c r="N16" i="32"/>
  <c r="N15" i="32"/>
  <c r="Q17" i="36"/>
  <c r="R18" i="36"/>
  <c r="Q18" i="36"/>
  <c r="O38" i="25"/>
  <c r="I47" i="24"/>
  <c r="I46" i="24"/>
  <c r="I45" i="24"/>
  <c r="I44" i="24"/>
  <c r="I43" i="24"/>
  <c r="I42" i="24"/>
  <c r="I41" i="24"/>
  <c r="I40" i="24"/>
  <c r="I39" i="24"/>
  <c r="I38" i="24"/>
  <c r="I37" i="24"/>
  <c r="I36" i="24"/>
  <c r="I35" i="24"/>
  <c r="I34" i="24"/>
  <c r="I33" i="24"/>
  <c r="I32" i="24"/>
  <c r="I31" i="24"/>
  <c r="I30" i="24"/>
  <c r="I29" i="24"/>
  <c r="I28" i="24"/>
  <c r="I27" i="24"/>
  <c r="I26" i="24"/>
  <c r="I25" i="24"/>
  <c r="I24" i="24"/>
  <c r="I23" i="24"/>
  <c r="I22" i="24"/>
  <c r="I21" i="24"/>
  <c r="I20" i="24"/>
  <c r="I19" i="24"/>
  <c r="I18" i="24"/>
  <c r="I17" i="24"/>
  <c r="I16" i="24"/>
  <c r="I15" i="24"/>
  <c r="I14" i="24"/>
  <c r="I13" i="24"/>
  <c r="I12" i="24"/>
  <c r="G48" i="25"/>
  <c r="H48" i="25" s="1"/>
  <c r="G47" i="25"/>
  <c r="H47" i="25" s="1"/>
  <c r="G46" i="25"/>
  <c r="H46" i="25" s="1"/>
  <c r="G45" i="25"/>
  <c r="H45" i="25" s="1"/>
  <c r="G44" i="25"/>
  <c r="H44" i="25" s="1"/>
  <c r="G43" i="25"/>
  <c r="H43" i="25" s="1"/>
  <c r="N38" i="25"/>
  <c r="J38" i="25"/>
  <c r="K38" i="25" s="1"/>
  <c r="L38" i="25" s="1"/>
  <c r="M38" i="25" s="1"/>
  <c r="M33" i="25"/>
  <c r="J33" i="25"/>
  <c r="K33" i="25" s="1"/>
  <c r="G33" i="25"/>
  <c r="M32" i="25"/>
  <c r="J32" i="25"/>
  <c r="K32" i="25" s="1"/>
  <c r="G32" i="25"/>
  <c r="M31" i="25"/>
  <c r="J31" i="25"/>
  <c r="K31" i="25" s="1"/>
  <c r="G31" i="25"/>
  <c r="M30" i="25"/>
  <c r="J30" i="25"/>
  <c r="K30" i="25" s="1"/>
  <c r="G30" i="25"/>
  <c r="M29" i="25"/>
  <c r="K29" i="25"/>
  <c r="O29" i="25" s="1"/>
  <c r="J29" i="25"/>
  <c r="G29" i="25"/>
  <c r="M28" i="25"/>
  <c r="J28" i="25"/>
  <c r="K28" i="25" s="1"/>
  <c r="G28" i="25"/>
  <c r="M27" i="25"/>
  <c r="J27" i="25"/>
  <c r="K27" i="25" s="1"/>
  <c r="G27" i="25"/>
  <c r="M26" i="25"/>
  <c r="J26" i="25"/>
  <c r="K26" i="25" s="1"/>
  <c r="G26" i="25"/>
  <c r="M25" i="25"/>
  <c r="J25" i="25"/>
  <c r="K25" i="25" s="1"/>
  <c r="G25" i="25"/>
  <c r="M24" i="25"/>
  <c r="J24" i="25"/>
  <c r="K24" i="25" s="1"/>
  <c r="G24" i="25"/>
  <c r="M23" i="25"/>
  <c r="K23" i="25"/>
  <c r="O23" i="25" s="1"/>
  <c r="J23" i="25"/>
  <c r="G23" i="25"/>
  <c r="M22" i="25"/>
  <c r="J22" i="25"/>
  <c r="K22" i="25" s="1"/>
  <c r="G22" i="25"/>
  <c r="M21" i="25"/>
  <c r="J21" i="25"/>
  <c r="K21" i="25" s="1"/>
  <c r="G21" i="25"/>
  <c r="M20" i="25"/>
  <c r="J20" i="25"/>
  <c r="K20" i="25" s="1"/>
  <c r="G20" i="25"/>
  <c r="M19" i="25"/>
  <c r="J19" i="25"/>
  <c r="K19" i="25" s="1"/>
  <c r="G19" i="25"/>
  <c r="M18" i="25"/>
  <c r="J18" i="25"/>
  <c r="K18" i="25" s="1"/>
  <c r="G18" i="25"/>
  <c r="M17" i="25"/>
  <c r="J17" i="25"/>
  <c r="K17" i="25" s="1"/>
  <c r="G17" i="25"/>
  <c r="M16" i="25"/>
  <c r="J16" i="25"/>
  <c r="K16" i="25" s="1"/>
  <c r="G16" i="25"/>
  <c r="M15" i="25"/>
  <c r="J15" i="25"/>
  <c r="K15" i="25" s="1"/>
  <c r="G15" i="25"/>
  <c r="M14" i="25"/>
  <c r="J14" i="25"/>
  <c r="K14" i="25" s="1"/>
  <c r="G14" i="25"/>
  <c r="M13" i="25"/>
  <c r="K13" i="25"/>
  <c r="O13" i="25" s="1"/>
  <c r="J13" i="25"/>
  <c r="G13" i="25"/>
  <c r="M12" i="25"/>
  <c r="J12" i="25"/>
  <c r="K12" i="25" s="1"/>
  <c r="G12" i="25"/>
  <c r="M11" i="25"/>
  <c r="J11" i="25"/>
  <c r="K11" i="25" s="1"/>
  <c r="G11" i="25"/>
  <c r="M10" i="25"/>
  <c r="J10" i="25"/>
  <c r="K10" i="25" s="1"/>
  <c r="G10" i="25"/>
  <c r="M9" i="25"/>
  <c r="J9" i="25"/>
  <c r="K9" i="25" s="1"/>
  <c r="G9" i="25"/>
  <c r="M8" i="25"/>
  <c r="J8" i="25"/>
  <c r="K8" i="25" s="1"/>
  <c r="G8" i="25"/>
  <c r="M7" i="25"/>
  <c r="K7" i="25"/>
  <c r="L7" i="25" s="1"/>
  <c r="J7" i="25"/>
  <c r="G7" i="25"/>
  <c r="O8" i="17"/>
  <c r="O10" i="17"/>
  <c r="O11" i="17"/>
  <c r="O12" i="17"/>
  <c r="O13" i="17"/>
  <c r="O14" i="17"/>
  <c r="O15" i="17"/>
  <c r="O16" i="17"/>
  <c r="O17" i="17"/>
  <c r="O18" i="17"/>
  <c r="O19" i="17"/>
  <c r="O20" i="17"/>
  <c r="O21" i="17"/>
  <c r="O22" i="17"/>
  <c r="O23" i="17"/>
  <c r="O24" i="17"/>
  <c r="O25" i="17"/>
  <c r="O26" i="17"/>
  <c r="O27" i="17"/>
  <c r="O28" i="17"/>
  <c r="O29" i="17"/>
  <c r="O30" i="17"/>
  <c r="O31" i="17"/>
  <c r="O32" i="17"/>
  <c r="O33" i="17"/>
  <c r="O7" i="17"/>
  <c r="K44" i="17"/>
  <c r="E71" i="13"/>
  <c r="E70" i="13"/>
  <c r="E18" i="11"/>
  <c r="I48" i="24" l="1"/>
  <c r="O32" i="25"/>
  <c r="L32" i="25"/>
  <c r="O11" i="25"/>
  <c r="L11" i="25"/>
  <c r="L12" i="25"/>
  <c r="O12" i="25"/>
  <c r="P38" i="25"/>
  <c r="Q38" i="25" s="1"/>
  <c r="O22" i="25"/>
  <c r="L22" i="25"/>
  <c r="L19" i="25"/>
  <c r="O19" i="25"/>
  <c r="O24" i="25"/>
  <c r="L24" i="25"/>
  <c r="O27" i="25"/>
  <c r="L27" i="25"/>
  <c r="O9" i="25"/>
  <c r="L9" i="25"/>
  <c r="K43" i="25"/>
  <c r="I43" i="25"/>
  <c r="K44" i="25"/>
  <c r="I44" i="25"/>
  <c r="K45" i="25"/>
  <c r="I45" i="25"/>
  <c r="O18" i="25"/>
  <c r="L18" i="25"/>
  <c r="O10" i="25"/>
  <c r="L10" i="25"/>
  <c r="O15" i="25"/>
  <c r="L15" i="25"/>
  <c r="K46" i="25"/>
  <c r="I46" i="25"/>
  <c r="O33" i="25"/>
  <c r="L33" i="25"/>
  <c r="O8" i="25"/>
  <c r="L8" i="25"/>
  <c r="L14" i="25"/>
  <c r="O14" i="25"/>
  <c r="O30" i="25"/>
  <c r="L30" i="25"/>
  <c r="K47" i="25"/>
  <c r="I47" i="25"/>
  <c r="L16" i="25"/>
  <c r="O16" i="25"/>
  <c r="O17" i="25"/>
  <c r="L17" i="25"/>
  <c r="L28" i="25"/>
  <c r="O28" i="25"/>
  <c r="L20" i="25"/>
  <c r="O20" i="25"/>
  <c r="O25" i="25"/>
  <c r="L25" i="25"/>
  <c r="L21" i="25"/>
  <c r="O21" i="25"/>
  <c r="O26" i="25"/>
  <c r="L26" i="25"/>
  <c r="O31" i="25"/>
  <c r="L31" i="25"/>
  <c r="K48" i="25"/>
  <c r="I48" i="25"/>
  <c r="L23" i="25"/>
  <c r="O7" i="25"/>
  <c r="L13" i="25"/>
  <c r="L29" i="25"/>
  <c r="M43" i="25" l="1"/>
  <c r="J43" i="25"/>
  <c r="M48" i="25"/>
  <c r="J48" i="25"/>
  <c r="R38" i="25"/>
  <c r="N7" i="25" s="1"/>
  <c r="J45" i="25"/>
  <c r="M45" i="25"/>
  <c r="M46" i="25"/>
  <c r="J46" i="25"/>
  <c r="M47" i="25"/>
  <c r="J47" i="25"/>
  <c r="M44" i="25"/>
  <c r="J44" i="25"/>
  <c r="Q7" i="25" l="1"/>
  <c r="N8" i="25" s="1"/>
  <c r="P7" i="25"/>
  <c r="Q8" i="25" l="1"/>
  <c r="N9" i="25" s="1"/>
  <c r="P8" i="25"/>
  <c r="Q9" i="25" l="1"/>
  <c r="N10" i="25" s="1"/>
  <c r="P9" i="25"/>
  <c r="Q10" i="25" l="1"/>
  <c r="N11" i="25" s="1"/>
  <c r="P10" i="25"/>
  <c r="Q11" i="25" l="1"/>
  <c r="N12" i="25" s="1"/>
  <c r="P11" i="25"/>
  <c r="Q12" i="25" l="1"/>
  <c r="N13" i="25" s="1"/>
  <c r="P12" i="25"/>
  <c r="Q13" i="25" l="1"/>
  <c r="N14" i="25" s="1"/>
  <c r="P13" i="25"/>
  <c r="Q14" i="25" l="1"/>
  <c r="N15" i="25" s="1"/>
  <c r="P14" i="25"/>
  <c r="Q15" i="25" l="1"/>
  <c r="N16" i="25" s="1"/>
  <c r="P15" i="25"/>
  <c r="AA138" i="17"/>
  <c r="G46" i="17"/>
  <c r="H46" i="17" s="1"/>
  <c r="E46" i="17"/>
  <c r="G45" i="17"/>
  <c r="H45" i="17" s="1"/>
  <c r="E45" i="17"/>
  <c r="G44" i="17"/>
  <c r="H44" i="17" s="1"/>
  <c r="E44" i="17"/>
  <c r="J39" i="17"/>
  <c r="K39" i="17" s="1"/>
  <c r="L39" i="17" s="1"/>
  <c r="M39" i="17" s="1"/>
  <c r="H14" i="16" s="1"/>
  <c r="I14" i="16" s="1"/>
  <c r="E39" i="17"/>
  <c r="N39" i="17" s="1"/>
  <c r="P39" i="17" s="1"/>
  <c r="O38" i="17"/>
  <c r="N38" i="17"/>
  <c r="L38" i="17"/>
  <c r="M38" i="17" s="1"/>
  <c r="H13" i="16" s="1"/>
  <c r="I13" i="16" s="1"/>
  <c r="M33" i="17"/>
  <c r="J33" i="17"/>
  <c r="K33" i="17" s="1"/>
  <c r="L33" i="17" s="1"/>
  <c r="H41" i="16" s="1"/>
  <c r="I41" i="16" s="1"/>
  <c r="G33" i="17"/>
  <c r="M32" i="17"/>
  <c r="J32" i="17"/>
  <c r="K32" i="17" s="1"/>
  <c r="G32" i="17"/>
  <c r="M31" i="17"/>
  <c r="L31" i="17"/>
  <c r="H39" i="16" s="1"/>
  <c r="I39" i="16" s="1"/>
  <c r="K31" i="17"/>
  <c r="J31" i="17"/>
  <c r="G31" i="17"/>
  <c r="M30" i="17"/>
  <c r="J30" i="17"/>
  <c r="K30" i="17" s="1"/>
  <c r="G30" i="17"/>
  <c r="M29" i="17"/>
  <c r="K29" i="17"/>
  <c r="L29" i="17" s="1"/>
  <c r="H37" i="16" s="1"/>
  <c r="I37" i="16" s="1"/>
  <c r="J29" i="17"/>
  <c r="G29" i="17"/>
  <c r="M28" i="17"/>
  <c r="J28" i="17"/>
  <c r="K28" i="17" s="1"/>
  <c r="L28" i="17" s="1"/>
  <c r="H36" i="16" s="1"/>
  <c r="I36" i="16" s="1"/>
  <c r="G28" i="17"/>
  <c r="M27" i="17"/>
  <c r="L27" i="17"/>
  <c r="K27" i="17"/>
  <c r="J27" i="17"/>
  <c r="G27" i="17"/>
  <c r="M26" i="17"/>
  <c r="J26" i="17"/>
  <c r="K26" i="17" s="1"/>
  <c r="L26" i="17" s="1"/>
  <c r="H34" i="16" s="1"/>
  <c r="I34" i="16" s="1"/>
  <c r="G26" i="17"/>
  <c r="M25" i="17"/>
  <c r="L25" i="17"/>
  <c r="K25" i="17"/>
  <c r="J25" i="17"/>
  <c r="G25" i="17"/>
  <c r="M24" i="17"/>
  <c r="K24" i="17"/>
  <c r="L24" i="17" s="1"/>
  <c r="H32" i="16" s="1"/>
  <c r="I32" i="16" s="1"/>
  <c r="J24" i="17"/>
  <c r="G24" i="17"/>
  <c r="M23" i="17"/>
  <c r="J23" i="17"/>
  <c r="K23" i="17" s="1"/>
  <c r="G23" i="17"/>
  <c r="M22" i="17"/>
  <c r="J22" i="17"/>
  <c r="K22" i="17" s="1"/>
  <c r="L22" i="17" s="1"/>
  <c r="H30" i="16" s="1"/>
  <c r="I30" i="16" s="1"/>
  <c r="G22" i="17"/>
  <c r="M21" i="17"/>
  <c r="J21" i="17"/>
  <c r="K21" i="17" s="1"/>
  <c r="L21" i="17" s="1"/>
  <c r="H29" i="16" s="1"/>
  <c r="I29" i="16" s="1"/>
  <c r="G21" i="17"/>
  <c r="M20" i="17"/>
  <c r="L20" i="17"/>
  <c r="K20" i="17"/>
  <c r="J20" i="17"/>
  <c r="G20" i="17"/>
  <c r="M19" i="17"/>
  <c r="J19" i="17"/>
  <c r="K19" i="17" s="1"/>
  <c r="L19" i="17" s="1"/>
  <c r="H27" i="16" s="1"/>
  <c r="I27" i="16" s="1"/>
  <c r="G19" i="17"/>
  <c r="M18" i="17"/>
  <c r="L18" i="17"/>
  <c r="H26" i="16" s="1"/>
  <c r="I26" i="16" s="1"/>
  <c r="K18" i="17"/>
  <c r="J18" i="17"/>
  <c r="G18" i="17"/>
  <c r="M17" i="17"/>
  <c r="J17" i="17"/>
  <c r="K17" i="17" s="1"/>
  <c r="L17" i="17" s="1"/>
  <c r="H25" i="16" s="1"/>
  <c r="I25" i="16" s="1"/>
  <c r="G17" i="17"/>
  <c r="M16" i="17"/>
  <c r="J16" i="17"/>
  <c r="K16" i="17" s="1"/>
  <c r="G16" i="17"/>
  <c r="M15" i="17"/>
  <c r="L15" i="17"/>
  <c r="H23" i="16" s="1"/>
  <c r="I23" i="16" s="1"/>
  <c r="K15" i="17"/>
  <c r="J15" i="17"/>
  <c r="G15" i="17"/>
  <c r="M14" i="17"/>
  <c r="J14" i="17"/>
  <c r="K14" i="17" s="1"/>
  <c r="G14" i="17"/>
  <c r="M13" i="17"/>
  <c r="K13" i="17"/>
  <c r="L13" i="17" s="1"/>
  <c r="H21" i="16" s="1"/>
  <c r="I21" i="16" s="1"/>
  <c r="J13" i="17"/>
  <c r="G13" i="17"/>
  <c r="M12" i="17"/>
  <c r="J12" i="17"/>
  <c r="K12" i="17" s="1"/>
  <c r="L12" i="17" s="1"/>
  <c r="H20" i="16" s="1"/>
  <c r="I20" i="16" s="1"/>
  <c r="G12" i="17"/>
  <c r="M11" i="17"/>
  <c r="L11" i="17"/>
  <c r="K11" i="17"/>
  <c r="J11" i="17"/>
  <c r="G11" i="17"/>
  <c r="M10" i="17"/>
  <c r="J10" i="17"/>
  <c r="K10" i="17" s="1"/>
  <c r="L10" i="17" s="1"/>
  <c r="H18" i="16" s="1"/>
  <c r="I18" i="16" s="1"/>
  <c r="G10" i="17"/>
  <c r="M9" i="17"/>
  <c r="O9" i="17" s="1"/>
  <c r="J9" i="17"/>
  <c r="K9" i="17" s="1"/>
  <c r="L9" i="17" s="1"/>
  <c r="G9" i="17"/>
  <c r="M8" i="17"/>
  <c r="K8" i="17"/>
  <c r="L8" i="17" s="1"/>
  <c r="H16" i="16" s="1"/>
  <c r="I16" i="16" s="1"/>
  <c r="J8" i="17"/>
  <c r="G8" i="17"/>
  <c r="M7" i="17"/>
  <c r="J7" i="17"/>
  <c r="K7" i="17" s="1"/>
  <c r="G7" i="17"/>
  <c r="I47" i="16"/>
  <c r="I46" i="16"/>
  <c r="D46" i="16"/>
  <c r="I45" i="16"/>
  <c r="D45" i="16"/>
  <c r="I44" i="16"/>
  <c r="D44" i="16"/>
  <c r="I43" i="16"/>
  <c r="D43" i="16"/>
  <c r="I42" i="16"/>
  <c r="D42" i="16"/>
  <c r="D41" i="16"/>
  <c r="D40" i="16"/>
  <c r="D39" i="16"/>
  <c r="D38" i="16"/>
  <c r="D37" i="16"/>
  <c r="D36" i="16"/>
  <c r="H35" i="16"/>
  <c r="I35" i="16" s="1"/>
  <c r="D35" i="16"/>
  <c r="D34" i="16"/>
  <c r="I33" i="16"/>
  <c r="H33" i="16"/>
  <c r="D33" i="16"/>
  <c r="D32" i="16"/>
  <c r="D31" i="16"/>
  <c r="D30" i="16"/>
  <c r="D29" i="16"/>
  <c r="H28" i="16"/>
  <c r="I28" i="16" s="1"/>
  <c r="D28" i="16"/>
  <c r="D27" i="16"/>
  <c r="D26" i="16"/>
  <c r="D25" i="16"/>
  <c r="D24" i="16"/>
  <c r="D23" i="16"/>
  <c r="D22" i="16"/>
  <c r="D21" i="16"/>
  <c r="D20" i="16"/>
  <c r="H19" i="16"/>
  <c r="I19" i="16" s="1"/>
  <c r="D19" i="16"/>
  <c r="D18" i="16"/>
  <c r="H17" i="16"/>
  <c r="I17" i="16" s="1"/>
  <c r="D17" i="16"/>
  <c r="D16" i="16"/>
  <c r="D15" i="16"/>
  <c r="D14" i="16"/>
  <c r="D13" i="16"/>
  <c r="I12" i="16"/>
  <c r="Q16" i="25" l="1"/>
  <c r="N17" i="25" s="1"/>
  <c r="P16" i="25"/>
  <c r="P38" i="17"/>
  <c r="L7" i="17"/>
  <c r="H15" i="16" s="1"/>
  <c r="I15" i="16" s="1"/>
  <c r="I48" i="16" s="1"/>
  <c r="L23" i="17"/>
  <c r="H31" i="16" s="1"/>
  <c r="I31" i="16" s="1"/>
  <c r="I44" i="17"/>
  <c r="J44" i="17" s="1"/>
  <c r="M44" i="17"/>
  <c r="I45" i="17"/>
  <c r="J45" i="17" s="1"/>
  <c r="K45" i="17"/>
  <c r="M45" i="17" s="1"/>
  <c r="L32" i="17"/>
  <c r="H40" i="16" s="1"/>
  <c r="I40" i="16" s="1"/>
  <c r="L30" i="17"/>
  <c r="H38" i="16" s="1"/>
  <c r="I38" i="16" s="1"/>
  <c r="K46" i="17"/>
  <c r="I46" i="17"/>
  <c r="J46" i="17" s="1"/>
  <c r="L14" i="17"/>
  <c r="H22" i="16" s="1"/>
  <c r="I22" i="16" s="1"/>
  <c r="L16" i="17"/>
  <c r="H24" i="16" s="1"/>
  <c r="I24" i="16" s="1"/>
  <c r="Q17" i="25" l="1"/>
  <c r="N18" i="25" s="1"/>
  <c r="P17" i="25"/>
  <c r="R38" i="17"/>
  <c r="O39" i="17" s="1"/>
  <c r="Q38" i="17"/>
  <c r="M46" i="17"/>
  <c r="Q18" i="25" l="1"/>
  <c r="N19" i="25" s="1"/>
  <c r="P18" i="25"/>
  <c r="R39" i="17"/>
  <c r="N7" i="17" s="1"/>
  <c r="Q39" i="17"/>
  <c r="Q19" i="25" l="1"/>
  <c r="N20" i="25" s="1"/>
  <c r="P19" i="25"/>
  <c r="P7" i="17"/>
  <c r="Q7" i="17"/>
  <c r="N8" i="17" s="1"/>
  <c r="Q20" i="25" l="1"/>
  <c r="N21" i="25" s="1"/>
  <c r="P20" i="25"/>
  <c r="Q8" i="17"/>
  <c r="N9" i="17" s="1"/>
  <c r="P8" i="17"/>
  <c r="Q21" i="25" l="1"/>
  <c r="N22" i="25" s="1"/>
  <c r="P21" i="25"/>
  <c r="Q9" i="17"/>
  <c r="N10" i="17" s="1"/>
  <c r="P9" i="17"/>
  <c r="Q22" i="25" l="1"/>
  <c r="N23" i="25" s="1"/>
  <c r="P22" i="25"/>
  <c r="Q10" i="17"/>
  <c r="N11" i="17" s="1"/>
  <c r="P10" i="17"/>
  <c r="Q23" i="25" l="1"/>
  <c r="N24" i="25" s="1"/>
  <c r="P23" i="25"/>
  <c r="Q11" i="17"/>
  <c r="N12" i="17" s="1"/>
  <c r="P11" i="17"/>
  <c r="Q24" i="25" l="1"/>
  <c r="N25" i="25" s="1"/>
  <c r="P24" i="25"/>
  <c r="Q12" i="17"/>
  <c r="N13" i="17" s="1"/>
  <c r="P12" i="17"/>
  <c r="Q25" i="25" l="1"/>
  <c r="N26" i="25" s="1"/>
  <c r="P25" i="25"/>
  <c r="Q13" i="17"/>
  <c r="N14" i="17" s="1"/>
  <c r="P13" i="17"/>
  <c r="Q26" i="25" l="1"/>
  <c r="N27" i="25" s="1"/>
  <c r="P26" i="25"/>
  <c r="Q14" i="17"/>
  <c r="N15" i="17" s="1"/>
  <c r="P14" i="17"/>
  <c r="Q27" i="25" l="1"/>
  <c r="N28" i="25" s="1"/>
  <c r="P27" i="25"/>
  <c r="Q15" i="17"/>
  <c r="N16" i="17" s="1"/>
  <c r="P15" i="17"/>
  <c r="Q28" i="25" l="1"/>
  <c r="N29" i="25" s="1"/>
  <c r="P28" i="25"/>
  <c r="P16" i="17"/>
  <c r="Q16" i="17"/>
  <c r="N17" i="17" s="1"/>
  <c r="Q29" i="25" l="1"/>
  <c r="N30" i="25" s="1"/>
  <c r="P29" i="25"/>
  <c r="Q17" i="17"/>
  <c r="N18" i="17" s="1"/>
  <c r="P17" i="17"/>
  <c r="Q30" i="25" l="1"/>
  <c r="N31" i="25" s="1"/>
  <c r="P30" i="25"/>
  <c r="Q18" i="17"/>
  <c r="N19" i="17" s="1"/>
  <c r="P18" i="17"/>
  <c r="Q31" i="25" l="1"/>
  <c r="N32" i="25" s="1"/>
  <c r="P31" i="25"/>
  <c r="Q19" i="17"/>
  <c r="N20" i="17" s="1"/>
  <c r="P19" i="17"/>
  <c r="Q32" i="25" l="1"/>
  <c r="N33" i="25" s="1"/>
  <c r="P32" i="25"/>
  <c r="P20" i="17"/>
  <c r="Q20" i="17"/>
  <c r="N21" i="17" s="1"/>
  <c r="Q33" i="25" l="1"/>
  <c r="L43" i="25" s="1"/>
  <c r="P33" i="25"/>
  <c r="Q21" i="17"/>
  <c r="N22" i="17" s="1"/>
  <c r="P21" i="17"/>
  <c r="O43" i="25" l="1"/>
  <c r="L44" i="25" s="1"/>
  <c r="N43" i="25"/>
  <c r="Q22" i="17"/>
  <c r="N23" i="17" s="1"/>
  <c r="P22" i="17"/>
  <c r="O44" i="25" l="1"/>
  <c r="L45" i="25" s="1"/>
  <c r="N44" i="25"/>
  <c r="Q23" i="17"/>
  <c r="N24" i="17" s="1"/>
  <c r="P23" i="17"/>
  <c r="O45" i="25" l="1"/>
  <c r="L46" i="25" s="1"/>
  <c r="N45" i="25"/>
  <c r="Q24" i="17"/>
  <c r="N25" i="17" s="1"/>
  <c r="P24" i="17"/>
  <c r="O46" i="25" l="1"/>
  <c r="L47" i="25" s="1"/>
  <c r="N46" i="25"/>
  <c r="Q25" i="17"/>
  <c r="N26" i="17" s="1"/>
  <c r="P25" i="17"/>
  <c r="O47" i="25" l="1"/>
  <c r="L48" i="25" s="1"/>
  <c r="N47" i="25"/>
  <c r="Q26" i="17"/>
  <c r="N27" i="17" s="1"/>
  <c r="P26" i="17"/>
  <c r="O48" i="25" l="1"/>
  <c r="N48" i="25"/>
  <c r="Q27" i="17"/>
  <c r="N28" i="17" s="1"/>
  <c r="P27" i="17"/>
  <c r="Q28" i="17" l="1"/>
  <c r="N29" i="17" s="1"/>
  <c r="P28" i="17"/>
  <c r="Q29" i="17" l="1"/>
  <c r="N30" i="17" s="1"/>
  <c r="P29" i="17"/>
  <c r="Q30" i="17" l="1"/>
  <c r="N31" i="17" s="1"/>
  <c r="P30" i="17"/>
  <c r="Q31" i="17" l="1"/>
  <c r="N32" i="17" s="1"/>
  <c r="P31" i="17"/>
  <c r="P32" i="17" l="1"/>
  <c r="Q32" i="17"/>
  <c r="N33" i="17" s="1"/>
  <c r="Q33" i="17" l="1"/>
  <c r="L44" i="17" s="1"/>
  <c r="P33" i="17"/>
  <c r="O44" i="17" l="1"/>
  <c r="L45" i="17" s="1"/>
  <c r="N44" i="17"/>
  <c r="O45" i="17" l="1"/>
  <c r="L46" i="17" s="1"/>
  <c r="N45" i="17"/>
  <c r="O46" i="17" l="1"/>
  <c r="N46" i="17"/>
  <c r="D14" i="12" l="1"/>
  <c r="D15" i="12"/>
  <c r="D16" i="12"/>
  <c r="D17" i="12"/>
  <c r="D18" i="12"/>
  <c r="D19" i="12"/>
  <c r="D20" i="12"/>
  <c r="D21" i="12"/>
  <c r="D22" i="12"/>
  <c r="D23" i="12"/>
  <c r="D24" i="12"/>
  <c r="D25" i="12"/>
  <c r="D26" i="12"/>
  <c r="D27" i="12"/>
  <c r="D28" i="12"/>
  <c r="D29" i="12"/>
  <c r="D30" i="12"/>
  <c r="D31" i="12"/>
  <c r="D32" i="12"/>
  <c r="D33" i="12"/>
  <c r="D34" i="12"/>
  <c r="D35" i="12"/>
  <c r="D36" i="12"/>
  <c r="D37" i="12"/>
  <c r="D38" i="12"/>
  <c r="D39" i="12"/>
  <c r="D40" i="12"/>
  <c r="D41" i="12"/>
  <c r="D42" i="12"/>
  <c r="D43" i="12"/>
  <c r="D44" i="12"/>
  <c r="D45" i="12"/>
  <c r="D46" i="12"/>
  <c r="D47" i="12"/>
  <c r="D48" i="12"/>
  <c r="D49" i="12"/>
  <c r="D50" i="12"/>
  <c r="D51" i="12"/>
  <c r="D52" i="12"/>
  <c r="D53" i="12"/>
  <c r="D54" i="12"/>
  <c r="D55" i="12"/>
  <c r="D56" i="12"/>
  <c r="D57" i="12"/>
  <c r="D58" i="12"/>
  <c r="D59" i="12"/>
  <c r="D60" i="12"/>
  <c r="D61" i="12"/>
  <c r="D62" i="12"/>
  <c r="D63" i="12"/>
  <c r="D64" i="12"/>
  <c r="D65" i="12"/>
  <c r="D66" i="12"/>
  <c r="D67" i="12"/>
  <c r="D13" i="12"/>
  <c r="G71" i="13"/>
  <c r="H71" i="13" s="1"/>
  <c r="G70" i="13"/>
  <c r="H70" i="13" s="1"/>
  <c r="M59" i="13"/>
  <c r="J59" i="13"/>
  <c r="K59" i="13" s="1"/>
  <c r="G59" i="13"/>
  <c r="M58" i="13"/>
  <c r="J58" i="13"/>
  <c r="K58" i="13" s="1"/>
  <c r="G58" i="13"/>
  <c r="M57" i="13"/>
  <c r="L57" i="13"/>
  <c r="H65" i="12" s="1"/>
  <c r="I65" i="12" s="1"/>
  <c r="K57" i="13"/>
  <c r="O57" i="13" s="1"/>
  <c r="J57" i="13"/>
  <c r="G57" i="13"/>
  <c r="M56" i="13"/>
  <c r="J56" i="13"/>
  <c r="K56" i="13" s="1"/>
  <c r="G56" i="13"/>
  <c r="O55" i="13"/>
  <c r="M55" i="13"/>
  <c r="L55" i="13"/>
  <c r="K55" i="13"/>
  <c r="J55" i="13"/>
  <c r="G55" i="13"/>
  <c r="M54" i="13"/>
  <c r="J54" i="13"/>
  <c r="K54" i="13" s="1"/>
  <c r="G54" i="13"/>
  <c r="M53" i="13"/>
  <c r="J53" i="13"/>
  <c r="K53" i="13" s="1"/>
  <c r="G53" i="13"/>
  <c r="M52" i="13"/>
  <c r="J52" i="13"/>
  <c r="K52" i="13" s="1"/>
  <c r="G52" i="13"/>
  <c r="M51" i="13"/>
  <c r="J51" i="13"/>
  <c r="K51" i="13" s="1"/>
  <c r="G51" i="13"/>
  <c r="M50" i="13"/>
  <c r="K50" i="13"/>
  <c r="L50" i="13" s="1"/>
  <c r="H56" i="12" s="1"/>
  <c r="I56" i="12" s="1"/>
  <c r="J50" i="13"/>
  <c r="G50" i="13"/>
  <c r="M49" i="13"/>
  <c r="J49" i="13"/>
  <c r="K49" i="13" s="1"/>
  <c r="G49" i="13"/>
  <c r="M48" i="13"/>
  <c r="L48" i="13"/>
  <c r="H54" i="12" s="1"/>
  <c r="I54" i="12" s="1"/>
  <c r="K48" i="13"/>
  <c r="J48" i="13"/>
  <c r="G48" i="13"/>
  <c r="M47" i="13"/>
  <c r="J47" i="13"/>
  <c r="K47" i="13" s="1"/>
  <c r="G47" i="13"/>
  <c r="M46" i="13"/>
  <c r="J46" i="13"/>
  <c r="K46" i="13" s="1"/>
  <c r="G46" i="13"/>
  <c r="M45" i="13"/>
  <c r="J45" i="13"/>
  <c r="K45" i="13" s="1"/>
  <c r="G45" i="13"/>
  <c r="O44" i="13"/>
  <c r="M44" i="13"/>
  <c r="K44" i="13"/>
  <c r="L44" i="13" s="1"/>
  <c r="H50" i="12" s="1"/>
  <c r="I50" i="12" s="1"/>
  <c r="J44" i="13"/>
  <c r="G44" i="13"/>
  <c r="M43" i="13"/>
  <c r="J43" i="13"/>
  <c r="K43" i="13" s="1"/>
  <c r="G43" i="13"/>
  <c r="M42" i="13"/>
  <c r="J42" i="13"/>
  <c r="K42" i="13" s="1"/>
  <c r="G42" i="13"/>
  <c r="M41" i="13"/>
  <c r="L41" i="13"/>
  <c r="H47" i="12" s="1"/>
  <c r="I47" i="12" s="1"/>
  <c r="K41" i="13"/>
  <c r="O41" i="13" s="1"/>
  <c r="J41" i="13"/>
  <c r="G41" i="13"/>
  <c r="M40" i="13"/>
  <c r="J40" i="13"/>
  <c r="K40" i="13" s="1"/>
  <c r="G40" i="13"/>
  <c r="O39" i="13"/>
  <c r="M39" i="13"/>
  <c r="L39" i="13"/>
  <c r="H45" i="12" s="1"/>
  <c r="I45" i="12" s="1"/>
  <c r="K39" i="13"/>
  <c r="J39" i="13"/>
  <c r="G39" i="13"/>
  <c r="M38" i="13"/>
  <c r="J38" i="13"/>
  <c r="K38" i="13" s="1"/>
  <c r="G38" i="13"/>
  <c r="M37" i="13"/>
  <c r="J37" i="13"/>
  <c r="K37" i="13" s="1"/>
  <c r="G37" i="13"/>
  <c r="M36" i="13"/>
  <c r="J36" i="13"/>
  <c r="K36" i="13" s="1"/>
  <c r="G36" i="13"/>
  <c r="M35" i="13"/>
  <c r="J35" i="13"/>
  <c r="K35" i="13" s="1"/>
  <c r="G35" i="13"/>
  <c r="M34" i="13"/>
  <c r="K34" i="13"/>
  <c r="L34" i="13" s="1"/>
  <c r="H40" i="12" s="1"/>
  <c r="I40" i="12" s="1"/>
  <c r="J34" i="13"/>
  <c r="G34" i="13"/>
  <c r="M33" i="13"/>
  <c r="J33" i="13"/>
  <c r="K33" i="13" s="1"/>
  <c r="G33" i="13"/>
  <c r="M32" i="13"/>
  <c r="O32" i="13" s="1"/>
  <c r="L32" i="13"/>
  <c r="H38" i="12" s="1"/>
  <c r="I38" i="12" s="1"/>
  <c r="K32" i="13"/>
  <c r="J32" i="13"/>
  <c r="G32" i="13"/>
  <c r="M31" i="13"/>
  <c r="J31" i="13"/>
  <c r="K31" i="13" s="1"/>
  <c r="G31" i="13"/>
  <c r="M30" i="13"/>
  <c r="J30" i="13"/>
  <c r="K30" i="13" s="1"/>
  <c r="G30" i="13"/>
  <c r="M29" i="13"/>
  <c r="J29" i="13"/>
  <c r="K29" i="13" s="1"/>
  <c r="G29" i="13"/>
  <c r="O28" i="13"/>
  <c r="M28" i="13"/>
  <c r="K28" i="13"/>
  <c r="L28" i="13" s="1"/>
  <c r="H34" i="12" s="1"/>
  <c r="I34" i="12" s="1"/>
  <c r="J28" i="13"/>
  <c r="G28" i="13"/>
  <c r="M27" i="13"/>
  <c r="J27" i="13"/>
  <c r="K27" i="13" s="1"/>
  <c r="G27" i="13"/>
  <c r="M26" i="13"/>
  <c r="J26" i="13"/>
  <c r="K26" i="13" s="1"/>
  <c r="G26" i="13"/>
  <c r="M25" i="13"/>
  <c r="L25" i="13"/>
  <c r="H31" i="12" s="1"/>
  <c r="I31" i="12" s="1"/>
  <c r="K25" i="13"/>
  <c r="O25" i="13" s="1"/>
  <c r="J25" i="13"/>
  <c r="G25" i="13"/>
  <c r="M24" i="13"/>
  <c r="J24" i="13"/>
  <c r="K24" i="13" s="1"/>
  <c r="G24" i="13"/>
  <c r="O23" i="13"/>
  <c r="M23" i="13"/>
  <c r="L23" i="13"/>
  <c r="H29" i="12" s="1"/>
  <c r="I29" i="12" s="1"/>
  <c r="K23" i="13"/>
  <c r="J23" i="13"/>
  <c r="G23" i="13"/>
  <c r="M22" i="13"/>
  <c r="J22" i="13"/>
  <c r="K22" i="13" s="1"/>
  <c r="G22" i="13"/>
  <c r="M21" i="13"/>
  <c r="J21" i="13"/>
  <c r="K21" i="13" s="1"/>
  <c r="G21" i="13"/>
  <c r="M20" i="13"/>
  <c r="J20" i="13"/>
  <c r="K20" i="13" s="1"/>
  <c r="G20" i="13"/>
  <c r="M19" i="13"/>
  <c r="J19" i="13"/>
  <c r="K19" i="13" s="1"/>
  <c r="G19" i="13"/>
  <c r="M18" i="13"/>
  <c r="K18" i="13"/>
  <c r="O18" i="13" s="1"/>
  <c r="J18" i="13"/>
  <c r="G18" i="13"/>
  <c r="M17" i="13"/>
  <c r="J17" i="13"/>
  <c r="K17" i="13" s="1"/>
  <c r="G17" i="13"/>
  <c r="M16" i="13"/>
  <c r="O16" i="13" s="1"/>
  <c r="L16" i="13"/>
  <c r="H22" i="12" s="1"/>
  <c r="I22" i="12" s="1"/>
  <c r="K16" i="13"/>
  <c r="J16" i="13"/>
  <c r="G16" i="13"/>
  <c r="M15" i="13"/>
  <c r="J15" i="13"/>
  <c r="K15" i="13" s="1"/>
  <c r="G15" i="13"/>
  <c r="M14" i="13"/>
  <c r="J14" i="13"/>
  <c r="K14" i="13" s="1"/>
  <c r="G14" i="13"/>
  <c r="M13" i="13"/>
  <c r="J13" i="13"/>
  <c r="K13" i="13" s="1"/>
  <c r="G13" i="13"/>
  <c r="O12" i="13"/>
  <c r="M12" i="13"/>
  <c r="K12" i="13"/>
  <c r="L12" i="13" s="1"/>
  <c r="H18" i="12" s="1"/>
  <c r="I18" i="12" s="1"/>
  <c r="J12" i="13"/>
  <c r="G12" i="13"/>
  <c r="M11" i="13"/>
  <c r="J11" i="13"/>
  <c r="K11" i="13" s="1"/>
  <c r="G11" i="13"/>
  <c r="M10" i="13"/>
  <c r="J10" i="13"/>
  <c r="K10" i="13" s="1"/>
  <c r="G10" i="13"/>
  <c r="M9" i="13"/>
  <c r="L9" i="13"/>
  <c r="H15" i="12" s="1"/>
  <c r="I15" i="12" s="1"/>
  <c r="K9" i="13"/>
  <c r="O9" i="13" s="1"/>
  <c r="J9" i="13"/>
  <c r="G9" i="13"/>
  <c r="M8" i="13"/>
  <c r="J8" i="13"/>
  <c r="K8" i="13" s="1"/>
  <c r="G8" i="13"/>
  <c r="M7" i="13"/>
  <c r="P7" i="13" s="1"/>
  <c r="L7" i="13"/>
  <c r="I13" i="12" s="1"/>
  <c r="K7" i="13"/>
  <c r="J7" i="13"/>
  <c r="G7" i="13"/>
  <c r="I68" i="12"/>
  <c r="H68" i="12"/>
  <c r="H61" i="12"/>
  <c r="I61" i="12" s="1"/>
  <c r="I12" i="12"/>
  <c r="O14" i="13" l="1"/>
  <c r="L14" i="13"/>
  <c r="H20" i="12" s="1"/>
  <c r="I20" i="12" s="1"/>
  <c r="O29" i="13"/>
  <c r="L29" i="13"/>
  <c r="H35" i="12" s="1"/>
  <c r="I35" i="12" s="1"/>
  <c r="O47" i="13"/>
  <c r="L47" i="13"/>
  <c r="H53" i="12" s="1"/>
  <c r="I53" i="12" s="1"/>
  <c r="L8" i="13"/>
  <c r="H14" i="12" s="1"/>
  <c r="I14" i="12" s="1"/>
  <c r="O8" i="13"/>
  <c r="L30" i="13"/>
  <c r="H36" i="12" s="1"/>
  <c r="I36" i="12" s="1"/>
  <c r="O30" i="13"/>
  <c r="O52" i="13"/>
  <c r="L52" i="13"/>
  <c r="H58" i="12" s="1"/>
  <c r="I58" i="12" s="1"/>
  <c r="L17" i="13"/>
  <c r="H23" i="12" s="1"/>
  <c r="I23" i="12" s="1"/>
  <c r="O17" i="13"/>
  <c r="O22" i="13"/>
  <c r="L22" i="13"/>
  <c r="H28" i="12" s="1"/>
  <c r="I28" i="12" s="1"/>
  <c r="L43" i="13"/>
  <c r="H49" i="12" s="1"/>
  <c r="I49" i="12" s="1"/>
  <c r="O43" i="13"/>
  <c r="L26" i="13"/>
  <c r="H32" i="12" s="1"/>
  <c r="I32" i="12" s="1"/>
  <c r="O26" i="13"/>
  <c r="O35" i="13"/>
  <c r="L35" i="13"/>
  <c r="H41" i="12" s="1"/>
  <c r="I41" i="12" s="1"/>
  <c r="O53" i="13"/>
  <c r="L53" i="13"/>
  <c r="H59" i="12" s="1"/>
  <c r="I59" i="12" s="1"/>
  <c r="O21" i="13"/>
  <c r="L21" i="13"/>
  <c r="H27" i="12" s="1"/>
  <c r="I27" i="12" s="1"/>
  <c r="O13" i="13"/>
  <c r="L13" i="13"/>
  <c r="H19" i="12" s="1"/>
  <c r="I19" i="12" s="1"/>
  <c r="O31" i="13"/>
  <c r="L31" i="13"/>
  <c r="H37" i="12" s="1"/>
  <c r="I37" i="12" s="1"/>
  <c r="L40" i="13"/>
  <c r="H46" i="12" s="1"/>
  <c r="I46" i="12" s="1"/>
  <c r="O40" i="13"/>
  <c r="L27" i="13"/>
  <c r="H33" i="12" s="1"/>
  <c r="I33" i="12" s="1"/>
  <c r="O27" i="13"/>
  <c r="O36" i="13"/>
  <c r="L36" i="13"/>
  <c r="H42" i="12" s="1"/>
  <c r="I42" i="12" s="1"/>
  <c r="L49" i="13"/>
  <c r="H55" i="12" s="1"/>
  <c r="I55" i="12" s="1"/>
  <c r="O49" i="13"/>
  <c r="O54" i="13"/>
  <c r="L54" i="13"/>
  <c r="H60" i="12" s="1"/>
  <c r="I60" i="12" s="1"/>
  <c r="L58" i="13"/>
  <c r="H66" i="12" s="1"/>
  <c r="I66" i="12" s="1"/>
  <c r="O58" i="13"/>
  <c r="O45" i="13"/>
  <c r="L45" i="13"/>
  <c r="H51" i="12" s="1"/>
  <c r="I51" i="12" s="1"/>
  <c r="O59" i="13"/>
  <c r="L59" i="13"/>
  <c r="H67" i="12" s="1"/>
  <c r="I67" i="12" s="1"/>
  <c r="L24" i="13"/>
  <c r="H30" i="12" s="1"/>
  <c r="I30" i="12" s="1"/>
  <c r="O24" i="13"/>
  <c r="O46" i="13"/>
  <c r="L46" i="13"/>
  <c r="H52" i="12" s="1"/>
  <c r="I52" i="12" s="1"/>
  <c r="L56" i="13"/>
  <c r="H62" i="12" s="1"/>
  <c r="I62" i="12" s="1"/>
  <c r="O56" i="13"/>
  <c r="O37" i="13"/>
  <c r="L37" i="13"/>
  <c r="H43" i="12" s="1"/>
  <c r="I43" i="12" s="1"/>
  <c r="O15" i="13"/>
  <c r="L15" i="13"/>
  <c r="H21" i="12" s="1"/>
  <c r="I21" i="12" s="1"/>
  <c r="O11" i="13"/>
  <c r="L11" i="13"/>
  <c r="H17" i="12" s="1"/>
  <c r="I17" i="12" s="1"/>
  <c r="O20" i="13"/>
  <c r="L20" i="13"/>
  <c r="H26" i="12" s="1"/>
  <c r="I26" i="12" s="1"/>
  <c r="L33" i="13"/>
  <c r="H39" i="12" s="1"/>
  <c r="I39" i="12" s="1"/>
  <c r="O33" i="13"/>
  <c r="O38" i="13"/>
  <c r="L38" i="13"/>
  <c r="H44" i="12" s="1"/>
  <c r="I44" i="12" s="1"/>
  <c r="K70" i="13"/>
  <c r="I70" i="13"/>
  <c r="L10" i="13"/>
  <c r="H16" i="12" s="1"/>
  <c r="I16" i="12" s="1"/>
  <c r="O10" i="13"/>
  <c r="O19" i="13"/>
  <c r="L19" i="13"/>
  <c r="H25" i="12" s="1"/>
  <c r="I25" i="12" s="1"/>
  <c r="L42" i="13"/>
  <c r="H48" i="12" s="1"/>
  <c r="I48" i="12" s="1"/>
  <c r="O42" i="13"/>
  <c r="O51" i="13"/>
  <c r="L51" i="13"/>
  <c r="H57" i="12" s="1"/>
  <c r="I57" i="12" s="1"/>
  <c r="K71" i="13"/>
  <c r="I71" i="13"/>
  <c r="O48" i="13"/>
  <c r="O7" i="13"/>
  <c r="Q7" i="13" s="1"/>
  <c r="Q8" i="13" s="1"/>
  <c r="N9" i="13" s="1"/>
  <c r="Q9" i="13" s="1"/>
  <c r="N10" i="13" s="1"/>
  <c r="Q10" i="13" s="1"/>
  <c r="N11" i="13" s="1"/>
  <c r="P11" i="13" s="1"/>
  <c r="O34" i="13"/>
  <c r="L18" i="13"/>
  <c r="H24" i="12" s="1"/>
  <c r="I24" i="12" s="1"/>
  <c r="O50" i="13"/>
  <c r="Q11" i="13" l="1"/>
  <c r="N12" i="13" s="1"/>
  <c r="P8" i="13"/>
  <c r="M70" i="13"/>
  <c r="J70" i="13"/>
  <c r="H63" i="12" s="1"/>
  <c r="I63" i="12" s="1"/>
  <c r="I69" i="12" s="1"/>
  <c r="M71" i="13"/>
  <c r="J71" i="13"/>
  <c r="H64" i="12" s="1"/>
  <c r="I64" i="12" s="1"/>
  <c r="P10" i="13"/>
  <c r="P9" i="13"/>
  <c r="Q12" i="13" l="1"/>
  <c r="N13" i="13" s="1"/>
  <c r="P12" i="13"/>
  <c r="Q13" i="13" l="1"/>
  <c r="N14" i="13" s="1"/>
  <c r="P13" i="13"/>
  <c r="Q14" i="13" l="1"/>
  <c r="N15" i="13" s="1"/>
  <c r="P14" i="13"/>
  <c r="Q15" i="13" l="1"/>
  <c r="N16" i="13" s="1"/>
  <c r="P15" i="13"/>
  <c r="Q16" i="13" l="1"/>
  <c r="N17" i="13" s="1"/>
  <c r="P16" i="13"/>
  <c r="Q17" i="13" l="1"/>
  <c r="N18" i="13" s="1"/>
  <c r="P17" i="13"/>
  <c r="Q18" i="13" l="1"/>
  <c r="N19" i="13" s="1"/>
  <c r="P18" i="13"/>
  <c r="Q19" i="13" l="1"/>
  <c r="N20" i="13" s="1"/>
  <c r="P19" i="13"/>
  <c r="Q20" i="13" l="1"/>
  <c r="N21" i="13" s="1"/>
  <c r="P20" i="13"/>
  <c r="Q21" i="13" l="1"/>
  <c r="N22" i="13" s="1"/>
  <c r="P21" i="13"/>
  <c r="Q22" i="13" l="1"/>
  <c r="N23" i="13" s="1"/>
  <c r="P22" i="13"/>
  <c r="Q23" i="13" l="1"/>
  <c r="N24" i="13" s="1"/>
  <c r="P23" i="13"/>
  <c r="Q24" i="13" l="1"/>
  <c r="N25" i="13" s="1"/>
  <c r="P24" i="13"/>
  <c r="Q25" i="13" l="1"/>
  <c r="N26" i="13" s="1"/>
  <c r="P25" i="13"/>
  <c r="Q26" i="13" l="1"/>
  <c r="N27" i="13" s="1"/>
  <c r="P26" i="13"/>
  <c r="Q27" i="13" l="1"/>
  <c r="N28" i="13" s="1"/>
  <c r="P27" i="13"/>
  <c r="P28" i="13" l="1"/>
  <c r="Q28" i="13"/>
  <c r="N29" i="13" s="1"/>
  <c r="Q29" i="13" l="1"/>
  <c r="N30" i="13" s="1"/>
  <c r="P29" i="13"/>
  <c r="Q30" i="13" l="1"/>
  <c r="N31" i="13" s="1"/>
  <c r="P30" i="13"/>
  <c r="Q31" i="13" l="1"/>
  <c r="N32" i="13" s="1"/>
  <c r="P31" i="13"/>
  <c r="Q32" i="13" l="1"/>
  <c r="N33" i="13" s="1"/>
  <c r="P32" i="13"/>
  <c r="Q33" i="13" l="1"/>
  <c r="N34" i="13" s="1"/>
  <c r="P33" i="13"/>
  <c r="Q34" i="13" l="1"/>
  <c r="N35" i="13" s="1"/>
  <c r="P34" i="13"/>
  <c r="Q35" i="13" l="1"/>
  <c r="N36" i="13" s="1"/>
  <c r="P35" i="13"/>
  <c r="Q36" i="13" l="1"/>
  <c r="N37" i="13" s="1"/>
  <c r="P36" i="13"/>
  <c r="Q37" i="13" l="1"/>
  <c r="N38" i="13" s="1"/>
  <c r="P37" i="13"/>
  <c r="Q38" i="13" l="1"/>
  <c r="N39" i="13" s="1"/>
  <c r="P38" i="13"/>
  <c r="P39" i="13" l="1"/>
  <c r="Q39" i="13"/>
  <c r="N40" i="13" s="1"/>
  <c r="Q40" i="13" l="1"/>
  <c r="N41" i="13" s="1"/>
  <c r="P40" i="13"/>
  <c r="Q41" i="13" l="1"/>
  <c r="N42" i="13" s="1"/>
  <c r="P41" i="13"/>
  <c r="Q42" i="13" l="1"/>
  <c r="N43" i="13" s="1"/>
  <c r="P42" i="13"/>
  <c r="Q43" i="13" l="1"/>
  <c r="N44" i="13" s="1"/>
  <c r="P43" i="13"/>
  <c r="P44" i="13" l="1"/>
  <c r="Q44" i="13"/>
  <c r="N45" i="13" s="1"/>
  <c r="Q45" i="13" l="1"/>
  <c r="N46" i="13" s="1"/>
  <c r="P45" i="13"/>
  <c r="Q46" i="13" l="1"/>
  <c r="N47" i="13" s="1"/>
  <c r="P46" i="13"/>
  <c r="Q47" i="13" l="1"/>
  <c r="N48" i="13" s="1"/>
  <c r="P47" i="13"/>
  <c r="Q48" i="13" l="1"/>
  <c r="N49" i="13" s="1"/>
  <c r="P48" i="13"/>
  <c r="Q49" i="13" l="1"/>
  <c r="N50" i="13" s="1"/>
  <c r="P49" i="13"/>
  <c r="Q50" i="13" l="1"/>
  <c r="N51" i="13" s="1"/>
  <c r="P50" i="13"/>
  <c r="Q51" i="13" l="1"/>
  <c r="N52" i="13" s="1"/>
  <c r="P51" i="13"/>
  <c r="Q52" i="13" l="1"/>
  <c r="N53" i="13" s="1"/>
  <c r="P52" i="13"/>
  <c r="Q53" i="13" l="1"/>
  <c r="N54" i="13" s="1"/>
  <c r="P53" i="13"/>
  <c r="Q54" i="13" l="1"/>
  <c r="N55" i="13" s="1"/>
  <c r="P54" i="13"/>
  <c r="P55" i="13" l="1"/>
  <c r="Q55" i="13"/>
  <c r="N56" i="13" s="1"/>
  <c r="Q56" i="13" l="1"/>
  <c r="N57" i="13" s="1"/>
  <c r="P56" i="13"/>
  <c r="Q57" i="13" l="1"/>
  <c r="N58" i="13" s="1"/>
  <c r="P57" i="13"/>
  <c r="Q58" i="13" l="1"/>
  <c r="N59" i="13" s="1"/>
  <c r="P58" i="13"/>
  <c r="Q59" i="13" l="1"/>
  <c r="L70" i="13" s="1"/>
  <c r="P59" i="13"/>
  <c r="O70" i="13" l="1"/>
  <c r="L71" i="13" s="1"/>
  <c r="N70" i="13"/>
  <c r="O71" i="13" l="1"/>
  <c r="N71" i="13"/>
  <c r="H19" i="10" l="1"/>
  <c r="H14" i="10"/>
  <c r="H15" i="10"/>
  <c r="H16" i="10"/>
  <c r="I16" i="10" s="1"/>
  <c r="H17" i="10"/>
  <c r="I17" i="10" s="1"/>
  <c r="H18" i="10"/>
  <c r="H13" i="10"/>
  <c r="I17" i="11"/>
  <c r="L17" i="11"/>
  <c r="N10" i="11"/>
  <c r="N9" i="11"/>
  <c r="N8" i="11"/>
  <c r="G18" i="11"/>
  <c r="H18" i="11" s="1"/>
  <c r="B18" i="11"/>
  <c r="A18" i="11"/>
  <c r="G17" i="11"/>
  <c r="H17" i="11" s="1"/>
  <c r="B17" i="11"/>
  <c r="A17" i="11"/>
  <c r="M12" i="11"/>
  <c r="J12" i="11"/>
  <c r="K12" i="11" s="1"/>
  <c r="L12" i="11" s="1"/>
  <c r="G12" i="11"/>
  <c r="B12" i="11"/>
  <c r="A12" i="11"/>
  <c r="M11" i="11"/>
  <c r="O11" i="11" s="1"/>
  <c r="J11" i="11"/>
  <c r="K11" i="11" s="1"/>
  <c r="G11" i="11"/>
  <c r="B11" i="11"/>
  <c r="A11" i="11"/>
  <c r="M10" i="11"/>
  <c r="J10" i="11"/>
  <c r="K10" i="11" s="1"/>
  <c r="L10" i="11" s="1"/>
  <c r="G10" i="11"/>
  <c r="B10" i="11"/>
  <c r="A10" i="11"/>
  <c r="M9" i="11"/>
  <c r="O9" i="11" s="1"/>
  <c r="J9" i="11"/>
  <c r="K9" i="11" s="1"/>
  <c r="G9" i="11"/>
  <c r="B9" i="11"/>
  <c r="A9" i="11"/>
  <c r="M8" i="11"/>
  <c r="J8" i="11"/>
  <c r="K8" i="11" s="1"/>
  <c r="L8" i="11" s="1"/>
  <c r="G8" i="11"/>
  <c r="B8" i="11"/>
  <c r="A8" i="11"/>
  <c r="N7" i="11"/>
  <c r="M7" i="11"/>
  <c r="J7" i="11"/>
  <c r="L7" i="11" s="1"/>
  <c r="G7" i="11"/>
  <c r="B7" i="11"/>
  <c r="A7" i="11"/>
  <c r="I21" i="10"/>
  <c r="D20" i="10"/>
  <c r="I19" i="10"/>
  <c r="D19" i="10"/>
  <c r="I18" i="10"/>
  <c r="D18" i="10"/>
  <c r="D17" i="10"/>
  <c r="D16" i="10"/>
  <c r="I15" i="10"/>
  <c r="D15" i="10"/>
  <c r="I14" i="10"/>
  <c r="D14" i="10"/>
  <c r="I13" i="10"/>
  <c r="P44" i="5"/>
  <c r="L9" i="11" l="1"/>
  <c r="L11" i="11"/>
  <c r="K17" i="11"/>
  <c r="P7" i="11"/>
  <c r="K18" i="11"/>
  <c r="I18" i="11"/>
  <c r="O12" i="11"/>
  <c r="O10" i="11"/>
  <c r="O7" i="11"/>
  <c r="Q7" i="11" s="1"/>
  <c r="O8" i="11"/>
  <c r="M18" i="11" l="1"/>
  <c r="J18" i="11"/>
  <c r="H20" i="10" s="1"/>
  <c r="I20" i="10" s="1"/>
  <c r="I22" i="10" s="1"/>
  <c r="J17" i="11"/>
  <c r="M17" i="11"/>
  <c r="Q8" i="11" l="1"/>
  <c r="P8" i="11"/>
  <c r="Q9" i="11" l="1"/>
  <c r="P9" i="11"/>
  <c r="Q10" i="11" l="1"/>
  <c r="N11" i="11" s="1"/>
  <c r="P10" i="11"/>
  <c r="Q11" i="11" l="1"/>
  <c r="N12" i="11" s="1"/>
  <c r="P11" i="11"/>
  <c r="Q12" i="11" l="1"/>
  <c r="P12" i="11"/>
  <c r="O17" i="11" l="1"/>
  <c r="L18" i="11" s="1"/>
  <c r="N17" i="11"/>
  <c r="O18" i="11" l="1"/>
  <c r="N18"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K1" authorId="0" shapeId="0" xr:uid="{00000000-0006-0000-0100-000012000000}">
      <text>
        <r>
          <rPr>
            <sz val="11"/>
            <color theme="1"/>
            <rFont val="Calibri"/>
            <family val="2"/>
            <scheme val="minor"/>
          </rPr>
          <t>======
ID#AAAA3QOSLt4
    (2023-08-21 05:40:07)
Lampirkan gambar isometric part</t>
        </r>
      </text>
    </comment>
    <comment ref="A3" authorId="0" shapeId="0" xr:uid="{00000000-0006-0000-0100-000007000000}">
      <text>
        <r>
          <rPr>
            <sz val="11"/>
            <color theme="1"/>
            <rFont val="Calibri"/>
            <family val="2"/>
            <scheme val="minor"/>
          </rPr>
          <t>======
ID#AAAA3QOSLv0
    (2023-08-21 05:40:07)
Sesuai nomor part di drawing</t>
        </r>
      </text>
    </comment>
    <comment ref="E3" authorId="0" shapeId="0" xr:uid="{00000000-0006-0000-0100-000011000000}">
      <text>
        <r>
          <rPr>
            <sz val="11"/>
            <color theme="1"/>
            <rFont val="Calibri"/>
            <family val="2"/>
            <scheme val="minor"/>
          </rPr>
          <t>======
ID#AAAA3QOSLt8
    (2023-08-21 05:40:07)
Ditulis '1', kecuali terdapat lebih dari 1 halaman ketika dilampirkan di laporan</t>
        </r>
      </text>
    </comment>
    <comment ref="A4" authorId="0" shapeId="0" xr:uid="{00000000-0006-0000-0100-000003000000}">
      <text>
        <r>
          <rPr>
            <sz val="11"/>
            <color theme="1"/>
            <rFont val="Calibri"/>
            <family val="2"/>
            <scheme val="minor"/>
          </rPr>
          <t>======
ID#AAAA3QOSLwA
    (2023-08-21 05:40:07)
Sesuai nomor di BOM yang dibuat praktikan</t>
        </r>
      </text>
    </comment>
    <comment ref="E5" authorId="0" shapeId="0" xr:uid="{00000000-0006-0000-0100-000002000000}">
      <text>
        <r>
          <rPr>
            <sz val="11"/>
            <color theme="1"/>
            <rFont val="Calibri"/>
            <family val="2"/>
            <scheme val="minor"/>
          </rPr>
          <t>======
ID#AAAA3QOSLwI
tc={965D57F4-0DB2-4230-8C1A-6D58D3008C65}    (2023-08-21 05:40:07)
[Threaded comment]
Your version of Excel allows you to read this threaded comment; however, any edits to it will get removed if the file is opened in a newer version of Excel. Learn more: https://go.microsoft.com/fwlink/?linkid=870924
Comment:
    Material: Aluminium Alloy</t>
        </r>
      </text>
    </comment>
    <comment ref="E6" authorId="0" shapeId="0" xr:uid="{00000000-0006-0000-0100-00000F000000}">
      <text>
        <r>
          <rPr>
            <sz val="11"/>
            <color theme="1"/>
            <rFont val="Calibri"/>
            <family val="2"/>
            <scheme val="minor"/>
          </rPr>
          <t>======
ID#AAAA3QOSLuE
    (2023-08-21 05:40:07)
Diisi ukuran raw material yang digunakan beserta satuannya.
Jika ingin membuat LRP manual, maka bisa menggunakan fitur measuring pada SolidWorks untuk mengetahui panjang, lebar/diameter, dan tingginya</t>
        </r>
      </text>
    </comment>
    <comment ref="F6" authorId="0" shapeId="0" xr:uid="{00000000-0006-0000-0100-00000D000000}">
      <text>
        <r>
          <rPr>
            <sz val="11"/>
            <color theme="1"/>
            <rFont val="Calibri"/>
            <family val="2"/>
            <scheme val="minor"/>
          </rPr>
          <t>======
ID#AAAA3QOSLuY
    (2023-08-21 05:40:07)
Jika raw material berbentuk silinder, bagian panjang dapat diisi dengan tanda (-) dan hanya mengisi diameter serta tingginya</t>
        </r>
      </text>
    </comment>
    <comment ref="A7" authorId="0" shapeId="0" xr:uid="{00000000-0006-0000-0100-000005000000}">
      <text>
        <r>
          <rPr>
            <sz val="11"/>
            <color theme="1"/>
            <rFont val="Calibri"/>
            <family val="2"/>
            <scheme val="minor"/>
          </rPr>
          <t>======
ID#AAAA3QOSLv4
    (2023-08-21 05:40:07)
Diisi dengan nama kelompok.
Misal:
KelompokG00
KelompokC00</t>
        </r>
      </text>
    </comment>
    <comment ref="A8" authorId="0" shapeId="0" xr:uid="{00000000-0006-0000-0100-00000C000000}">
      <text>
        <r>
          <rPr>
            <sz val="11"/>
            <color theme="1"/>
            <rFont val="Calibri"/>
            <family val="2"/>
            <scheme val="minor"/>
          </rPr>
          <t>======
ID#AAAA3QOSLuo
    (2023-08-21 05:40:07)
Diisi tanggal saat pembuatan LRP</t>
        </r>
      </text>
    </comment>
    <comment ref="A10" authorId="0" shapeId="0" xr:uid="{00000000-0006-0000-0100-00000B000000}">
      <text>
        <r>
          <rPr>
            <sz val="11"/>
            <color theme="1"/>
            <rFont val="Calibri"/>
            <family val="2"/>
            <scheme val="minor"/>
          </rPr>
          <t>======
ID#AAAA3QOSLu4
    (2023-08-21 05:40:07)
Kalau ada pengulangan proses, jangan lupa nomor proses juga di skip.
Misal:
______________________________________________
No proses | Urutan Operasi
1                 | Drilling (D=..., d=...) (top side) 4x
5                 | Milling (L=..., d=...) w=... (top side)</t>
        </r>
      </text>
    </comment>
    <comment ref="B10" authorId="0" shapeId="0" xr:uid="{00000000-0006-0000-0100-000004000000}">
      <text>
        <r>
          <rPr>
            <sz val="11"/>
            <color theme="1"/>
            <rFont val="Calibri"/>
            <family val="2"/>
            <scheme val="minor"/>
          </rPr>
          <t>======
ID#AAAA3QOSLv8
    (2023-08-21 05:40:07)
Urutan operasi selalu diawali dengan pengukuran dan diakhiri dengan inspeksi.
Praktikan diperbolehkan untuk menggunakan fitur costing report, SolidCAM, dsb. untuk memperoleh referensi urutan operasi untuk beberapa part.</t>
        </r>
      </text>
    </comment>
    <comment ref="C10" authorId="0" shapeId="0" xr:uid="{00000000-0006-0000-0100-000006000000}">
      <text>
        <r>
          <rPr>
            <sz val="11"/>
            <color theme="1"/>
            <rFont val="Calibri"/>
            <family val="2"/>
            <scheme val="minor"/>
          </rPr>
          <t>======
ID#AAAA3QOSLvw
    (2023-08-21 05:40:07)
Diisi dengan nama stasiun kerja (Misal: Pengukuran, Mesin Bubut, Mesin Drilling, Kerja Bangku, Mesin Press)</t>
        </r>
      </text>
    </comment>
    <comment ref="F10" authorId="0" shapeId="0" xr:uid="{00000000-0006-0000-0100-00000E000000}">
      <text>
        <r>
          <rPr>
            <sz val="11"/>
            <color theme="1"/>
            <rFont val="Calibri"/>
            <family val="2"/>
            <scheme val="minor"/>
          </rPr>
          <t>======
ID#AAAA3QOSLuQ
    (2023-08-21 05:40:07)
Mesin Milling: HSS Milling Tool D = X mm
Mesin Drilling: HSS Center Drill D = X mm, HSS Tapping Drill D = X mm
Mesin Bubut: HSS Turning Tool atau TCT Turning Tool
Kerja Bangku untuk cutting (termasuk chamfering): Gerinda
Pengukuran: Mistar, meteran, jangka sorong, mikrometer sekrup, dll. sesuai kebutuhan
Praktikan diperbolehkan untuk mencari referensi tools lainnya.</t>
        </r>
      </text>
    </comment>
    <comment ref="G10" authorId="0" shapeId="0" xr:uid="{00000000-0006-0000-0100-000001000000}">
      <text>
        <r>
          <rPr>
            <sz val="11"/>
            <color theme="1"/>
            <rFont val="Calibri"/>
            <family val="2"/>
            <scheme val="minor"/>
          </rPr>
          <t>======
ID#AAAA3QOSLwQ
    (2023-08-21 05:40:07)
Ganti mesin: 60 detik
Ganti pahat: 60 detik
Positioning pahat: 30 detik
Positioning benda: 30 detik
Kerja bangku: 240 detik
Inspeksi: 0 detik
Pengukuran: 0 detik
Waktu setup kerja bangku untuk proses chamfering (linear) dan cutting dapat disatukan. (Misal terdapat proses chamfering sebanyak 8x, maka waktu setup = 240 detik, waktu proses = 0 detik)</t>
        </r>
      </text>
    </comment>
    <comment ref="H10" authorId="0" shapeId="0" xr:uid="{00000000-0006-0000-0100-00000A000000}">
      <text>
        <r>
          <rPr>
            <sz val="11"/>
            <color theme="1"/>
            <rFont val="Calibri"/>
            <family val="2"/>
            <scheme val="minor"/>
          </rPr>
          <t>======
ID#AAAA3QOSLu8
    (2023-08-21 05:40:07)
Link dari sheet perhitungan</t>
        </r>
      </text>
    </comment>
    <comment ref="I10" authorId="0" shapeId="0" xr:uid="{00000000-0006-0000-0100-000009000000}">
      <text>
        <r>
          <rPr>
            <sz val="11"/>
            <color theme="1"/>
            <rFont val="Calibri"/>
            <family val="2"/>
            <scheme val="minor"/>
          </rPr>
          <t>======
ID#AAAA3QOSLvk
    (2023-08-21 05:40:07)
Waktu total = Waktu setup + Waktu proses</t>
        </r>
      </text>
    </comment>
    <comment ref="D11" authorId="0" shapeId="0" xr:uid="{00000000-0006-0000-0100-000010000000}">
      <text>
        <r>
          <rPr>
            <sz val="11"/>
            <color theme="1"/>
            <rFont val="Calibri"/>
            <family val="2"/>
            <scheme val="minor"/>
          </rPr>
          <t>======
ID#AAAA3QOSLuA
    (2023-08-21 05:40:07)
Pengisian nomor setup prinsipnya sama dengan nomor proses.</t>
        </r>
      </text>
    </comment>
    <comment ref="E11" authorId="0" shapeId="0" xr:uid="{00000000-0006-0000-0100-000008000000}">
      <text>
        <r>
          <rPr>
            <sz val="11"/>
            <color theme="1"/>
            <rFont val="Calibri"/>
            <family val="2"/>
            <scheme val="minor"/>
          </rPr>
          <t>======
ID#AAAA3QOSLvs
    (2023-08-21 05:40:07)
Alat bantu diisi Ragum untuk seluruh proses pemesinan, kecuali mesin bubut gunakan Three Jaw Chuck atau Four Jaw Chuck.
Tidak diperlukan alat bantu untuk pengukuran dan inspeksi.</t>
        </r>
      </text>
    </comment>
  </commentList>
  <extLst>
    <ext xmlns:r="http://schemas.openxmlformats.org/officeDocument/2006/relationships" uri="GoogleSheetsCustomDataVersion2">
      <go:sheetsCustomData xmlns:go="http://customooxmlschemas.google.com/" r:id="rId1" roundtripDataSignature="AMtx7mi/HaF/Rkz5junpJwNHs1KrKL2ftA=="/>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5" authorId="0" shapeId="0" xr:uid="{00000000-0006-0000-0400-000010000000}">
      <text>
        <r>
          <rPr>
            <sz val="11"/>
            <color theme="1"/>
            <rFont val="Calibri"/>
            <family val="2"/>
            <scheme val="minor"/>
          </rPr>
          <t>======
ID#AAAA3QOSLug
    (2023-08-21 05:40:07)
[Threaded comment]
Your version of Excel allows you to read this threaded comment; however, any edits to it will get removed if the file is opened in a newer version of Excel. Learn more: https://go.microsoft.com/fwlink/?linkid=870924
Comment:
    Diperlukan setup positioning pahat untuk pengulangan proses akibat maximum width of cut.</t>
        </r>
      </text>
    </comment>
    <comment ref="C6" authorId="0" shapeId="0" xr:uid="{00000000-0006-0000-0400-000008000000}">
      <text>
        <r>
          <rPr>
            <sz val="11"/>
            <color theme="1"/>
            <rFont val="Calibri"/>
            <family val="2"/>
            <scheme val="minor"/>
          </rPr>
          <t>======
ID#AAAA3QOSLvQ
    (2023-08-21 05:40:07)
[Threaded comment]
Your version of Excel allows you to read this threaded comment; however, any edits to it will get removed if the file is opened in a newer version of Excel. Learn more: https://go.microsoft.com/fwlink/?linkid=870924
Comment:
    Lihat referensi Kalpakjian untuk nilai diameter pahat.</t>
        </r>
      </text>
    </comment>
    <comment ref="D6" authorId="0" shapeId="0" xr:uid="{00000000-0006-0000-0400-00000D000000}">
      <text>
        <r>
          <rPr>
            <sz val="11"/>
            <color theme="1"/>
            <rFont val="Calibri"/>
            <family val="2"/>
            <scheme val="minor"/>
          </rPr>
          <t>======
ID#AAAA3QOSLu0
    (2023-08-21 05:40:07)
[Threaded comment]
Your version of Excel allows you to read this threaded comment; however, any edits to it will get removed if the file is opened in a newer version of Excel. Learn more: https://go.microsoft.com/fwlink/?linkid=870924
Comment:
    Lihat referensi Kalpakjian untuk nilai maksimum kedalaman potong
Apabila kedalaman potong yang diinginkan melebihi nilai maksimum kedalaman potong, ulangi proses sampai diperoleh kedalaman potong yang diinginkan.
Contoh:
Kedalaman potong diinginkan= 12 mm
Kedalaman potong (roughing) maksimum= 5 mm
Kedalaman potong (finishing) maksimum= 0.5 mm
Maka diperlukan proses:
1. Roughing 2x dengan kedalaman potong masing-masing 5 mm
2. Roughing 1x dengan kedalaman potong 1.5 mm
3. Finishing 1x dengan kedalaman potong 0.5 mm</t>
        </r>
      </text>
    </comment>
    <comment ref="F6" authorId="0" shapeId="0" xr:uid="{00000000-0006-0000-0400-000003000000}">
      <text>
        <r>
          <rPr>
            <sz val="11"/>
            <color theme="1"/>
            <rFont val="Calibri"/>
            <family val="2"/>
            <scheme val="minor"/>
          </rPr>
          <t>======
ID#AAAA3QOSLwE
    (2023-08-21 05:40:07)
[Threaded comment]
Your version of Excel allows you to read this threaded comment; however, any edits to it will get removed if the file is opened in a newer version of Excel. Learn more: https://go.microsoft.com/fwlink/?linkid=870924
Comment:
    Lihat referensi Kalpakjian untuk nilai kecepatan potong</t>
        </r>
      </text>
    </comment>
    <comment ref="H6" authorId="0" shapeId="0" xr:uid="{00000000-0006-0000-0400-000009000000}">
      <text>
        <r>
          <rPr>
            <sz val="11"/>
            <color theme="1"/>
            <rFont val="Calibri"/>
            <family val="2"/>
            <scheme val="minor"/>
          </rPr>
          <t>======
ID#AAAA3QOSLvM
    (2023-08-21 05:40:07)
[Threaded comment]
Your version of Excel allows you to read this threaded comment; however, any edits to it will get removed if the file is opened in a newer version of Excel. Learn more: https://go.microsoft.com/fwlink/?linkid=870924
Comment:
    Lihat referensi Kalpakjian untuk nilai feed rate</t>
        </r>
      </text>
    </comment>
    <comment ref="I6" authorId="0" shapeId="0" xr:uid="{00000000-0006-0000-0400-000011000000}">
      <text>
        <r>
          <rPr>
            <sz val="11"/>
            <color theme="1"/>
            <rFont val="Calibri"/>
            <family val="2"/>
            <scheme val="minor"/>
          </rPr>
          <t>======
ID#AAAA3QOSLuc
    (2023-08-21 05:40:07)
[Threaded comment]
Your version of Excel allows you to read this threaded comment; however, any edits to it will get removed if the file is opened in a newer version of Excel. Learn more: https://go.microsoft.com/fwlink/?linkid=870924
Comment:
    Untuk face milling,
w maksimum = D
Apabila lebar potong yang diinginkan melebihi nilai D, ulangi proses sampai diperoleh lebar potong yang diinginkan.
Contoh:
lebar potong diinginkan= 150 mm
lebar potong maksimum= 70 mm
Diperlukan proses:
1. Roughing 2x dengan lebar potong masing-masing 70 mm
2. Roughing 1x dengan lebar potong 10 mm.
Hal yang sama diterapkan untuk proses finishing.
Diperlukan setup positioning pahat untuk pengulangan proses akibat maximum width of cut.</t>
        </r>
      </text>
    </comment>
    <comment ref="J6" authorId="0" shapeId="0" xr:uid="{00000000-0006-0000-0400-000013000000}">
      <text>
        <r>
          <rPr>
            <sz val="11"/>
            <color theme="1"/>
            <rFont val="Calibri"/>
            <family val="2"/>
            <scheme val="minor"/>
          </rPr>
          <t>======
ID#AAAA3QOSLuM
    (2023-08-21 05:40:07)
[Threaded comment]
Your version of Excel allows you to read this threaded comment; however, any edits to it will get removed if the file is opened in a newer version of Excel. Learn more: https://go.microsoft.com/fwlink/?linkid=870924
Comment:
    Approach length
Contoh A untuk face milling:
Untuk w = D (centered),
A = D/2
Untuk w &lt; D (offset),
A = √[w(D-w)]</t>
        </r>
      </text>
    </comment>
    <comment ref="K6" authorId="0" shapeId="0" xr:uid="{00000000-0006-0000-0400-00000F000000}">
      <text>
        <r>
          <rPr>
            <sz val="11"/>
            <color theme="1"/>
            <rFont val="Calibri"/>
            <family val="2"/>
            <scheme val="minor"/>
          </rPr>
          <t>======
ID#AAAA3QOSLuk
    (2023-08-21 05:40:07)
[Threaded comment]
Your version of Excel allows you to read this threaded comment; however, any edits to it will get removed if the file is opened in a newer version of Excel. Learn more: https://go.microsoft.com/fwlink/?linkid=870924
Comment:
    Apabila terdapat pengulangan proses, nilai Tm dikalikan dengan banyaknya proses.</t>
        </r>
      </text>
    </comment>
    <comment ref="N6" authorId="0" shapeId="0" xr:uid="{00000000-0006-0000-0400-000001000000}">
      <text>
        <r>
          <rPr>
            <sz val="11"/>
            <color theme="1"/>
            <rFont val="Calibri"/>
            <family val="2"/>
            <scheme val="minor"/>
          </rPr>
          <t>======
ID#AAAA3QOSLwU
    (2023-08-21 05:40:07)
[Threaded comment]
Your version of Excel allows you to read this threaded comment; however, any edits to it will get removed if the file is opened in a newer version of Excel. Learn more: https://go.microsoft.com/fwlink/?linkid=870924
Comment:
    Volume material sebelum dilakukan proses pemesinan tertentu
Volume Awal Proses ke n = Volume Akhir Proses ke n-1
Volume Awal Proses ke 1 = Volume Raw Material</t>
        </r>
      </text>
    </comment>
    <comment ref="O6" authorId="0" shapeId="0" xr:uid="{00000000-0006-0000-0400-00000C000000}">
      <text>
        <r>
          <rPr>
            <sz val="11"/>
            <color theme="1"/>
            <rFont val="Calibri"/>
            <family val="2"/>
            <scheme val="minor"/>
          </rPr>
          <t>======
ID#AAAA3QOSLvA
    (2023-08-21 05:40:07)
[Threaded comment]
Your version of Excel allows you to read this threaded comment; however, any edits to it will get removed if the file is opened in a newer version of Excel. Learn more: https://go.microsoft.com/fwlink/?linkid=870924
Com ment:
    Hitung volume dari material yang terbuang pada suatu proses tertentu.
Apabila terdapat pengulangan proses, nilai scrap dikalikan dengan banyaknya proses.
Rumus pendekatan perhitungan scrap apabila scrap memiliki bentuk yang kompleks:
Scrap = Tm x MRR
Untuk milling, karena terdapat approach length yang tidak melakukan pembuangan material, maka:
Scrap = L/Fr x MRR
Gunakan fitur measuring pada Solidworks untuk mempermudah perhitungan area dan keliling dari face tertentu.
Praktikan diperbolehkan menggunakan fitur costing untuk menghitung scrap untuk proses tertentu.</t>
        </r>
      </text>
    </comment>
    <comment ref="P6" authorId="0" shapeId="0" xr:uid="{00000000-0006-0000-0400-000006000000}">
      <text>
        <r>
          <rPr>
            <sz val="11"/>
            <color theme="1"/>
            <rFont val="Calibri"/>
            <family val="2"/>
            <scheme val="minor"/>
          </rPr>
          <t>======
ID#AAAA3QOSLvY
    (2023-08-21 05:40:07)
[Threaded comment]
Your version of Excel allows you to read this threaded comment; however, any edits to it will get removed if the file is opened in a newer version of Excel. Learn more: https://go.microsoft.com/fwlink/?linkid=870924
Comment:
    Persentase Scrap terhadap volume raw material</t>
        </r>
      </text>
    </comment>
    <comment ref="Q6" authorId="0" shapeId="0" xr:uid="{00000000-0006-0000-0400-00000A000000}">
      <text>
        <r>
          <rPr>
            <sz val="11"/>
            <color theme="1"/>
            <rFont val="Calibri"/>
            <family val="2"/>
            <scheme val="minor"/>
          </rPr>
          <t>======
ID#AAAA3QOSLvI
    (2023-08-21 05:40:07)
[Threaded comment]
Your version of Excel allows you to read this threaded comment; however, any edits to it will get removed if the file is opened in a newer version of Excel. Learn more: https://go.microsoft.com/fwlink/?linkid=870924
Comment:
    Volume material setelah dilakukan proses pemesinan
Volume Akhir = Volume Awal - Scrap</t>
        </r>
      </text>
    </comment>
    <comment ref="F12" authorId="0" shapeId="0" xr:uid="{00000000-0006-0000-0400-000007000000}">
      <text>
        <r>
          <rPr>
            <sz val="11"/>
            <color theme="1"/>
            <rFont val="Calibri"/>
            <family val="2"/>
            <scheme val="minor"/>
          </rPr>
          <t>======
ID#AAAA3QOSLvU
    (2023-08-21 05:40:07)
[Threaded comment]
Your version of Excel allows you to read this threaded comment; however, any edits to it will get removed if the file is opened in a newer version of Excel. Learn more: https://go.microsoft.com/fwlink/?linkid=870924
Comment:
    Depth of cut maksimum dari proses pembubutan umumnya sampai lima kali dari nilai f.
Lakukan pengulangan proses apabila kedalaman yang diinginkan melebihi nilai depth of cut maksimum.</t>
        </r>
      </text>
    </comment>
    <comment ref="H12" authorId="0" shapeId="0" xr:uid="{00000000-0006-0000-0400-00000B000000}">
      <text>
        <r>
          <rPr>
            <sz val="11"/>
            <color theme="1"/>
            <rFont val="Calibri"/>
            <family val="2"/>
            <scheme val="minor"/>
          </rPr>
          <t>======
ID#AAAA3QOSLvE
    (2023-08-21 05:40:07)
[Threaded comment]
Your version of Excel allows you to read this threaded comment; however, any edits to it will get removed if the file is opened in a newer version of Excel. Learn more: https://go.microsoft.com/fwlink/?linkid=870924
Comment:
    Lihat referensi Kalpakjian untuk nilai f</t>
        </r>
      </text>
    </comment>
    <comment ref="I12" authorId="0" shapeId="0" xr:uid="{00000000-0006-0000-0400-000005000000}">
      <text>
        <r>
          <rPr>
            <sz val="11"/>
            <color theme="1"/>
            <rFont val="Calibri"/>
            <family val="2"/>
            <scheme val="minor"/>
          </rPr>
          <t>======
ID#AAAA3QOSLvc
    (2023-08-21 05:40:07)
[Threaded comment]
Your version of Excel allows you to read this threaded comment; however, any edits to it will get removed if the file is opened in a newer version of Excel. Learn more: https://go.microsoft.com/fwlink/?linkid=870924
Comment:
    Lihat referensi Kalpakjian untuk nilai cutting speed</t>
        </r>
      </text>
    </comment>
    <comment ref="C41" authorId="0" shapeId="0" xr:uid="{00000000-0006-0000-0400-00000E000000}">
      <text>
        <r>
          <rPr>
            <sz val="11"/>
            <color theme="1"/>
            <rFont val="Calibri"/>
            <family val="2"/>
            <scheme val="minor"/>
          </rPr>
          <t>======
ID#AAAA3QOSLus
    (2023-08-21 05:40:07)
[Threaded comment]
Your version of Excel allows you to read this threaded comment; however, any edits to it will get removed if the file is opened in a newer version of Excel. Learn more: https://go.microsoft.com/fwlink/?linkid=870924
Comment:
    Untuk material SS41, TS = 401.8 MPa</t>
        </r>
      </text>
    </comment>
    <comment ref="E41" authorId="0" shapeId="0" xr:uid="{00000000-0006-0000-0400-000002000000}">
      <text>
        <r>
          <rPr>
            <sz val="11"/>
            <color theme="1"/>
            <rFont val="Calibri"/>
            <family val="2"/>
            <scheme val="minor"/>
          </rPr>
          <t>======
ID#AAAA3QOSLwM
    (2023-08-21 05:40:07)
[Threaded comment]
Your version of Excel allows you to read this threaded comment; however, any edits to it will get removed if the file is opened in a newer version of Excel. Learn more: https://go.microsoft.com/fwlink/?linkid=870924
Comment:
    Gunakan fitur measuring pada Solidworks untuk mengetahui nilai L</t>
        </r>
      </text>
    </comment>
    <comment ref="A46" authorId="0" shapeId="0" xr:uid="{00000000-0006-0000-0400-000014000000}">
      <text>
        <r>
          <rPr>
            <sz val="11"/>
            <color theme="1"/>
            <rFont val="Calibri"/>
            <family val="2"/>
            <scheme val="minor"/>
          </rPr>
          <t>======
ID#AAAA3QOSLuI
    (2023-08-21 05:40:07)
[Threaded comment]
Your version of Excel allows you to read this threaded comment; however, any edits to it will get removed if the file is opened in a newer version of Excel. Learn more: https://go.microsoft.com/fwlink/?linkid=870924
Comment:
    Untuk proses bending, scrap = 0</t>
        </r>
      </text>
    </comment>
    <comment ref="C47" authorId="0" shapeId="0" xr:uid="{00000000-0006-0000-0400-000004000000}">
      <text>
        <r>
          <rPr>
            <sz val="11"/>
            <color theme="1"/>
            <rFont val="Calibri"/>
            <family val="2"/>
            <scheme val="minor"/>
          </rPr>
          <t>======
ID#AAAA3QOSLvo
    (2023-08-21 05:40:07)
[Threaded comment]
Your version of Excel allows you to read this threaded comment; however, any edits to it will get removed if the file is opened in a newer version of Excel. Learn more: https://go.microsoft.com/fwlink/?linkid=870924
Comment:
    V-Bend, Kbf = 1.33
Edge Bend, Kbf = 0.33</t>
        </r>
      </text>
    </comment>
    <comment ref="E47" authorId="0" shapeId="0" xr:uid="{00000000-0006-0000-0400-000012000000}">
      <text>
        <r>
          <rPr>
            <sz val="11"/>
            <color theme="1"/>
            <rFont val="Calibri"/>
            <family val="2"/>
            <scheme val="minor"/>
          </rPr>
          <t>======
ID#AAAA3QOSLuU
    (2023-08-21 05:40:07)
[Threaded comment]
Your version of Excel allows you to read this threaded comment; however, any edits to it will get removed if the file is opened in a newer version of Excel. Learn more: https://go.microsoft.com/fwlink/?linkid=870924
Comment:
    Untuk material SS41, TS = 401.8 MPa</t>
        </r>
      </text>
    </comment>
  </commentList>
  <extLst>
    <ext xmlns:r="http://schemas.openxmlformats.org/officeDocument/2006/relationships" uri="GoogleSheetsCustomDataVersion2">
      <go:sheetsCustomData xmlns:go="http://customooxmlschemas.google.com/" r:id="rId1" roundtripDataSignature="AMtx7mjF9dfvxfPTr75oam3aieiB3B0BSA=="/>
    </ext>
  </extL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khairunnisa n</author>
  </authors>
  <commentList>
    <comment ref="A5" authorId="0" shapeId="0" xr:uid="{8071DDF7-2E26-4E5A-A257-B62BDA8CF59B}">
      <text>
        <r>
          <rPr>
            <sz val="11"/>
            <color theme="1"/>
            <rFont val="Calibri"/>
            <family val="2"/>
            <scheme val="minor"/>
          </rPr>
          <t>======
ID#AAAA3QOSLug
    (2023-08-21 05:40:07)
[Threaded comment]
Your version of Excel allows you to read this threaded comment; however, any edits to it will get removed if the file is opened in a newer version of Excel. Learn more: https://go.microsoft.com/fwlink/?linkid=870924
Comment:
    Diperlukan setup positioning pahat untuk pengulangan proses akibat maximum width of cut.</t>
        </r>
      </text>
    </comment>
    <comment ref="C6" authorId="0" shapeId="0" xr:uid="{41725A8A-20D2-4651-8BD0-26C891D2A4A4}">
      <text>
        <r>
          <rPr>
            <sz val="11"/>
            <color theme="1"/>
            <rFont val="Calibri"/>
            <family val="2"/>
            <scheme val="minor"/>
          </rPr>
          <t>======
ID#AAAA3QOSLvQ
    (2023-08-21 05:40:07)
[Threaded comment]
Your version of Excel allows you to read this threaded comment; however, any edits to it will get removed if the file is opened in a newer version of Excel. Learn more: https://go.microsoft.com/fwlink/?linkid=870924
Comment:
    Lihat referensi Kalpakjian untuk nilai diameter pahat.</t>
        </r>
      </text>
    </comment>
    <comment ref="D6" authorId="0" shapeId="0" xr:uid="{6E27D604-F8A1-4677-9138-1A811204B755}">
      <text>
        <r>
          <rPr>
            <sz val="11"/>
            <color theme="1"/>
            <rFont val="Calibri"/>
            <family val="2"/>
            <scheme val="minor"/>
          </rPr>
          <t>======
ID#AAAA3QOSLu0
    (2023-08-21 05:40:07)
[Threaded comment]
Your version of Excel allows you to read this threaded comment; however, any edits to it will get removed if the file is opened in a newer version of Excel. Learn more: https://go.microsoft.com/fwlink/?linkid=870924
Comment:
    Lihat referensi Kalpakjian untuk nilai maksimum kedalaman potong
Apabila kedalaman potong yang diinginkan melebihi nilai maksimum kedalaman potong, ulangi proses sampai diperoleh kedalaman potong yang diinginkan.
Contoh:
Kedalaman potong diinginkan= 12 mm
Kedalaman potong (roughing) maksimum= 5 mm
Kedalaman potong (finishing) maksimum= 0.5 mm
Maka diperlukan proses:
1. Roughing 2x dengan kedalaman potong masing-masing 5 mm
2. Roughing 1x dengan kedalaman potong 1.5 mm
3. Finishing 1x dengan kedalaman potong 0.5 mm</t>
        </r>
      </text>
    </comment>
    <comment ref="F6" authorId="0" shapeId="0" xr:uid="{9CE4F7F8-6466-4088-8475-B542D14242BB}">
      <text>
        <r>
          <rPr>
            <sz val="11"/>
            <color theme="1"/>
            <rFont val="Calibri"/>
            <family val="2"/>
            <scheme val="minor"/>
          </rPr>
          <t>======
ID#AAAA3QOSLwE
    (2023-08-21 05:40:07)
[Threaded comment]
Your version of Excel allows you to read this threaded comment; however, any edits to it will get removed if the file is opened in a newer version of Excel. Learn more: https://go.microsoft.com/fwlink/?linkid=870924
Comment:
    Lihat referensi Kalpakjian untuk nilai kecepatan potong</t>
        </r>
      </text>
    </comment>
    <comment ref="H6" authorId="0" shapeId="0" xr:uid="{05A0E065-9656-4472-8D9C-F2D2888374D4}">
      <text>
        <r>
          <rPr>
            <sz val="11"/>
            <color theme="1"/>
            <rFont val="Calibri"/>
            <family val="2"/>
            <scheme val="minor"/>
          </rPr>
          <t>======
ID#AAAA3QOSLvM
    (2023-08-21 05:40:07)
[Threaded comment]
Your version of Excel allows you to read this threaded comment; however, any edits to it will get removed if the file is opened in a newer version of Excel. Learn more: https://go.microsoft.com/fwlink/?linkid=870924
Comment:
    Lihat referensi Kalpakjian untuk nilai feed rate</t>
        </r>
      </text>
    </comment>
    <comment ref="I6" authorId="0" shapeId="0" xr:uid="{A4D82556-5748-4098-8591-263BE556CB5D}">
      <text>
        <r>
          <rPr>
            <sz val="11"/>
            <color theme="1"/>
            <rFont val="Calibri"/>
            <family val="2"/>
            <scheme val="minor"/>
          </rPr>
          <t>======
ID#AAAA3QOSLuc
    (2023-08-21 05:40:07)
[Threaded comment]
Your version of Excel allows you to read this threaded comment; however, any edits to it will get removed if the file is opened in a newer version of Excel. Learn more: https://go.microsoft.com/fwlink/?linkid=870924
Comment:
    Untuk face milling,
w maksimum = D
Apabila lebar potong yang diinginkan melebihi nilai D, ulangi proses sampai diperoleh lebar potong yang diinginkan.
Contoh:
lebar potong diinginkan= 150 mm
lebar potong maksimum= 70 mm
Diperlukan proses:
1. Roughing 2x dengan lebar potong masing-masing 70 mm
2. Roughing 1x dengan lebar potong 10 mm.
Hal yang sama diterapkan untuk proses finishing.
Diperlukan setup positioning pahat untuk pengulangan proses akibat maximum width of cut.</t>
        </r>
      </text>
    </comment>
    <comment ref="J6" authorId="0" shapeId="0" xr:uid="{D885433C-7981-4071-AFF3-47831429BBFE}">
      <text>
        <r>
          <rPr>
            <sz val="11"/>
            <color theme="1"/>
            <rFont val="Calibri"/>
            <family val="2"/>
            <scheme val="minor"/>
          </rPr>
          <t>======
ID#AAAA3QOSLuM
    (2023-08-21 05:40:07)
[Threaded comment]
Your version of Excel allows you to read this threaded comment; however, any edits to it will get removed if the file is opened in a newer version of Excel. Learn more: https://go.microsoft.com/fwlink/?linkid=870924
Comment:
    Approach length
Contoh A untuk face milling:
Untuk w = D (centered),
A = D/2
Untuk w &lt; D (offset),
A = √[w(D-w)]</t>
        </r>
      </text>
    </comment>
    <comment ref="K6" authorId="0" shapeId="0" xr:uid="{B36ADE41-34E1-4088-BC0B-0ECE04F5619E}">
      <text>
        <r>
          <rPr>
            <sz val="11"/>
            <color theme="1"/>
            <rFont val="Calibri"/>
            <family val="2"/>
            <scheme val="minor"/>
          </rPr>
          <t>======
ID#AAAA3QOSLuk
    (2023-08-21 05:40:07)
[Threaded comment]
Your version of Excel allows you to read this threaded comment; however, any edits to it will get removed if the file is opened in a newer version of Excel. Learn more: https://go.microsoft.com/fwlink/?linkid=870924
Comment:
    Apabila terdapat pengulangan proses, nilai Tm dikalikan dengan banyaknya proses.</t>
        </r>
      </text>
    </comment>
    <comment ref="N6" authorId="0" shapeId="0" xr:uid="{726E21F8-43E8-406C-B5CA-E072DE18B909}">
      <text>
        <r>
          <rPr>
            <sz val="11"/>
            <color theme="1"/>
            <rFont val="Calibri"/>
            <family val="2"/>
            <scheme val="minor"/>
          </rPr>
          <t>======
ID#AAAA3QOSLwU
    (2023-08-21 05:40:07)
[Threaded comment]
Your version of Excel allows you to read this threaded comment; however, any edits to it will get removed if the file is opened in a newer version of Excel. Learn more: https://go.microsoft.com/fwlink/?linkid=870924
Comment:
    Volume material sebelum dilakukan proses pemesinan tertentu
Volume Awal Proses ke n = Volume Akhir Proses ke n-1
Volume Awal Proses ke 1 = Volume Raw Material</t>
        </r>
      </text>
    </comment>
    <comment ref="O6" authorId="0" shapeId="0" xr:uid="{9567D784-B72C-45E6-B841-00BBE0334F29}">
      <text>
        <r>
          <rPr>
            <sz val="11"/>
            <color theme="1"/>
            <rFont val="Calibri"/>
            <family val="2"/>
            <scheme val="minor"/>
          </rPr>
          <t>======
ID#AAAA3QOSLvA
    (2023-08-21 05:40:07)
[Threaded comment]
Your version of Excel allows you to read this threaded comment; however, any edits to it will get removed if the file is opened in a newer version of Excel. Learn more: https://go.microsoft.com/fwlink/?linkid=870924
Com ment:
    Hitung volume dari material yang terbuang pada suatu proses tertentu.
Apabila terdapat pengulangan proses, nilai scrap dikalikan dengan banyaknya proses.
Rumus pendekatan perhitungan scrap apabila scrap memiliki bentuk yang kompleks:
Scrap = Tm x MRR
Untuk milling, karena terdapat approach length yang tidak melakukan pembuangan material, maka:
Scrap = L/Fr x MRR
Gunakan fitur measuring pada Solidworks untuk mempermudah perhitungan area dan keliling dari face tertentu.
Praktikan diperbolehkan menggunakan fitur costing untuk menghitung scrap untuk proses tertentu.</t>
        </r>
      </text>
    </comment>
    <comment ref="P6" authorId="0" shapeId="0" xr:uid="{71B35C76-0975-4D7C-868B-BA085025CB2F}">
      <text>
        <r>
          <rPr>
            <sz val="11"/>
            <color theme="1"/>
            <rFont val="Calibri"/>
            <family val="2"/>
            <scheme val="minor"/>
          </rPr>
          <t>======
ID#AAAA3QOSLvY
    (2023-08-21 05:40:07)
[Threaded comment]
Your version of Excel allows you to read this threaded comment; however, any edits to it will get removed if the file is opened in a newer version of Excel. Learn more: https://go.microsoft.com/fwlink/?linkid=870924
Comment:
    Persentase Scrap terhadap volume raw material</t>
        </r>
      </text>
    </comment>
    <comment ref="Q6" authorId="0" shapeId="0" xr:uid="{4B81B952-9AD1-4084-9818-99B42E571A21}">
      <text>
        <r>
          <rPr>
            <sz val="11"/>
            <color theme="1"/>
            <rFont val="Calibri"/>
            <family val="2"/>
            <scheme val="minor"/>
          </rPr>
          <t>======
ID#AAAA3QOSLvI
    (2023-08-21 05:40:07)
[Threaded comment]
Your version of Excel allows you to read this threaded comment; however, any edits to it will get removed if the file is opened in a newer version of Excel. Learn more: https://go.microsoft.com/fwlink/?linkid=870924
Comment:
    Volume material setelah dilakukan proses pemesinan
Volume Akhir = Volume Awal - Scrap</t>
        </r>
      </text>
    </comment>
    <comment ref="F13" authorId="0" shapeId="0" xr:uid="{B4DCF468-494D-4551-9CE7-B40FCC43AA91}">
      <text>
        <r>
          <rPr>
            <sz val="11"/>
            <color theme="1"/>
            <rFont val="Calibri"/>
            <family val="2"/>
            <scheme val="minor"/>
          </rPr>
          <t>======
ID#AAAA3QOSLvU
    (2023-08-21 05:40:07)
[Threaded comment]
Your version of Excel allows you to read this threaded comment; however, any edits to it will get removed if the file is opened in a newer version of Excel. Learn more: https://go.microsoft.com/fwlink/?linkid=870924
Comment:
    Depth of cut maksimum dari proses pembubutan umumnya sampai lima kali dari nilai f.
Lakukan pengulangan proses apabila kedalaman yang diinginkan melebihi nilai depth of cut maksimum.</t>
        </r>
      </text>
    </comment>
    <comment ref="H13" authorId="0" shapeId="0" xr:uid="{C2D63744-AD19-4E7E-84E3-AC7C95DCCFBB}">
      <text>
        <r>
          <rPr>
            <sz val="11"/>
            <color theme="1"/>
            <rFont val="Calibri"/>
            <family val="2"/>
            <scheme val="minor"/>
          </rPr>
          <t>======
ID#AAAA3QOSLvE
    (2023-08-21 05:40:07)
[Threaded comment]
Your version of Excel allows you to read this threaded comment; however, any edits to it will get removed if the file is opened in a newer version of Excel. Learn more: https://go.microsoft.com/fwlink/?linkid=870924
Comment:
    Lihat referensi Kalpakjian untuk nilai f</t>
        </r>
      </text>
    </comment>
    <comment ref="I13" authorId="0" shapeId="0" xr:uid="{3653C0AD-1FC1-4076-B843-A6124FA75969}">
      <text>
        <r>
          <rPr>
            <sz val="11"/>
            <color theme="1"/>
            <rFont val="Calibri"/>
            <family val="2"/>
            <scheme val="minor"/>
          </rPr>
          <t>======
ID#AAAA3QOSLvc
    (2023-08-21 05:40:07)
[Threaded comment]
Your version of Excel allows you to read this threaded comment; however, any edits to it will get removed if the file is opened in a newer version of Excel. Learn more: https://go.microsoft.com/fwlink/?linkid=870924
Comment:
    Lihat referensi Kalpakjian untuk nilai cutting speed</t>
        </r>
      </text>
    </comment>
    <comment ref="B18" authorId="1" shapeId="0" xr:uid="{5D09C129-8A9A-4693-94F9-22B16E248731}">
      <text>
        <r>
          <rPr>
            <b/>
            <sz val="9"/>
            <color indexed="81"/>
            <rFont val="Tahoma"/>
            <family val="2"/>
          </rPr>
          <t>khairunnisa n:</t>
        </r>
        <r>
          <rPr>
            <sz val="9"/>
            <color indexed="81"/>
            <rFont val="Tahoma"/>
            <family val="2"/>
          </rPr>
          <t xml:space="preserve">
Membentuk bidang miring 40° pada sisi luar sehingga terbentuk profil tirus dari Ø60 ke bagian atas part.</t>
        </r>
      </text>
    </comment>
    <comment ref="B23" authorId="1" shapeId="0" xr:uid="{7EC9265C-5A33-49B3-A11B-3F9E6A473F30}">
      <text>
        <r>
          <rPr>
            <b/>
            <sz val="9"/>
            <color indexed="81"/>
            <rFont val="Tahoma"/>
            <family val="2"/>
          </rPr>
          <t>khairunnisa n:</t>
        </r>
        <r>
          <rPr>
            <sz val="9"/>
            <color indexed="81"/>
            <rFont val="Tahoma"/>
            <family val="2"/>
          </rPr>
          <t xml:space="preserve">
Memperbesar lubang tengah secara bertahap hingga Ø40 mm dengan kedalaman 26 mm sehingga terbentuk rongga silinder bagian dalam.</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khairunnisa n</author>
  </authors>
  <commentList>
    <comment ref="K1" authorId="0" shapeId="0" xr:uid="{875A4A0A-E028-478E-996C-0CEA8FC1E288}">
      <text>
        <r>
          <rPr>
            <sz val="11"/>
            <color theme="1"/>
            <rFont val="Calibri"/>
            <family val="2"/>
            <scheme val="minor"/>
          </rPr>
          <t>======
ID#AAAA3QOSLt4
    (2023-08-21 05:40:07)
Lampirkan gambar isometric part</t>
        </r>
      </text>
    </comment>
    <comment ref="A3" authorId="0" shapeId="0" xr:uid="{A90F9A0F-D993-4796-AF6F-6124300B9255}">
      <text>
        <r>
          <rPr>
            <sz val="11"/>
            <color theme="1"/>
            <rFont val="Calibri"/>
            <family val="2"/>
            <scheme val="minor"/>
          </rPr>
          <t>======
ID#AAAA3QOSLv0
    (2023-08-21 05:40:07)
Sesuai nomor part di drawing</t>
        </r>
      </text>
    </comment>
    <comment ref="E3" authorId="0" shapeId="0" xr:uid="{5AAC38E3-AA65-4B46-8A6E-49BB10FAF757}">
      <text>
        <r>
          <rPr>
            <sz val="11"/>
            <color theme="1"/>
            <rFont val="Calibri"/>
            <family val="2"/>
            <scheme val="minor"/>
          </rPr>
          <t>======
ID#AAAA3QOSLt8
    (2023-08-21 05:40:07)
Ditulis '1', kecuali terdapat lebih dari 1 halaman ketika dilampirkan di laporan</t>
        </r>
      </text>
    </comment>
    <comment ref="A4" authorId="0" shapeId="0" xr:uid="{927601A7-2586-4F0C-8E30-34A5903CBE25}">
      <text>
        <r>
          <rPr>
            <sz val="11"/>
            <color theme="1"/>
            <rFont val="Calibri"/>
            <family val="2"/>
            <scheme val="minor"/>
          </rPr>
          <t>======
ID#AAAA3QOSLwA
    (2023-08-21 05:40:07)
Sesuai nomor di BOM yang dibuat praktikan</t>
        </r>
      </text>
    </comment>
    <comment ref="E5" authorId="0" shapeId="0" xr:uid="{4FB81BEA-39A7-446A-9498-8F3F54507C81}">
      <text>
        <r>
          <rPr>
            <sz val="11"/>
            <color theme="1"/>
            <rFont val="Calibri"/>
            <family val="2"/>
            <scheme val="minor"/>
          </rPr>
          <t>======
ID#AAAA3QOSLwI
tc={965D57F4-0DB2-4230-8C1A-6D58D3008C65}    (2023-08-21 05:40:07)
[Threaded comment]
Your version of Excel allows you to read this threaded comment; however, any edits to it will get removed if the file is opened in a newer version of Excel. Learn more: https://go.microsoft.com/fwlink/?linkid=870924
Comment:
    Material: Aluminium Alloy</t>
        </r>
      </text>
    </comment>
    <comment ref="E6" authorId="0" shapeId="0" xr:uid="{5F5F8DB2-BE51-4286-A97B-A30063D13EAE}">
      <text>
        <r>
          <rPr>
            <sz val="11"/>
            <color theme="1"/>
            <rFont val="Calibri"/>
            <family val="2"/>
            <scheme val="minor"/>
          </rPr>
          <t>======
ID#AAAA3QOSLuE
    (2023-08-21 05:40:07)
Diisi ukuran raw material yang digunakan beserta satuannya.
Jika ingin membuat LRP manual, maka bisa menggunakan fitur measuring pada SolidWorks untuk mengetahui panjang, lebar/diameter, dan tingginya</t>
        </r>
      </text>
    </comment>
    <comment ref="F6" authorId="0" shapeId="0" xr:uid="{C6AC24D6-97AA-44A7-B117-87F852C997C4}">
      <text>
        <r>
          <rPr>
            <sz val="11"/>
            <color theme="1"/>
            <rFont val="Calibri"/>
            <family val="2"/>
            <scheme val="minor"/>
          </rPr>
          <t>======
ID#AAAA3QOSLuY
    (2023-08-21 05:40:07)
Jika raw material berbentuk silinder, bagian panjang dapat diisi dengan tanda (-) dan hanya mengisi diameter serta tingginya</t>
        </r>
      </text>
    </comment>
    <comment ref="A7" authorId="0" shapeId="0" xr:uid="{29B50253-066E-4D8F-ACD0-4CFFA0AE20B4}">
      <text>
        <r>
          <rPr>
            <sz val="11"/>
            <color theme="1"/>
            <rFont val="Calibri"/>
            <family val="2"/>
            <scheme val="minor"/>
          </rPr>
          <t>======
ID#AAAA3QOSLv4
    (2023-08-21 05:40:07)
Diisi dengan nama kelompok.
Misal:
KelompokG00
KelompokC00</t>
        </r>
      </text>
    </comment>
    <comment ref="A8" authorId="0" shapeId="0" xr:uid="{B22670C2-EA8F-46CA-AC28-7AD3025F68B9}">
      <text>
        <r>
          <rPr>
            <sz val="11"/>
            <color theme="1"/>
            <rFont val="Calibri"/>
            <family val="2"/>
            <scheme val="minor"/>
          </rPr>
          <t>======
ID#AAAA3QOSLuo
    (2023-08-21 05:40:07)
Diisi tanggal saat pembuatan LRP</t>
        </r>
      </text>
    </comment>
    <comment ref="A10" authorId="0" shapeId="0" xr:uid="{9E5BBFB5-981C-435A-B23E-D1E14B9270DA}">
      <text>
        <r>
          <rPr>
            <sz val="11"/>
            <color theme="1"/>
            <rFont val="Calibri"/>
            <family val="2"/>
            <scheme val="minor"/>
          </rPr>
          <t>======
ID#AAAA3QOSLu4
    (2023-08-21 05:40:07)
Kalau ada pengulangan proses, jangan lupa nomor proses juga di skip.
Misal:
______________________________________________
No proses | Urutan Operasi
1                 | Drilling (D=..., d=...) (top side) 4x
5                 | Milling (L=..., d=...) w=... (top side)</t>
        </r>
      </text>
    </comment>
    <comment ref="B10" authorId="0" shapeId="0" xr:uid="{E1A149EE-FCB9-45E0-8E8B-BC043023004D}">
      <text>
        <r>
          <rPr>
            <sz val="11"/>
            <color theme="1"/>
            <rFont val="Calibri"/>
            <family val="2"/>
            <scheme val="minor"/>
          </rPr>
          <t>======
ID#AAAA3QOSLv8
    (2023-08-21 05:40:07)
Urutan operasi selalu diawali dengan pengukuran dan diakhiri dengan inspeksi.
Praktikan diperbolehkan untuk menggunakan fitur costing report, SolidCAM, dsb. untuk memperoleh referensi urutan operasi untuk beberapa part.</t>
        </r>
      </text>
    </comment>
    <comment ref="C10" authorId="0" shapeId="0" xr:uid="{35CD61E4-CBEC-4487-AF5E-664663E9C92D}">
      <text>
        <r>
          <rPr>
            <sz val="11"/>
            <color theme="1"/>
            <rFont val="Calibri"/>
            <family val="2"/>
            <scheme val="minor"/>
          </rPr>
          <t>======
ID#AAAA3QOSLvw
    (2023-08-21 05:40:07)
Diisi dengan nama stasiun kerja (Misal: Pengukuran, Mesin Bubut, Mesin Drilling, Kerja Bangku, Mesin Press)</t>
        </r>
      </text>
    </comment>
    <comment ref="F10" authorId="0" shapeId="0" xr:uid="{C5E3625E-D7D8-41DD-A2E2-8CE0C54B0D19}">
      <text>
        <r>
          <rPr>
            <sz val="11"/>
            <color theme="1"/>
            <rFont val="Calibri"/>
            <family val="2"/>
            <scheme val="minor"/>
          </rPr>
          <t>======
ID#AAAA3QOSLuQ
    (2023-08-21 05:40:07)
Mesin Milling: HSS Milling Tool D = X mm
Mesin Drilling: HSS Center Drill D = X mm, HSS Tapping Drill D = X mm
Mesin Bubut: HSS Turning Tool atau TCT Turning Tool
Kerja Bangku untuk cutting (termasuk chamfering): Gerinda
Pengukuran: Mistar, meteran, jangka sorong, mikrometer sekrup, dll. sesuai kebutuhan
Praktikan diperbolehkan untuk mencari referensi tools lainnya.</t>
        </r>
      </text>
    </comment>
    <comment ref="G10" authorId="0" shapeId="0" xr:uid="{0B72BB02-330A-4C7F-8375-154967EAB786}">
      <text>
        <r>
          <rPr>
            <sz val="11"/>
            <color theme="1"/>
            <rFont val="Calibri"/>
            <family val="2"/>
            <scheme val="minor"/>
          </rPr>
          <t>======
ID#AAAA3QOSLwQ
    (2023-08-21 05:40:07)
Ganti mesin: 60 detik
Ganti pahat: 60 detik
Positioning pahat: 30 detik
Positioning benda: 30 detik
Kerja bangku: 240 detik
Inspeksi: 0 detik
Pengukuran: 0 detik
Waktu setup kerja bangku untuk proses chamfering (linear) dan cutting dapat disatukan. (Misal terdapat proses chamfering sebanyak 8x, maka waktu setup = 240 detik, waktu proses = 0 detik)</t>
        </r>
      </text>
    </comment>
    <comment ref="H10" authorId="0" shapeId="0" xr:uid="{3BCFB2BE-614E-4FCA-9FAC-FC5B77D916DA}">
      <text>
        <r>
          <rPr>
            <sz val="11"/>
            <color theme="1"/>
            <rFont val="Calibri"/>
            <family val="2"/>
            <scheme val="minor"/>
          </rPr>
          <t>======
ID#AAAA3QOSLu8
    (2023-08-21 05:40:07)
Link dari sheet perhitungan</t>
        </r>
      </text>
    </comment>
    <comment ref="I10" authorId="0" shapeId="0" xr:uid="{727B8792-4C08-4390-B9B6-A67F71388F83}">
      <text>
        <r>
          <rPr>
            <sz val="11"/>
            <color theme="1"/>
            <rFont val="Calibri"/>
            <family val="2"/>
            <scheme val="minor"/>
          </rPr>
          <t>======
ID#AAAA3QOSLvk
    (2023-08-21 05:40:07)
Waktu total = Waktu setup + Waktu proses</t>
        </r>
      </text>
    </comment>
    <comment ref="D11" authorId="0" shapeId="0" xr:uid="{A6B97850-547E-4AEF-8F5F-C07DA8E38A61}">
      <text>
        <r>
          <rPr>
            <sz val="11"/>
            <color theme="1"/>
            <rFont val="Calibri"/>
            <family val="2"/>
            <scheme val="minor"/>
          </rPr>
          <t>======
ID#AAAA3QOSLuA
    (2023-08-21 05:40:07)
Pengisian nomor setup prinsipnya sama dengan nomor proses.</t>
        </r>
      </text>
    </comment>
    <comment ref="E11" authorId="0" shapeId="0" xr:uid="{10BA1FFE-3D9B-42A0-8ADA-8997534815F7}">
      <text>
        <r>
          <rPr>
            <sz val="11"/>
            <color theme="1"/>
            <rFont val="Calibri"/>
            <family val="2"/>
            <scheme val="minor"/>
          </rPr>
          <t>======
ID#AAAA3QOSLvs
    (2023-08-21 05:40:07)
Alat bantu diisi Ragum untuk seluruh proses pemesinan, kecuali mesin bubut gunakan Three Jaw Chuck atau Four Jaw Chuck.
Tidak diperlukan alat bantu untuk pengukuran dan inspeksi.</t>
        </r>
      </text>
    </comment>
    <comment ref="B17" authorId="1" shapeId="0" xr:uid="{4E29D3C5-E86A-4407-87C3-AD72F3D1256B}">
      <text>
        <r>
          <rPr>
            <b/>
            <sz val="9"/>
            <color indexed="81"/>
            <rFont val="Tahoma"/>
            <family val="2"/>
          </rPr>
          <t>khairunnisa n:</t>
        </r>
        <r>
          <rPr>
            <sz val="9"/>
            <color indexed="81"/>
            <rFont val="Tahoma"/>
            <family val="2"/>
          </rPr>
          <t xml:space="preserve">
Membentuk bidang miring 40° pada sisi luar sehingga terbentuk profil tirus dari Ø60 ke bagian atas part.</t>
        </r>
      </text>
    </comment>
    <comment ref="B19" authorId="1" shapeId="0" xr:uid="{AAB816A4-A686-4766-BA3C-D995E04EDE65}">
      <text>
        <r>
          <rPr>
            <b/>
            <sz val="9"/>
            <color indexed="81"/>
            <rFont val="Tahoma"/>
            <family val="2"/>
          </rPr>
          <t>khairunnisa n:</t>
        </r>
        <r>
          <rPr>
            <sz val="9"/>
            <color indexed="81"/>
            <rFont val="Tahoma"/>
            <family val="2"/>
          </rPr>
          <t xml:space="preserve">
Memperbesar lubang tengah secara bertahap hingga Ø40 mm dengan kedalaman 26 mm sehingga terbentuk rongga silinder bagian dalam.</t>
        </r>
      </text>
    </comment>
    <comment ref="B26" authorId="1" shapeId="0" xr:uid="{61B1DEB1-72A1-48E1-AE48-9B6C5EA1F2A7}">
      <text>
        <r>
          <rPr>
            <b/>
            <sz val="9"/>
            <color indexed="81"/>
            <rFont val="Tahoma"/>
            <family val="2"/>
          </rPr>
          <t>khairunnisa n:</t>
        </r>
        <r>
          <rPr>
            <sz val="9"/>
            <color indexed="81"/>
            <rFont val="Tahoma"/>
            <family val="2"/>
          </rPr>
          <t xml:space="preserve">
Menghilangkan geram dan sisi tajam pada seluruh tepi hasil machining</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K1" authorId="0" shapeId="0" xr:uid="{84439AD3-75A6-4C28-9027-151E19584084}">
      <text>
        <r>
          <rPr>
            <sz val="11"/>
            <color theme="1"/>
            <rFont val="Calibri"/>
            <family val="2"/>
            <scheme val="minor"/>
          </rPr>
          <t>======
ID#AAAA3QOSLt4
    (2023-08-21 05:40:07)
Lampirkan gambar isometric part</t>
        </r>
      </text>
    </comment>
    <comment ref="A3" authorId="0" shapeId="0" xr:uid="{899A5A01-5A6E-4F05-993A-991D15EBEA59}">
      <text>
        <r>
          <rPr>
            <sz val="11"/>
            <color theme="1"/>
            <rFont val="Calibri"/>
            <family val="2"/>
            <scheme val="minor"/>
          </rPr>
          <t>======
ID#AAAA3QOSLv0
    (2023-08-21 05:40:07)
Sesuai nomor part di drawing</t>
        </r>
      </text>
    </comment>
    <comment ref="E3" authorId="0" shapeId="0" xr:uid="{AC62FDF3-25EB-4F68-9AA8-D56C1A78727E}">
      <text>
        <r>
          <rPr>
            <sz val="11"/>
            <color theme="1"/>
            <rFont val="Calibri"/>
            <family val="2"/>
            <scheme val="minor"/>
          </rPr>
          <t>======
ID#AAAA3QOSLt8
    (2023-08-21 05:40:07)
Ditulis '1', kecuali terdapat lebih dari 1 halaman ketika dilampirkan di laporan</t>
        </r>
      </text>
    </comment>
    <comment ref="A4" authorId="0" shapeId="0" xr:uid="{35C885B4-0362-4FFB-90B5-94627A4CDB0A}">
      <text>
        <r>
          <rPr>
            <sz val="11"/>
            <color theme="1"/>
            <rFont val="Calibri"/>
            <family val="2"/>
            <scheme val="minor"/>
          </rPr>
          <t>======
ID#AAAA3QOSLwA
    (2023-08-21 05:40:07)
Sesuai nomor di BOM yang dibuat praktikan</t>
        </r>
      </text>
    </comment>
    <comment ref="E5" authorId="0" shapeId="0" xr:uid="{A3DF9CD4-40CA-4EB3-BDE4-4E8F2E99B77A}">
      <text>
        <r>
          <rPr>
            <sz val="11"/>
            <color theme="1"/>
            <rFont val="Calibri"/>
            <family val="2"/>
            <scheme val="minor"/>
          </rPr>
          <t>======
ID#AAAA3QOSLwI
tc={965D57F4-0DB2-4230-8C1A-6D58D3008C65}    (2023-08-21 05:40:07)
[Threaded comment]
Your version of Excel allows you to read this threaded comment; however, any edits to it will get removed if the file is opened in a newer version of Excel. Learn more: https://go.microsoft.com/fwlink/?linkid=870924
Comment:
    Material: Aluminium Alloy</t>
        </r>
      </text>
    </comment>
    <comment ref="E6" authorId="0" shapeId="0" xr:uid="{7F68AC20-EA22-4580-BBC4-37D0882B691D}">
      <text>
        <r>
          <rPr>
            <sz val="11"/>
            <color theme="1"/>
            <rFont val="Calibri"/>
            <family val="2"/>
            <scheme val="minor"/>
          </rPr>
          <t>======
ID#AAAA3QOSLuE
    (2023-08-21 05:40:07)
Diisi ukuran raw material yang digunakan beserta satuannya.
Jika ingin membuat LRP manual, maka bisa menggunakan fitur measuring pada SolidWorks untuk mengetahui panjang, lebar/diameter, dan tingginya</t>
        </r>
      </text>
    </comment>
    <comment ref="F6" authorId="0" shapeId="0" xr:uid="{2DD5CB8E-1EFF-48B1-80F6-8585379BBB2E}">
      <text>
        <r>
          <rPr>
            <sz val="11"/>
            <color theme="1"/>
            <rFont val="Calibri"/>
            <family val="2"/>
            <scheme val="minor"/>
          </rPr>
          <t>======
ID#AAAA3QOSLuY
    (2023-08-21 05:40:07)
Jika raw material berbentuk silinder, bagian panjang dapat diisi dengan tanda (-) dan hanya mengisi diameter serta tingginya</t>
        </r>
      </text>
    </comment>
    <comment ref="A7" authorId="0" shapeId="0" xr:uid="{6A5E96E6-AF42-4187-B1B5-CAFF2F20682C}">
      <text>
        <r>
          <rPr>
            <sz val="11"/>
            <color theme="1"/>
            <rFont val="Calibri"/>
            <family val="2"/>
            <scheme val="minor"/>
          </rPr>
          <t>======
ID#AAAA3QOSLv4
    (2023-08-21 05:40:07)
Diisi dengan nama kelompok.
Misal:
KelompokG00
KelompokC00</t>
        </r>
      </text>
    </comment>
    <comment ref="A8" authorId="0" shapeId="0" xr:uid="{37070598-8BEF-4354-9BD1-13E6DEF3B979}">
      <text>
        <r>
          <rPr>
            <sz val="11"/>
            <color theme="1"/>
            <rFont val="Calibri"/>
            <family val="2"/>
            <scheme val="minor"/>
          </rPr>
          <t>======
ID#AAAA3QOSLuo
    (2023-08-21 05:40:07)
Diisi tanggal saat pembuatan LRP</t>
        </r>
      </text>
    </comment>
    <comment ref="A10" authorId="0" shapeId="0" xr:uid="{5313356F-2C6B-4D37-A1D8-C5A7D3DA3161}">
      <text>
        <r>
          <rPr>
            <sz val="11"/>
            <color theme="1"/>
            <rFont val="Calibri"/>
            <family val="2"/>
            <scheme val="minor"/>
          </rPr>
          <t>======
ID#AAAA3QOSLu4
    (2023-08-21 05:40:07)
Kalau ada pengulangan proses, jangan lupa nomor proses juga di skip.
Misal:
______________________________________________
No proses | Urutan Operasi
1                 | Drilling (D=..., d=...) (top side) 4x
5                 | Milling (L=..., d=...) w=... (top side)</t>
        </r>
      </text>
    </comment>
    <comment ref="B10" authorId="0" shapeId="0" xr:uid="{37F8D6A9-C1A6-4EAE-A2D8-6AEDDFFC95C8}">
      <text>
        <r>
          <rPr>
            <sz val="11"/>
            <color theme="1"/>
            <rFont val="Calibri"/>
            <family val="2"/>
            <scheme val="minor"/>
          </rPr>
          <t>======
ID#AAAA3QOSLv8
    (2023-08-21 05:40:07)
Urutan operasi selalu diawali dengan pengukuran dan diakhiri dengan inspeksi.
Praktikan diperbolehkan untuk menggunakan fitur costing report, SolidCAM, dsb. untuk memperoleh referensi urutan operasi untuk beberapa part.</t>
        </r>
      </text>
    </comment>
    <comment ref="C10" authorId="0" shapeId="0" xr:uid="{DFB2C3AE-8D77-4528-9A30-16F0DB848277}">
      <text>
        <r>
          <rPr>
            <sz val="11"/>
            <color theme="1"/>
            <rFont val="Calibri"/>
            <family val="2"/>
            <scheme val="minor"/>
          </rPr>
          <t>======
ID#AAAA3QOSLvw
    (2023-08-21 05:40:07)
Diisi dengan nama stasiun kerja (Misal: Pengukuran, Mesin Bubut, Mesin Drilling, Kerja Bangku, Mesin Press)</t>
        </r>
      </text>
    </comment>
    <comment ref="F10" authorId="0" shapeId="0" xr:uid="{F4D442EE-D985-4C8C-976A-6E6D9889A0CF}">
      <text>
        <r>
          <rPr>
            <sz val="11"/>
            <color theme="1"/>
            <rFont val="Calibri"/>
            <family val="2"/>
            <scheme val="minor"/>
          </rPr>
          <t>======
ID#AAAA3QOSLuQ
    (2023-08-21 05:40:07)
Mesin Milling: HSS Milling Tool D = X mm
Mesin Drilling: HSS Center Drill D = X mm, HSS Tapping Drill D = X mm
Mesin Bubut: HSS Turning Tool atau TCT Turning Tool
Kerja Bangku untuk cutting (termasuk chamfering): Gerinda
Pengukuran: Mistar, meteran, jangka sorong, mikrometer sekrup, dll. sesuai kebutuhan
Praktikan diperbolehkan untuk mencari referensi tools lainnya.</t>
        </r>
      </text>
    </comment>
    <comment ref="G10" authorId="0" shapeId="0" xr:uid="{464F3CB6-A912-42C2-A4C4-548869CC2885}">
      <text>
        <r>
          <rPr>
            <sz val="11"/>
            <color theme="1"/>
            <rFont val="Calibri"/>
            <family val="2"/>
            <scheme val="minor"/>
          </rPr>
          <t>======
ID#AAAA3QOSLwQ
    (2023-08-21 05:40:07)
Ganti mesin: 60 detik
Ganti pahat: 60 detik
Positioning pahat: 30 detik
Positioning benda: 30 detik
Kerja bangku: 240 detik
Inspeksi: 0 detik
Pengukuran: 0 detik
Waktu setup kerja bangku untuk proses chamfering (linear) dan cutting dapat disatukan. (Misal terdapat proses chamfering sebanyak 8x, maka waktu setup = 240 detik, waktu proses = 0 detik)</t>
        </r>
      </text>
    </comment>
    <comment ref="H10" authorId="0" shapeId="0" xr:uid="{2EE4CD42-588F-486D-8A86-BF6C1024007C}">
      <text>
        <r>
          <rPr>
            <sz val="11"/>
            <color theme="1"/>
            <rFont val="Calibri"/>
            <family val="2"/>
            <scheme val="minor"/>
          </rPr>
          <t>======
ID#AAAA3QOSLu8
    (2023-08-21 05:40:07)
Link dari sheet perhitungan</t>
        </r>
      </text>
    </comment>
    <comment ref="I10" authorId="0" shapeId="0" xr:uid="{9FA39F03-6EE7-45A0-A97D-E197F896F076}">
      <text>
        <r>
          <rPr>
            <sz val="11"/>
            <color theme="1"/>
            <rFont val="Calibri"/>
            <family val="2"/>
            <scheme val="minor"/>
          </rPr>
          <t>======
ID#AAAA3QOSLvk
    (2023-08-21 05:40:07)
Waktu total = Waktu setup + Waktu proses</t>
        </r>
      </text>
    </comment>
    <comment ref="D11" authorId="0" shapeId="0" xr:uid="{4D62BEC4-728F-4702-BA9D-D9558AE726B4}">
      <text>
        <r>
          <rPr>
            <sz val="11"/>
            <color theme="1"/>
            <rFont val="Calibri"/>
            <family val="2"/>
            <scheme val="minor"/>
          </rPr>
          <t>======
ID#AAAA3QOSLuA
    (2023-08-21 05:40:07)
Pengisian nomor setup prinsipnya sama dengan nomor proses.</t>
        </r>
      </text>
    </comment>
    <comment ref="E11" authorId="0" shapeId="0" xr:uid="{0284F126-2DA2-478D-ADE0-8A13918D77CC}">
      <text>
        <r>
          <rPr>
            <sz val="11"/>
            <color theme="1"/>
            <rFont val="Calibri"/>
            <family val="2"/>
            <scheme val="minor"/>
          </rPr>
          <t>======
ID#AAAA3QOSLvs
    (2023-08-21 05:40:07)
Alat bantu diisi Ragum untuk seluruh proses pemesinan, kecuali mesin bubut gunakan Three Jaw Chuck atau Four Jaw Chuck.
Tidak diperlukan alat bantu untuk pengukuran dan inspeksi.</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khairunnisa n</author>
  </authors>
  <commentList>
    <comment ref="A5" authorId="0" shapeId="0" xr:uid="{EA4CC38A-705A-4C90-B455-830E2FDA21FE}">
      <text>
        <r>
          <rPr>
            <sz val="11"/>
            <color theme="1"/>
            <rFont val="Calibri"/>
            <family val="2"/>
            <scheme val="minor"/>
          </rPr>
          <t>======
ID#AAAA3QOSLug
    (2023-08-21 05:40:07)
[Threaded comment]
Your version of Excel allows you to read this threaded comment; however, any edits to it will get removed if the file is opened in a newer version of Excel. Learn more: https://go.microsoft.com/fwlink/?linkid=870924
Comment:
    Diperlukan setup positioning pahat untuk pengulangan proses akibat maximum width of cut.</t>
        </r>
      </text>
    </comment>
    <comment ref="C6" authorId="0" shapeId="0" xr:uid="{7C2631E1-F6FE-4BA6-ABE4-9972D6006945}">
      <text>
        <r>
          <rPr>
            <sz val="11"/>
            <color theme="1"/>
            <rFont val="Calibri"/>
            <family val="2"/>
            <scheme val="minor"/>
          </rPr>
          <t>======
ID#AAAA3QOSLvQ
    (2023-08-21 05:40:07)
[Threaded comment]
Your version of Excel allows you to read this threaded comment; however, any edits to it will get removed if the file is opened in a newer version of Excel. Learn more: https://go.microsoft.com/fwlink/?linkid=870924
Comment:
    Lihat referensi Kalpakjian untuk nilai diameter pahat.</t>
        </r>
      </text>
    </comment>
    <comment ref="D6" authorId="0" shapeId="0" xr:uid="{786A7A1B-82F6-4666-81ED-959B51A83BE2}">
      <text>
        <r>
          <rPr>
            <sz val="11"/>
            <color theme="1"/>
            <rFont val="Calibri"/>
            <family val="2"/>
            <scheme val="minor"/>
          </rPr>
          <t>======
ID#AAAA3QOSLu0
    (2023-08-21 05:40:07)
[Threaded comment]
Your version of Excel allows you to read this threaded comment; however, any edits to it will get removed if the file is opened in a newer version of Excel. Learn more: https://go.microsoft.com/fwlink/?linkid=870924
Comment:
    Lihat referensi Kalpakjian untuk nilai maksimum kedalaman potong
Apabila kedalaman potong yang diinginkan melebihi nilai maksimum kedalaman potong, ulangi proses sampai diperoleh kedalaman potong yang diinginkan.
Contoh:
Kedalaman potong diinginkan= 12 mm
Kedalaman potong (roughing) maksimum= 5 mm
Kedalaman potong (finishing) maksimum= 0.5 mm
Maka diperlukan proses:
1. Roughing 2x dengan kedalaman potong masing-masing 5 mm
2. Roughing 1x dengan kedalaman potong 1.5 mm
3. Finishing 1x dengan kedalaman potong 0.5 mm</t>
        </r>
      </text>
    </comment>
    <comment ref="F6" authorId="0" shapeId="0" xr:uid="{CB4B5065-EE0E-437A-BE31-A7BC36D45087}">
      <text>
        <r>
          <rPr>
            <sz val="11"/>
            <color theme="1"/>
            <rFont val="Calibri"/>
            <family val="2"/>
            <scheme val="minor"/>
          </rPr>
          <t>======
ID#AAAA3QOSLwE
    (2023-08-21 05:40:07)
[Threaded comment]
Your version of Excel allows you to read this threaded comment; however, any edits to it will get removed if the file is opened in a newer version of Excel. Learn more: https://go.microsoft.com/fwlink/?linkid=870924
Comment:
    Lihat referensi Kalpakjian untuk nilai kecepatan potong</t>
        </r>
      </text>
    </comment>
    <comment ref="H6" authorId="0" shapeId="0" xr:uid="{AB1A1976-BC27-4AAB-8562-813BDE952FE6}">
      <text>
        <r>
          <rPr>
            <sz val="11"/>
            <color theme="1"/>
            <rFont val="Calibri"/>
            <family val="2"/>
            <scheme val="minor"/>
          </rPr>
          <t>======
ID#AAAA3QOSLvM
    (2023-08-21 05:40:07)
[Threaded comment]
Your version of Excel allows you to read this threaded comment; however, any edits to it will get removed if the file is opened in a newer version of Excel. Learn more: https://go.microsoft.com/fwlink/?linkid=870924
Comment:
    Lihat referensi Kalpakjian untuk nilai feed rate</t>
        </r>
      </text>
    </comment>
    <comment ref="I6" authorId="0" shapeId="0" xr:uid="{485C8481-362F-4472-AB3F-4E3C8E0C9A50}">
      <text>
        <r>
          <rPr>
            <sz val="11"/>
            <color theme="1"/>
            <rFont val="Calibri"/>
            <family val="2"/>
            <scheme val="minor"/>
          </rPr>
          <t>======
ID#AAAA3QOSLuc
    (2023-08-21 05:40:07)
[Threaded comment]
Your version of Excel allows you to read this threaded comment; however, any edits to it will get removed if the file is opened in a newer version of Excel. Learn more: https://go.microsoft.com/fwlink/?linkid=870924
Comment:
    Untuk face milling,
w maksimum = D
Apabila lebar potong yang diinginkan melebihi nilai D, ulangi proses sampai diperoleh lebar potong yang diinginkan.
Contoh:
lebar potong diinginkan= 150 mm
lebar potong maksimum= 70 mm
Diperlukan proses:
1. Roughing 2x dengan lebar potong masing-masing 70 mm
2. Roughing 1x dengan lebar potong 10 mm.
Hal yang sama diterapkan untuk proses finishing.
Diperlukan setup positioning pahat untuk pengulangan proses akibat maximum width of cut.</t>
        </r>
      </text>
    </comment>
    <comment ref="J6" authorId="0" shapeId="0" xr:uid="{3D765FCD-F2CC-4FE9-A5C8-F130B6581952}">
      <text>
        <r>
          <rPr>
            <sz val="11"/>
            <color theme="1"/>
            <rFont val="Calibri"/>
            <family val="2"/>
            <scheme val="minor"/>
          </rPr>
          <t>======
ID#AAAA3QOSLuM
    (2023-08-21 05:40:07)
[Threaded comment]
Your version of Excel allows you to read this threaded comment; however, any edits to it will get removed if the file is opened in a newer version of Excel. Learn more: https://go.microsoft.com/fwlink/?linkid=870924
Comment:
    Approach length
Contoh A untuk face milling:
Untuk w = D (centered),
A = D/2
Untuk w &lt; D (offset),
A = √[w(D-w)]</t>
        </r>
      </text>
    </comment>
    <comment ref="K6" authorId="0" shapeId="0" xr:uid="{75E528D7-216B-4D04-8383-0AC93E81FD57}">
      <text>
        <r>
          <rPr>
            <sz val="11"/>
            <color theme="1"/>
            <rFont val="Calibri"/>
            <family val="2"/>
            <scheme val="minor"/>
          </rPr>
          <t>======
ID#AAAA3QOSLuk
    (2023-08-21 05:40:07)
[Threaded comment]
Your version of Excel allows you to read this threaded comment; however, any edits to it will get removed if the file is opened in a newer version of Excel. Learn more: https://go.microsoft.com/fwlink/?linkid=870924
Comment:
    Apabila terdapat pengulangan proses, nilai Tm dikalikan dengan banyaknya proses.</t>
        </r>
      </text>
    </comment>
    <comment ref="N6" authorId="0" shapeId="0" xr:uid="{3231FE3C-A90D-468F-B944-372B1C2DC222}">
      <text>
        <r>
          <rPr>
            <sz val="11"/>
            <color theme="1"/>
            <rFont val="Calibri"/>
            <family val="2"/>
            <scheme val="minor"/>
          </rPr>
          <t>======
ID#AAAA3QOSLwU
    (2023-08-21 05:40:07)
[Threaded comment]
Your version of Excel allows you to read this threaded comment; however, any edits to it will get removed if the file is opened in a newer version of Excel. Learn more: https://go.microsoft.com/fwlink/?linkid=870924
Comment:
    Volume material sebelum dilakukan proses pemesinan tertentu
Volume Awal Proses ke n = Volume Akhir Proses ke n-1
Volume Awal Proses ke 1 = Volume Raw Material</t>
        </r>
      </text>
    </comment>
    <comment ref="O6" authorId="0" shapeId="0" xr:uid="{B3239A1A-43D1-4D6F-AD5B-C279239EC36F}">
      <text>
        <r>
          <rPr>
            <sz val="11"/>
            <color theme="1"/>
            <rFont val="Calibri"/>
            <family val="2"/>
            <scheme val="minor"/>
          </rPr>
          <t>======
ID#AAAA3QOSLvA
    (2023-08-21 05:40:07)
[Threaded comment]
Your version of Excel allows you to read this threaded comment; however, any edits to it will get removed if the file is opened in a newer version of Excel. Learn more: https://go.microsoft.com/fwlink/?linkid=870924
Com ment:
    Hitung volume dari material yang terbuang pada suatu proses tertentu.
Apabila terdapat pengulangan proses, nilai scrap dikalikan dengan banyaknya proses.
Rumus pendekatan perhitungan scrap apabila scrap memiliki bentuk yang kompleks:
Scrap = Tm x MRR
Untuk milling, karena terdapat approach length yang tidak melakukan pembuangan material, maka:
Scrap = L/Fr x MRR
Gunakan fitur measuring pada Solidworks untuk mempermudah perhitungan area dan keliling dari face tertentu.
Praktikan diperbolehkan menggunakan fitur costing untuk menghitung scrap untuk proses tertentu.</t>
        </r>
      </text>
    </comment>
    <comment ref="P6" authorId="0" shapeId="0" xr:uid="{A75ADA9C-CF94-45E9-990E-F4BB267D2455}">
      <text>
        <r>
          <rPr>
            <sz val="11"/>
            <color theme="1"/>
            <rFont val="Calibri"/>
            <family val="2"/>
            <scheme val="minor"/>
          </rPr>
          <t>======
ID#AAAA3QOSLvY
    (2023-08-21 05:40:07)
[Threaded comment]
Your version of Excel allows you to read this threaded comment; however, any edits to it will get removed if the file is opened in a newer version of Excel. Learn more: https://go.microsoft.com/fwlink/?linkid=870924
Comment:
    Persentase Scrap terhadap volume raw material</t>
        </r>
      </text>
    </comment>
    <comment ref="Q6" authorId="0" shapeId="0" xr:uid="{363A2A44-35A4-4805-8A90-BC83531292E8}">
      <text>
        <r>
          <rPr>
            <sz val="11"/>
            <color theme="1"/>
            <rFont val="Calibri"/>
            <family val="2"/>
            <scheme val="minor"/>
          </rPr>
          <t>======
ID#AAAA3QOSLvI
    (2023-08-21 05:40:07)
[Threaded comment]
Your version of Excel allows you to read this threaded comment; however, any edits to it will get removed if the file is opened in a newer version of Excel. Learn more: https://go.microsoft.com/fwlink/?linkid=870924
Comment:
    Volume material setelah dilakukan proses pemesinan
Volume Akhir = Volume Awal - Scrap</t>
        </r>
      </text>
    </comment>
    <comment ref="F13" authorId="0" shapeId="0" xr:uid="{5E411D56-B09B-411F-A6EB-814DF607B2B4}">
      <text>
        <r>
          <rPr>
            <sz val="11"/>
            <color theme="1"/>
            <rFont val="Calibri"/>
            <family val="2"/>
            <scheme val="minor"/>
          </rPr>
          <t>======
ID#AAAA3QOSLvU
    (2023-08-21 05:40:07)
[Threaded comment]
Your version of Excel allows you to read this threaded comment; however, any edits to it will get removed if the file is opened in a newer version of Excel. Learn more: https://go.microsoft.com/fwlink/?linkid=870924
Comment:
    Depth of cut maksimum dari proses pembubutan umumnya sampai lima kali dari nilai f.
Lakukan pengulangan proses apabila kedalaman yang diinginkan melebihi nilai depth of cut maksimum.</t>
        </r>
      </text>
    </comment>
    <comment ref="H13" authorId="0" shapeId="0" xr:uid="{C75CA873-F117-4B3F-8DA7-6ED1230A7E66}">
      <text>
        <r>
          <rPr>
            <sz val="11"/>
            <color theme="1"/>
            <rFont val="Calibri"/>
            <family val="2"/>
            <scheme val="minor"/>
          </rPr>
          <t>======
ID#AAAA3QOSLvE
    (2023-08-21 05:40:07)
[Threaded comment]
Your version of Excel allows you to read this threaded comment; however, any edits to it will get removed if the file is opened in a newer version of Excel. Learn more: https://go.microsoft.com/fwlink/?linkid=870924
Comment:
    Lihat referensi Kalpakjian untuk nilai f</t>
        </r>
      </text>
    </comment>
    <comment ref="I13" authorId="0" shapeId="0" xr:uid="{E0A734C6-9C3D-448A-8002-03799938E999}">
      <text>
        <r>
          <rPr>
            <sz val="11"/>
            <color theme="1"/>
            <rFont val="Calibri"/>
            <family val="2"/>
            <scheme val="minor"/>
          </rPr>
          <t>======
ID#AAAA3QOSLvc
    (2023-08-21 05:40:07)
[Threaded comment]
Your version of Excel allows you to read this threaded comment; however, any edits to it will get removed if the file is opened in a newer version of Excel. Learn more: https://go.microsoft.com/fwlink/?linkid=870924
Comment:
    Lihat referensi Kalpakjian untuk nilai cutting speed</t>
        </r>
      </text>
    </comment>
    <comment ref="B18" authorId="1" shapeId="0" xr:uid="{E4215090-5607-471F-80C0-A39E74A678E7}">
      <text>
        <r>
          <rPr>
            <b/>
            <sz val="9"/>
            <color indexed="81"/>
            <rFont val="Tahoma"/>
            <family val="2"/>
          </rPr>
          <t>khairunnisa n:</t>
        </r>
        <r>
          <rPr>
            <sz val="9"/>
            <color indexed="81"/>
            <rFont val="Tahoma"/>
            <family val="2"/>
          </rPr>
          <t xml:space="preserve">
Membentuk bidang miring 40° pada sisi luar sehingga terbentuk profil tirus dari Ø60 ke bagian atas part.</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s>
  <commentList>
    <comment ref="K1" authorId="0" shapeId="0" xr:uid="{3D816C11-BE72-4E56-8B3D-ADC1402E2221}">
      <text>
        <r>
          <rPr>
            <sz val="11"/>
            <color theme="1"/>
            <rFont val="Calibri"/>
            <family val="2"/>
            <scheme val="minor"/>
          </rPr>
          <t>======
ID#AAAA3QOSLt4
    (2023-08-21 05:40:07)
Lampirkan gambar isometric part</t>
        </r>
      </text>
    </comment>
    <comment ref="A3" authorId="0" shapeId="0" xr:uid="{468F0C4B-E56E-4BCE-B131-8582C4363C48}">
      <text>
        <r>
          <rPr>
            <sz val="11"/>
            <color theme="1"/>
            <rFont val="Calibri"/>
            <family val="2"/>
            <scheme val="minor"/>
          </rPr>
          <t>======
ID#AAAA3QOSLv0
    (2023-08-21 05:40:07)
Sesuai nomor part di drawing</t>
        </r>
      </text>
    </comment>
    <comment ref="E3" authorId="0" shapeId="0" xr:uid="{1969771B-53D7-466D-87FE-6D52552F5C58}">
      <text>
        <r>
          <rPr>
            <sz val="11"/>
            <color theme="1"/>
            <rFont val="Calibri"/>
            <family val="2"/>
            <scheme val="minor"/>
          </rPr>
          <t>======
ID#AAAA3QOSLt8
    (2023-08-21 05:40:07)
Ditulis '1', kecuali terdapat lebih dari 1 halaman ketika dilampirkan di laporan</t>
        </r>
      </text>
    </comment>
    <comment ref="A4" authorId="0" shapeId="0" xr:uid="{882E9C18-9BBB-447C-9C25-71647C9C9359}">
      <text>
        <r>
          <rPr>
            <sz val="11"/>
            <color theme="1"/>
            <rFont val="Calibri"/>
            <family val="2"/>
            <scheme val="minor"/>
          </rPr>
          <t>======
ID#AAAA3QOSLwA
    (2023-08-21 05:40:07)
Sesuai nomor di BOM yang dibuat praktikan</t>
        </r>
      </text>
    </comment>
    <comment ref="E5" authorId="0" shapeId="0" xr:uid="{ACF0F135-A56C-4BF9-8A3A-6319BB023F56}">
      <text>
        <r>
          <rPr>
            <sz val="11"/>
            <color theme="1"/>
            <rFont val="Calibri"/>
            <family val="2"/>
            <scheme val="minor"/>
          </rPr>
          <t>======
ID#AAAA3QOSLwI
tc={965D57F4-0DB2-4230-8C1A-6D58D3008C65}    (2023-08-21 05:40:07)
[Threaded comment]
Your version of Excel allows you to read this threaded comment; however, any edits to it will get removed if the file is opened in a newer version of Excel. Learn more: https://go.microsoft.com/fwlink/?linkid=870924
Comment:
    Material: Aluminium Alloy</t>
        </r>
      </text>
    </comment>
    <comment ref="E6" authorId="0" shapeId="0" xr:uid="{D07E5617-F900-4C4B-8ECD-3F0A09052508}">
      <text>
        <r>
          <rPr>
            <sz val="11"/>
            <color theme="1"/>
            <rFont val="Calibri"/>
            <family val="2"/>
            <scheme val="minor"/>
          </rPr>
          <t>======
ID#AAAA3QOSLuE
    (2023-08-21 05:40:07)
Diisi ukuran raw material yang digunakan beserta satuannya.
Jika ingin membuat LRP manual, maka bisa menggunakan fitur measuring pada SolidWorks untuk mengetahui panjang, lebar/diameter, dan tingginya</t>
        </r>
      </text>
    </comment>
    <comment ref="F6" authorId="0" shapeId="0" xr:uid="{B4C0986D-9134-4232-85E9-5B2B2D56746A}">
      <text>
        <r>
          <rPr>
            <sz val="11"/>
            <color theme="1"/>
            <rFont val="Calibri"/>
            <family val="2"/>
            <scheme val="minor"/>
          </rPr>
          <t>======
ID#AAAA3QOSLuY
    (2023-08-21 05:40:07)
Jika raw material berbentuk silinder, bagian panjang dapat diisi dengan tanda (-) dan hanya mengisi diameter serta tingginya</t>
        </r>
      </text>
    </comment>
    <comment ref="A7" authorId="0" shapeId="0" xr:uid="{085A6A89-D5BD-4362-8A27-C8EC786CE501}">
      <text>
        <r>
          <rPr>
            <sz val="11"/>
            <color theme="1"/>
            <rFont val="Calibri"/>
            <family val="2"/>
            <scheme val="minor"/>
          </rPr>
          <t>======
ID#AAAA3QOSLv4
    (2023-08-21 05:40:07)
Diisi dengan nama kelompok.
Misal:
KelompokG00
KelompokC00</t>
        </r>
      </text>
    </comment>
    <comment ref="A8" authorId="0" shapeId="0" xr:uid="{8876646E-EDCF-4DF9-B195-F5C7613B31AA}">
      <text>
        <r>
          <rPr>
            <sz val="11"/>
            <color theme="1"/>
            <rFont val="Calibri"/>
            <family val="2"/>
            <scheme val="minor"/>
          </rPr>
          <t>======
ID#AAAA3QOSLuo
    (2023-08-21 05:40:07)
Diisi tanggal saat pembuatan LRP</t>
        </r>
      </text>
    </comment>
    <comment ref="A10" authorId="0" shapeId="0" xr:uid="{03611A5F-F7DD-4FD1-9F11-3D8915DA64ED}">
      <text>
        <r>
          <rPr>
            <sz val="11"/>
            <color theme="1"/>
            <rFont val="Calibri"/>
            <family val="2"/>
            <scheme val="minor"/>
          </rPr>
          <t>======
ID#AAAA3QOSLu4
    (2023-08-21 05:40:07)
Kalau ada pengulangan proses, jangan lupa nomor proses juga di skip.
Misal:
______________________________________________
No proses | Urutan Operasi
1                 | Drilling (D=..., d=...) (top side) 4x
5                 | Milling (L=..., d=...) w=... (top side)</t>
        </r>
      </text>
    </comment>
    <comment ref="B10" authorId="0" shapeId="0" xr:uid="{C9DB5DBB-2F59-4B29-A15B-3DAE454FD9B3}">
      <text>
        <r>
          <rPr>
            <sz val="11"/>
            <color theme="1"/>
            <rFont val="Calibri"/>
            <family val="2"/>
            <scheme val="minor"/>
          </rPr>
          <t>======
ID#AAAA3QOSLv8
    (2023-08-21 05:40:07)
Urutan operasi selalu diawali dengan pengukuran dan diakhiri dengan inspeksi.
Praktikan diperbolehkan untuk menggunakan fitur costing report, SolidCAM, dsb. untuk memperoleh referensi urutan operasi untuk beberapa part.</t>
        </r>
      </text>
    </comment>
    <comment ref="C10" authorId="0" shapeId="0" xr:uid="{6C8C02BB-A4D7-4C2E-A733-B8716E44F293}">
      <text>
        <r>
          <rPr>
            <sz val="11"/>
            <color theme="1"/>
            <rFont val="Calibri"/>
            <family val="2"/>
            <scheme val="minor"/>
          </rPr>
          <t>======
ID#AAAA3QOSLvw
    (2023-08-21 05:40:07)
Diisi dengan nama stasiun kerja (Misal: Pengukuran, Mesin Bubut, Mesin Drilling, Kerja Bangku, Mesin Press)</t>
        </r>
      </text>
    </comment>
    <comment ref="F10" authorId="0" shapeId="0" xr:uid="{342D2871-5BCC-43ED-8B24-D32D1C8C7973}">
      <text>
        <r>
          <rPr>
            <sz val="11"/>
            <color theme="1"/>
            <rFont val="Calibri"/>
            <family val="2"/>
            <scheme val="minor"/>
          </rPr>
          <t>======
ID#AAAA3QOSLuQ
    (2023-08-21 05:40:07)
Mesin Milling: HSS Milling Tool D = X mm
Mesin Drilling: HSS Center Drill D = X mm, HSS Tapping Drill D = X mm
Mesin Bubut: HSS Turning Tool atau TCT Turning Tool
Kerja Bangku untuk cutting (termasuk chamfering): Gerinda
Pengukuran: Mistar, meteran, jangka sorong, mikrometer sekrup, dll. sesuai kebutuhan
Praktikan diperbolehkan untuk mencari referensi tools lainnya.</t>
        </r>
      </text>
    </comment>
    <comment ref="G10" authorId="0" shapeId="0" xr:uid="{AE34E496-8B76-4579-B53E-2DA9E47EAB14}">
      <text>
        <r>
          <rPr>
            <sz val="11"/>
            <color theme="1"/>
            <rFont val="Calibri"/>
            <family val="2"/>
            <scheme val="minor"/>
          </rPr>
          <t>======
ID#AAAA3QOSLwQ
    (2023-08-21 05:40:07)
Ganti mesin: 60 detik
Ganti pahat: 60 detik
Positioning pahat: 30 detik
Positioning benda: 30 detik
Kerja bangku: 240 detik
Inspeksi: 0 detik
Pengukuran: 0 detik
Waktu setup kerja bangku untuk proses chamfering (linear) dan cutting dapat disatukan. (Misal terdapat proses chamfering sebanyak 8x, maka waktu setup = 240 detik, waktu proses = 0 detik)</t>
        </r>
      </text>
    </comment>
    <comment ref="H10" authorId="0" shapeId="0" xr:uid="{933EF264-AD44-4B8C-B59F-23DFF8A38FA7}">
      <text>
        <r>
          <rPr>
            <sz val="11"/>
            <color theme="1"/>
            <rFont val="Calibri"/>
            <family val="2"/>
            <scheme val="minor"/>
          </rPr>
          <t>======
ID#AAAA3QOSLu8
    (2023-08-21 05:40:07)
Link dari sheet perhitungan</t>
        </r>
      </text>
    </comment>
    <comment ref="I10" authorId="0" shapeId="0" xr:uid="{A2CE0EC5-2473-4F4E-A9F4-7F016EB2DDDF}">
      <text>
        <r>
          <rPr>
            <sz val="11"/>
            <color theme="1"/>
            <rFont val="Calibri"/>
            <family val="2"/>
            <scheme val="minor"/>
          </rPr>
          <t>======
ID#AAAA3QOSLvk
    (2023-08-21 05:40:07)
Waktu total = Waktu setup + Waktu proses</t>
        </r>
      </text>
    </comment>
    <comment ref="D11" authorId="0" shapeId="0" xr:uid="{65168FBC-9D78-4D1E-BD0B-F16D60F84417}">
      <text>
        <r>
          <rPr>
            <sz val="11"/>
            <color theme="1"/>
            <rFont val="Calibri"/>
            <family val="2"/>
            <scheme val="minor"/>
          </rPr>
          <t>======
ID#AAAA3QOSLuA
    (2023-08-21 05:40:07)
Pengisian nomor setup prinsipnya sama dengan nomor proses.</t>
        </r>
      </text>
    </comment>
    <comment ref="E11" authorId="0" shapeId="0" xr:uid="{18E72F26-494E-4A01-97F1-FA411499C2A4}">
      <text>
        <r>
          <rPr>
            <sz val="11"/>
            <color theme="1"/>
            <rFont val="Calibri"/>
            <family val="2"/>
            <scheme val="minor"/>
          </rPr>
          <t>======
ID#AAAA3QOSLvs
    (2023-08-21 05:40:07)
Alat bantu diisi Ragum untuk seluruh proses pemesinan, kecuali mesin bubut gunakan Three Jaw Chuck atau Four Jaw Chuck.
Tidak diperlukan alat bantu untuk pengukuran dan inspeksi.</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
  </authors>
  <commentList>
    <comment ref="A5" authorId="0" shapeId="0" xr:uid="{C79644A0-5C52-46BE-A855-BD113A7A59F3}">
      <text>
        <r>
          <rPr>
            <sz val="11"/>
            <color theme="1"/>
            <rFont val="Calibri"/>
            <family val="2"/>
            <scheme val="minor"/>
          </rPr>
          <t>======
ID#AAAA3QOSLug
    (2023-08-21 05:40:07)
[Threaded comment]
Your version of Excel allows you to read this threaded comment; however, any edits to it will get removed if the file is opened in a newer version of Excel. Learn more: https://go.microsoft.com/fwlink/?linkid=870924
Comment:
    Diperlukan setup positioning pahat untuk pengulangan proses akibat maximum width of cut.</t>
        </r>
      </text>
    </comment>
    <comment ref="C6" authorId="0" shapeId="0" xr:uid="{0CF8ADAE-A53B-404B-B544-1F08B4345B47}">
      <text>
        <r>
          <rPr>
            <sz val="11"/>
            <color theme="1"/>
            <rFont val="Calibri"/>
            <family val="2"/>
            <scheme val="minor"/>
          </rPr>
          <t>======
ID#AAAA3QOSLvQ
    (2023-08-21 05:40:07)
[Threaded comment]
Your version of Excel allows you to read this threaded comment; however, any edits to it will get removed if the file is opened in a newer version of Excel. Learn more: https://go.microsoft.com/fwlink/?linkid=870924
Comment:
    Lihat referensi Kalpakjian untuk nilai diameter pahat.</t>
        </r>
      </text>
    </comment>
    <comment ref="D6" authorId="0" shapeId="0" xr:uid="{4A72700B-60ED-4ED2-87DB-C61F23DBB68F}">
      <text>
        <r>
          <rPr>
            <sz val="11"/>
            <color theme="1"/>
            <rFont val="Calibri"/>
            <family val="2"/>
            <scheme val="minor"/>
          </rPr>
          <t>======
ID#AAAA3QOSLu0
    (2023-08-21 05:40:07)
[Threaded comment]
Your version of Excel allows you to read this threaded comment; however, any edits to it will get removed if the file is opened in a newer version of Excel. Learn more: https://go.microsoft.com/fwlink/?linkid=870924
Comment:
    Lihat referensi Kalpakjian untuk nilai maksimum kedalaman potong
Apabila kedalaman potong yang diinginkan melebihi nilai maksimum kedalaman potong, ulangi proses sampai diperoleh kedalaman potong yang diinginkan.
Contoh:
Kedalaman potong diinginkan= 12 mm
Kedalaman potong (roughing) maksimum= 5 mm
Kedalaman potong (finishing) maksimum= 0.5 mm
Maka diperlukan proses:
1. Roughing 2x dengan kedalaman potong masing-masing 5 mm
2. Roughing 1x dengan kedalaman potong 1.5 mm
3. Finishing 1x dengan kedalaman potong 0.5 mm</t>
        </r>
      </text>
    </comment>
    <comment ref="F6" authorId="0" shapeId="0" xr:uid="{4C477AD0-EF95-4005-B43E-5FA2692526E9}">
      <text>
        <r>
          <rPr>
            <sz val="11"/>
            <color theme="1"/>
            <rFont val="Calibri"/>
            <family val="2"/>
            <scheme val="minor"/>
          </rPr>
          <t xml:space="preserve">======
ID#AAAA3QOSLwE
    (2023-08-21 05:40:07)
[Threaded comment]
Your version of Excel allows you to read this threaded comment; however, any edits to it will get removed if the file is opened in a newer version of Excel. Learn more: https://go.microsoft.com/fwlink/?linkid=870924
Comment:
    Lihat referensi Kalpakjian untuk nilai kecepatan potong
</t>
        </r>
      </text>
    </comment>
    <comment ref="H6" authorId="0" shapeId="0" xr:uid="{2762EFF0-54BD-4A1A-8ABB-A8214FE1B8F1}">
      <text>
        <r>
          <rPr>
            <sz val="11"/>
            <color theme="1"/>
            <rFont val="Calibri"/>
            <family val="2"/>
            <scheme val="minor"/>
          </rPr>
          <t>======
ID#AAAA3QOSLvM
    (2023-08-21 05:40:07)
[Threaded comment]
Your version of Excel allows you to read this threaded comment; however, any edits to it will get removed if the file is opened in a newer version of Excel. Learn more: https://go.microsoft.com/fwlink/?linkid=870924
Comment:
    Lihat referensi Kalpakjian untuk nilai feed rate</t>
        </r>
      </text>
    </comment>
    <comment ref="I6" authorId="0" shapeId="0" xr:uid="{9D26C184-AA9C-4BCF-9AEB-65E842091D54}">
      <text>
        <r>
          <rPr>
            <sz val="11"/>
            <color theme="1"/>
            <rFont val="Calibri"/>
            <family val="2"/>
            <scheme val="minor"/>
          </rPr>
          <t>======
ID#AAAA3QOSLuc
    (2023-08-21 05:40:07)
[Threaded comment]
Your version of Excel allows you to read this threaded comment; however, any edits to it will get removed if the file is opened in a newer version of Excel. Learn more: https://go.microsoft.com/fwlink/?linkid=870924
Comment:
    Untuk face milling,
w maksimum = D
Apabila lebar potong yang diinginkan melebihi nilai D, ulangi proses sampai diperoleh lebar potong yang diinginkan.
Contoh:
lebar potong diinginkan= 150 mm
lebar potong maksimum= 70 mm
Diperlukan proses:
1. Roughing 2x dengan lebar potong masing-masing 70 mm
2. Roughing 1x dengan lebar potong 10 mm.
Hal yang sama diterapkan untuk proses finishing.
Diperlukan setup positioning pahat untuk pengulangan proses akibat maximum width of cut.</t>
        </r>
      </text>
    </comment>
    <comment ref="J6" authorId="0" shapeId="0" xr:uid="{1911E181-EBEC-4D09-9CD8-178CCCE887B1}">
      <text>
        <r>
          <rPr>
            <sz val="11"/>
            <color theme="1"/>
            <rFont val="Calibri"/>
            <family val="2"/>
            <scheme val="minor"/>
          </rPr>
          <t>======
ID#AAAA3QOSLuM
    (2023-08-21 05:40:07)
[Threaded comment]
Your version of Excel allows you to read this threaded comment; however, any edits to it will get removed if the file is opened in a newer version of Excel. Learn more: https://go.microsoft.com/fwlink/?linkid=870924
Comment:
    Approach length
Contoh A untuk face milling:
Untuk w = D (centered),
A = D/2
Untuk w &lt; D (offset),
A = √[w(D-w)]</t>
        </r>
      </text>
    </comment>
    <comment ref="K6" authorId="0" shapeId="0" xr:uid="{F9C4A220-964F-4778-A5EC-19B5713248EE}">
      <text>
        <r>
          <rPr>
            <sz val="11"/>
            <color theme="1"/>
            <rFont val="Calibri"/>
            <family val="2"/>
            <scheme val="minor"/>
          </rPr>
          <t>======
ID#AAAA3QOSLuk
    (2023-08-21 05:40:07)
[Threaded comment]
Your version of Excel allows you to read this threaded comment; however, any edits to it will get removed if the file is opened in a newer version of Excel. Learn more: https://go.microsoft.com/fwlink/?linkid=870924
Comment:
    Apabila terdapat pengulangan proses, nilai Tm dikalikan dengan banyaknya proses.</t>
        </r>
      </text>
    </comment>
    <comment ref="N6" authorId="0" shapeId="0" xr:uid="{8A04F85D-F6B5-4B9D-B5D7-083C2FD42CF0}">
      <text>
        <r>
          <rPr>
            <sz val="11"/>
            <color theme="1"/>
            <rFont val="Calibri"/>
            <family val="2"/>
            <scheme val="minor"/>
          </rPr>
          <t>======
ID#AAAA3QOSLwU
    (2023-08-21 05:40:07)
[Threaded comment]
Your version of Excel allows you to read this threaded comment; however, any edits to it will get removed if the file is opened in a newer version of Excel. Learn more: https://go.microsoft.com/fwlink/?linkid=870924
Comment:
    Volume material sebelum dilakukan proses pemesinan tertentu
Volume Awal Proses ke n = Volume Akhir Proses ke n-1
Volume Awal Proses ke 1 = Volume Raw Material</t>
        </r>
      </text>
    </comment>
    <comment ref="O6" authorId="0" shapeId="0" xr:uid="{A49C9B8E-6B00-453B-AAF6-B44BC254A9C9}">
      <text>
        <r>
          <rPr>
            <sz val="11"/>
            <color theme="1"/>
            <rFont val="Calibri"/>
            <family val="2"/>
            <scheme val="minor"/>
          </rPr>
          <t>======
ID#AAAA3QOSLvA
    (2023-08-21 05:40:07)
[Threaded comment]
Your version of Excel allows you to read this threaded comment; however, any edits to it will get removed if the file is opened in a newer version of Excel. Learn more: https://go.microsoft.com/fwlink/?linkid=870924
Com ment:
    Hitung volume dari material yang terbuang pada suatu proses tertentu.
Apabila terdapat pengulangan proses, nilai scrap dikalikan dengan banyaknya proses.
Rumus pendekatan perhitungan scrap apabila scrap memiliki bentuk yang kompleks:
Scrap = Tm x MRR
Untuk milling, karena terdapat approach length yang tidak melakukan pembuangan material, maka:
Scrap = L/Fr x MRR
Gunakan fitur measuring pada Solidworks untuk mempermudah perhitungan area dan keliling dari face tertentu.
Praktikan diperbolehkan menggunakan fitur costing untuk menghitung scrap untuk proses tertentu.</t>
        </r>
      </text>
    </comment>
    <comment ref="P6" authorId="0" shapeId="0" xr:uid="{F74F4BD3-DC51-4226-944E-09BF9B24DD6A}">
      <text>
        <r>
          <rPr>
            <sz val="11"/>
            <color theme="1"/>
            <rFont val="Calibri"/>
            <family val="2"/>
            <scheme val="minor"/>
          </rPr>
          <t>======
ID#AAAA3QOSLvY
    (2023-08-21 05:40:07)
[Threaded comment]
Your version of Excel allows you to read this threaded comment; however, any edits to it will get removed if the file is opened in a newer version of Excel. Learn more: https://go.microsoft.com/fwlink/?linkid=870924
Comment:
    Persentase Scrap terhadap volume raw material</t>
        </r>
      </text>
    </comment>
    <comment ref="Q6" authorId="0" shapeId="0" xr:uid="{77AA73CE-372F-488C-8D7D-F7AB0B1408D3}">
      <text>
        <r>
          <rPr>
            <sz val="11"/>
            <color theme="1"/>
            <rFont val="Calibri"/>
            <family val="2"/>
            <scheme val="minor"/>
          </rPr>
          <t>======
ID#AAAA3QOSLvI
    (2023-08-21 05:40:07)
[Threaded comment]
Your version of Excel allows you to read this threaded comment; however, any edits to it will get removed if the file is opened in a newer version of Excel. Learn more: https://go.microsoft.com/fwlink/?linkid=870924
Comment:
    Volume material setelah dilakukan proses pemesinan
Volume Akhir = Volume Awal - Scrap</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
  </authors>
  <commentList>
    <comment ref="K1" authorId="0" shapeId="0" xr:uid="{9B0F1E0C-7E6C-46F0-A4A2-C7EC480F72E2}">
      <text>
        <r>
          <rPr>
            <sz val="11"/>
            <color theme="1"/>
            <rFont val="Calibri"/>
            <family val="2"/>
            <scheme val="minor"/>
          </rPr>
          <t>======
ID#AAAA3QOSLt4
    (2023-08-21 05:40:07)
Lampirkan gambar isometric part</t>
        </r>
      </text>
    </comment>
    <comment ref="A3" authorId="0" shapeId="0" xr:uid="{7EA738E4-6CF1-47E3-B887-FB2B39FD7C43}">
      <text>
        <r>
          <rPr>
            <sz val="11"/>
            <color theme="1"/>
            <rFont val="Calibri"/>
            <family val="2"/>
            <scheme val="minor"/>
          </rPr>
          <t>======
ID#AAAA3QOSLv0
    (2023-08-21 05:40:07)
Sesuai nomor part di drawing</t>
        </r>
      </text>
    </comment>
    <comment ref="E3" authorId="0" shapeId="0" xr:uid="{D2E01FD9-A0BB-4AB2-933F-EE83FCAAF38F}">
      <text>
        <r>
          <rPr>
            <sz val="11"/>
            <color theme="1"/>
            <rFont val="Calibri"/>
            <family val="2"/>
            <scheme val="minor"/>
          </rPr>
          <t>======
ID#AAAA3QOSLt8
    (2023-08-21 05:40:07)
Ditulis '1', kecuali terdapat lebih dari 1 halaman ketika dilampirkan di laporan</t>
        </r>
      </text>
    </comment>
    <comment ref="A4" authorId="0" shapeId="0" xr:uid="{FDA97795-36A3-4D3C-AD0E-C1D759E0CB2A}">
      <text>
        <r>
          <rPr>
            <sz val="11"/>
            <color theme="1"/>
            <rFont val="Calibri"/>
            <family val="2"/>
            <scheme val="minor"/>
          </rPr>
          <t>======
ID#AAAA3QOSLwA
    (2023-08-21 05:40:07)
Sesuai nomor di BOM yang dibuat praktikan</t>
        </r>
      </text>
    </comment>
    <comment ref="E5" authorId="0" shapeId="0" xr:uid="{B8E7BBF3-0E85-4EFE-ACC5-D62947FCCDE4}">
      <text>
        <r>
          <rPr>
            <sz val="11"/>
            <color theme="1"/>
            <rFont val="Calibri"/>
            <family val="2"/>
            <scheme val="minor"/>
          </rPr>
          <t>======
ID#AAAA3QOSLwI
tc={965D57F4-0DB2-4230-8C1A-6D58D3008C65}    (2023-08-21 05:40:07)
[Threaded comment]
Your version of Excel allows you to read this threaded comment; however, any edits to it will get removed if the file is opened in a newer version of Excel. Learn more: https://go.microsoft.com/fwlink/?linkid=870924
Comment:
    Material: Aluminium Alloy</t>
        </r>
      </text>
    </comment>
    <comment ref="E6" authorId="0" shapeId="0" xr:uid="{EA71315C-5948-4C02-A377-F81D5753EADD}">
      <text>
        <r>
          <rPr>
            <sz val="11"/>
            <color theme="1"/>
            <rFont val="Calibri"/>
            <family val="2"/>
            <scheme val="minor"/>
          </rPr>
          <t>======
ID#AAAA3QOSLuE
    (2023-08-21 05:40:07)
Diisi ukuran raw material yang digunakan beserta satuannya.
Jika ingin membuat LRP manual, maka bisa menggunakan fitur measuring pada SolidWorks untuk mengetahui panjang, lebar/diameter, dan tingginya</t>
        </r>
      </text>
    </comment>
    <comment ref="F6" authorId="0" shapeId="0" xr:uid="{B1EF660E-EEFC-442B-8F1E-238B58FF5D36}">
      <text>
        <r>
          <rPr>
            <sz val="11"/>
            <color theme="1"/>
            <rFont val="Calibri"/>
            <family val="2"/>
            <scheme val="minor"/>
          </rPr>
          <t>======
ID#AAAA3QOSLuY
    (2023-08-21 05:40:07)
Jika raw material berbentuk silinder, bagian panjang dapat diisi dengan tanda (-) dan hanya mengisi diameter serta tingginya</t>
        </r>
      </text>
    </comment>
    <comment ref="A7" authorId="0" shapeId="0" xr:uid="{3EA14461-414A-41C5-A734-1E79B7F21B56}">
      <text>
        <r>
          <rPr>
            <sz val="11"/>
            <color theme="1"/>
            <rFont val="Calibri"/>
            <family val="2"/>
            <scheme val="minor"/>
          </rPr>
          <t>======
ID#AAAA3QOSLv4
    (2023-08-21 05:40:07)
Diisi dengan nama kelompok.
Misal:
KelompokG00
KelompokC00</t>
        </r>
      </text>
    </comment>
    <comment ref="A8" authorId="0" shapeId="0" xr:uid="{4411B928-E3CB-401A-AA22-442A28B4A044}">
      <text>
        <r>
          <rPr>
            <sz val="11"/>
            <color theme="1"/>
            <rFont val="Calibri"/>
            <family val="2"/>
            <scheme val="minor"/>
          </rPr>
          <t>======
ID#AAAA3QOSLuo
    (2023-08-21 05:40:07)
Diisi tanggal saat pembuatan LRP</t>
        </r>
      </text>
    </comment>
    <comment ref="A10" authorId="0" shapeId="0" xr:uid="{F50F8E82-0BDD-4894-9A1A-8D79E1DCEF02}">
      <text>
        <r>
          <rPr>
            <sz val="11"/>
            <color theme="1"/>
            <rFont val="Calibri"/>
            <family val="2"/>
            <scheme val="minor"/>
          </rPr>
          <t>======
ID#AAAA3QOSLu4
    (2023-08-21 05:40:07)
Kalau ada pengulangan proses, jangan lupa nomor proses juga di skip.
Misal:
______________________________________________
No proses | Urutan Operasi
1                 | Drilling (D=..., d=...) (top side) 4x
5                 | Milling (L=..., d=...) w=... (top side)</t>
        </r>
      </text>
    </comment>
    <comment ref="B10" authorId="0" shapeId="0" xr:uid="{E40AB93A-EC4C-467E-9585-D3246B513F08}">
      <text>
        <r>
          <rPr>
            <sz val="11"/>
            <color theme="1"/>
            <rFont val="Calibri"/>
            <family val="2"/>
            <scheme val="minor"/>
          </rPr>
          <t>======
ID#AAAA3QOSLv8
    (2023-08-21 05:40:07)
Urutan operasi selalu diawali dengan pengukuran dan diakhiri dengan inspeksi.
Praktikan diperbolehkan untuk menggunakan fitur costing report, SolidCAM, dsb. untuk memperoleh referensi urutan operasi untuk beberapa part.</t>
        </r>
      </text>
    </comment>
    <comment ref="C10" authorId="0" shapeId="0" xr:uid="{5D63B833-85E5-42E5-99AD-08FAEF224F94}">
      <text>
        <r>
          <rPr>
            <sz val="11"/>
            <color theme="1"/>
            <rFont val="Calibri"/>
            <family val="2"/>
            <scheme val="minor"/>
          </rPr>
          <t>======
ID#AAAA3QOSLvw
    (2023-08-21 05:40:07)
Diisi dengan nama stasiun kerja (Misal: Pengukuran, Mesin Bubut, Mesin Drilling, Kerja Bangku, Mesin Press)</t>
        </r>
      </text>
    </comment>
    <comment ref="F10" authorId="0" shapeId="0" xr:uid="{89663B4E-B922-4D2E-A401-3F98B32CFA0A}">
      <text>
        <r>
          <rPr>
            <sz val="11"/>
            <color theme="1"/>
            <rFont val="Calibri"/>
            <family val="2"/>
            <scheme val="minor"/>
          </rPr>
          <t>======
ID#AAAA3QOSLuQ
    (2023-08-21 05:40:07)
Mesin Milling: HSS Milling Tool D = X mm
Mesin Drilling: HSS Center Drill D = X mm, HSS Tapping Drill D = X mm
Mesin Bubut: HSS Turning Tool atau TCT Turning Tool
Kerja Bangku untuk cutting (termasuk chamfering): Gerinda
Pengukuran: Mistar, meteran, jangka sorong, mikrometer sekrup, dll. sesuai kebutuhan
Praktikan diperbolehkan untuk mencari referensi tools lainnya.</t>
        </r>
      </text>
    </comment>
    <comment ref="G10" authorId="0" shapeId="0" xr:uid="{9A86B25E-58A7-4336-B114-E855255A8989}">
      <text>
        <r>
          <rPr>
            <sz val="11"/>
            <color theme="1"/>
            <rFont val="Calibri"/>
            <family val="2"/>
            <scheme val="minor"/>
          </rPr>
          <t>======
ID#AAAA3QOSLwQ
    (2023-08-21 05:40:07)
Ganti mesin: 60 detik
Ganti pahat: 60 detik
Positioning pahat: 30 detik
Positioning benda: 30 detik
Kerja bangku: 240 detik
Inspeksi: 0 detik
Pengukuran: 0 detik
Waktu setup kerja bangku untuk proses chamfering (linear) dan cutting dapat disatukan. (Misal terdapat proses chamfering sebanyak 8x, maka waktu setup = 240 detik, waktu proses = 0 detik)</t>
        </r>
      </text>
    </comment>
    <comment ref="H10" authorId="0" shapeId="0" xr:uid="{CB3DA192-2D83-47E3-B877-9CB813F3DBC1}">
      <text>
        <r>
          <rPr>
            <sz val="11"/>
            <color theme="1"/>
            <rFont val="Calibri"/>
            <family val="2"/>
            <scheme val="minor"/>
          </rPr>
          <t>======
ID#AAAA3QOSLu8
    (2023-08-21 05:40:07)
Link dari sheet perhitungan</t>
        </r>
      </text>
    </comment>
    <comment ref="I10" authorId="0" shapeId="0" xr:uid="{2A265812-03C3-4161-B3C3-83B1105B4C81}">
      <text>
        <r>
          <rPr>
            <sz val="11"/>
            <color theme="1"/>
            <rFont val="Calibri"/>
            <family val="2"/>
            <scheme val="minor"/>
          </rPr>
          <t>======
ID#AAAA3QOSLvk
    (2023-08-21 05:40:07)
Waktu total = Waktu setup + Waktu proses</t>
        </r>
      </text>
    </comment>
    <comment ref="D11" authorId="0" shapeId="0" xr:uid="{9DEAD7EA-F3EB-4C53-BA69-BAF06C2120CA}">
      <text>
        <r>
          <rPr>
            <sz val="11"/>
            <color theme="1"/>
            <rFont val="Calibri"/>
            <family val="2"/>
            <scheme val="minor"/>
          </rPr>
          <t>======
ID#AAAA3QOSLuA
    (2023-08-21 05:40:07)
Pengisian nomor setup prinsipnya sama dengan nomor proses.</t>
        </r>
      </text>
    </comment>
    <comment ref="E11" authorId="0" shapeId="0" xr:uid="{5EF3D39F-913D-4ED4-8E77-F40F6096CDB8}">
      <text>
        <r>
          <rPr>
            <sz val="11"/>
            <color theme="1"/>
            <rFont val="Calibri"/>
            <family val="2"/>
            <scheme val="minor"/>
          </rPr>
          <t>======
ID#AAAA3QOSLvs
    (2023-08-21 05:40:07)
Alat bantu diisi Ragum untuk seluruh proses pemesinan, kecuali mesin bubut gunakan Three Jaw Chuck atau Four Jaw Chuck.
Tidak diperlukan alat bantu untuk pengukuran dan inspeksi.</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
  </authors>
  <commentList>
    <comment ref="A5" authorId="0" shapeId="0" xr:uid="{A4A6FACE-BE1E-4D0B-BD95-F370146905B7}">
      <text>
        <r>
          <rPr>
            <sz val="11"/>
            <color theme="1"/>
            <rFont val="Calibri"/>
            <family val="2"/>
            <scheme val="minor"/>
          </rPr>
          <t>======
ID#AAAA3QOSLug
    (2023-08-21 05:40:07)
[Threaded comment]
Your version of Excel allows you to read this threaded comment; however, any edits to it will get removed if the file is opened in a newer version of Excel. Learn more: https://go.microsoft.com/fwlink/?linkid=870924
Comment:
    Diperlukan setup positioning pahat untuk pengulangan proses akibat maximum width of cut.</t>
        </r>
      </text>
    </comment>
    <comment ref="C6" authorId="0" shapeId="0" xr:uid="{50A476F4-E91B-41F6-AD6D-C1732B166654}">
      <text>
        <r>
          <rPr>
            <sz val="11"/>
            <color theme="1"/>
            <rFont val="Calibri"/>
            <family val="2"/>
            <scheme val="minor"/>
          </rPr>
          <t>======
ID#AAAA3QOSLvQ
    (2023-08-21 05:40:07)
[Threaded comment]
Your version of Excel allows you to read this threaded comment; however, any edits to it will get removed if the file is opened in a newer version of Excel. Learn more: https://go.microsoft.com/fwlink/?linkid=870924
Comment:
    Lihat referensi Kalpakjian untuk nilai diameter pahat.</t>
        </r>
      </text>
    </comment>
    <comment ref="D6" authorId="0" shapeId="0" xr:uid="{1BEBF2BC-04FB-4079-B149-A1DD0A1CB903}">
      <text>
        <r>
          <rPr>
            <sz val="11"/>
            <color theme="1"/>
            <rFont val="Calibri"/>
            <family val="2"/>
            <scheme val="minor"/>
          </rPr>
          <t>======
ID#AAAA3QOSLu0
    (2023-08-21 05:40:07)
[Threaded comment]
Your version of Excel allows you to read this threaded comment; however, any edits to it will get removed if the file is opened in a newer version of Excel. Learn more: https://go.microsoft.com/fwlink/?linkid=870924
Comment:
    Lihat referensi Kalpakjian untuk nilai maksimum kedalaman potong
Apabila kedalaman potong yang diinginkan melebihi nilai maksimum kedalaman potong, ulangi proses sampai diperoleh kedalaman potong yang diinginkan.
Contoh:
Kedalaman potong diinginkan= 12 mm
Kedalaman potong (roughing) maksimum= 5 mm
Kedalaman potong (finishing) maksimum= 0.5 mm
Maka diperlukan proses:
1. Roughing 2x dengan kedalaman potong masing-masing 5 mm
2. Roughing 1x dengan kedalaman potong 1.5 mm
3. Finishing 1x dengan kedalaman potong 0.5 mm</t>
        </r>
      </text>
    </comment>
    <comment ref="F6" authorId="0" shapeId="0" xr:uid="{34C0D9C1-5B8C-4B18-8D0E-A7C76CFB801E}">
      <text>
        <r>
          <rPr>
            <sz val="11"/>
            <color theme="1"/>
            <rFont val="Calibri"/>
            <family val="2"/>
            <scheme val="minor"/>
          </rPr>
          <t>======
ID#AAAA3QOSLwE
    (2023-08-21 05:40:07)
[Threaded comment]
Your version of Excel allows you to read this threaded comment; however, any edits to it will get removed if the file is opened in a newer version of Excel. Learn more: https://go.microsoft.com/fwlink/?linkid=870924
Comment:
    Lihat referensi Kalpakjian untuk nilai kecepatan potong</t>
        </r>
      </text>
    </comment>
    <comment ref="H6" authorId="0" shapeId="0" xr:uid="{16C90FDF-01C8-4A0A-9FE8-F13A6208D016}">
      <text>
        <r>
          <rPr>
            <sz val="11"/>
            <color theme="1"/>
            <rFont val="Calibri"/>
            <family val="2"/>
            <scheme val="minor"/>
          </rPr>
          <t>======
ID#AAAA3QOSLvM
    (2023-08-21 05:40:07)
[Threaded comment]
Your version of Excel allows you to read this threaded comment; however, any edits to it will get removed if the file is opened in a newer version of Excel. Learn more: https://go.microsoft.com/fwlink/?linkid=870924
Comment:
    Lihat referensi Kalpakjian untuk nilai feed rate</t>
        </r>
      </text>
    </comment>
    <comment ref="I6" authorId="0" shapeId="0" xr:uid="{AFD71DBE-3F68-4F49-92E5-86ADCEC9DB98}">
      <text>
        <r>
          <rPr>
            <sz val="11"/>
            <color theme="1"/>
            <rFont val="Calibri"/>
            <family val="2"/>
            <scheme val="minor"/>
          </rPr>
          <t>======
ID#AAAA3QOSLuc
    (2023-08-21 05:40:07)
[Threaded comment]
Your version of Excel allows you to read this threaded comment; however, any edits to it will get removed if the file is opened in a newer version of Excel. Learn more: https://go.microsoft.com/fwlink/?linkid=870924
Comment:
    Untuk face milling,
w maksimum = D
Apabila lebar potong yang diinginkan melebihi nilai D, ulangi proses sampai diperoleh lebar potong yang diinginkan.
Contoh:
lebar potong diinginkan= 150 mm
lebar potong maksimum= 70 mm
Diperlukan proses:
1. Roughing 2x dengan lebar potong masing-masing 70 mm
2. Roughing 1x dengan lebar potong 10 mm.
Hal yang sama diterapkan untuk proses finishing.
Diperlukan setup positioning pahat untuk pengulangan proses akibat maximum width of cut.</t>
        </r>
      </text>
    </comment>
    <comment ref="J6" authorId="0" shapeId="0" xr:uid="{F404EFF6-DDA5-4FC6-BC03-C3473CD35648}">
      <text>
        <r>
          <rPr>
            <sz val="11"/>
            <color theme="1"/>
            <rFont val="Calibri"/>
            <family val="2"/>
            <scheme val="minor"/>
          </rPr>
          <t>======
ID#AAAA3QOSLuM
    (2023-08-21 05:40:07)
[Threaded comment]
Your version of Excel allows you to read this threaded comment; however, any edits to it will get removed if the file is opened in a newer version of Excel. Learn more: https://go.microsoft.com/fwlink/?linkid=870924
Comment:
    Approach length
Contoh A untuk face milling:
Untuk w = D (centered),
A = D/2
Untuk w &lt; D (offset),
A = √[w(D-w)]</t>
        </r>
      </text>
    </comment>
    <comment ref="K6" authorId="0" shapeId="0" xr:uid="{C15A86E9-A40D-4C5C-9BB3-0471EE7CEDE6}">
      <text>
        <r>
          <rPr>
            <sz val="11"/>
            <color theme="1"/>
            <rFont val="Calibri"/>
            <family val="2"/>
            <scheme val="minor"/>
          </rPr>
          <t>======
ID#AAAA3QOSLuk
    (2023-08-21 05:40:07)
[Threaded comment]
Your version of Excel allows you to read this threaded comment; however, any edits to it will get removed if the file is opened in a newer version of Excel. Learn more: https://go.microsoft.com/fwlink/?linkid=870924
Comment:
    Apabila terdapat pengulangan proses, nilai Tm dikalikan dengan banyaknya proses.</t>
        </r>
      </text>
    </comment>
    <comment ref="N6" authorId="0" shapeId="0" xr:uid="{7A8252E5-DB2C-4339-8812-E45CD7002F3A}">
      <text>
        <r>
          <rPr>
            <sz val="11"/>
            <color theme="1"/>
            <rFont val="Calibri"/>
            <family val="2"/>
            <scheme val="minor"/>
          </rPr>
          <t>======
ID#AAAA3QOSLwU
    (2023-08-21 05:40:07)
[Threaded comment]
Your version of Excel allows you to read this threaded comment; however, any edits to it will get removed if the file is opened in a newer version of Excel. Learn more: https://go.microsoft.com/fwlink/?linkid=870924
Comment:
    Volume material sebelum dilakukan proses pemesinan tertentu
Volume Awal Proses ke n = Volume Akhir Proses ke n-1
Volume Awal Proses ke 1 = Volume Raw Material</t>
        </r>
      </text>
    </comment>
    <comment ref="O6" authorId="0" shapeId="0" xr:uid="{C114E514-B0A8-40A0-860D-63B4CACD74ED}">
      <text>
        <r>
          <rPr>
            <sz val="11"/>
            <color theme="1"/>
            <rFont val="Calibri"/>
            <family val="2"/>
            <scheme val="minor"/>
          </rPr>
          <t>======
ID#AAAA3QOSLvA
    (2023-08-21 05:40:07)
[Threaded comment]
Your version of Excel allows you to read this threaded comment; however, any edits to it will get removed if the file is opened in a newer version of Excel. Learn more: https://go.microsoft.com/fwlink/?linkid=870924
Com ment:
    Hitung volume dari material yang terbuang pada suatu proses tertentu.
Apabila terdapat pengulangan proses, nilai scrap dikalikan dengan banyaknya proses.
Rumus pendekatan perhitungan scrap apabila scrap memiliki bentuk yang kompleks:
Scrap = Tm x MRR
Untuk milling, karena terdapat approach length yang tidak melakukan pembuangan material, maka:
Scrap = L/Fr x MRR
Gunakan fitur measuring pada Solidworks untuk mempermudah perhitungan area dan keliling dari face tertentu.
Praktikan diperbolehkan menggunakan fitur costing untuk menghitung scrap untuk proses tertentu.</t>
        </r>
      </text>
    </comment>
    <comment ref="P6" authorId="0" shapeId="0" xr:uid="{8579C7AB-7298-412D-9226-3FC83F2DE1B9}">
      <text>
        <r>
          <rPr>
            <sz val="11"/>
            <color theme="1"/>
            <rFont val="Calibri"/>
            <family val="2"/>
            <scheme val="minor"/>
          </rPr>
          <t>======
ID#AAAA3QOSLvY
    (2023-08-21 05:40:07)
[Threaded comment]
Your version of Excel allows you to read this threaded comment; however, any edits to it will get removed if the file is opened in a newer version of Excel. Learn more: https://go.microsoft.com/fwlink/?linkid=870924
Comment:
    Persentase Scrap terhadap volume raw material</t>
        </r>
      </text>
    </comment>
    <comment ref="Q6" authorId="0" shapeId="0" xr:uid="{2EA7A438-296C-43A8-B8EF-DCA742363113}">
      <text>
        <r>
          <rPr>
            <sz val="11"/>
            <color theme="1"/>
            <rFont val="Calibri"/>
            <family val="2"/>
            <scheme val="minor"/>
          </rPr>
          <t xml:space="preserve">======
ID#AAAA3QOSLvI
    (2023-08-21 05:40:07)
[Threaded comment]
Your version of Excel allows you to read this threaded comment; however, any edits to it will get removed if the file is opened in a newer version of Excel. Learn more: https://go.microsoft.com/fwlink/?linkid=870924
Comment:
    Volume material setelah dilakukan proses pemesinan
Volume Akhir = Volume Awal - Scrap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
    <author>Made Wisnu</author>
  </authors>
  <commentList>
    <comment ref="K1" authorId="0" shapeId="0" xr:uid="{CB0B2EF3-31DA-4A6A-9E60-2F341EA6FA08}">
      <text>
        <r>
          <rPr>
            <sz val="11"/>
            <color theme="1"/>
            <rFont val="Calibri"/>
            <family val="2"/>
            <scheme val="minor"/>
          </rPr>
          <t>======
ID#AAAA3QOSLt4
    (2023-08-21 05:40:07)
Lampirkan gambar isometric part</t>
        </r>
      </text>
    </comment>
    <comment ref="A3" authorId="0" shapeId="0" xr:uid="{57CACFA0-BE66-4C96-8606-01DCC22E6360}">
      <text>
        <r>
          <rPr>
            <sz val="11"/>
            <color theme="1"/>
            <rFont val="Calibri"/>
            <family val="2"/>
            <scheme val="minor"/>
          </rPr>
          <t>Sesuai nomor part di drawing</t>
        </r>
      </text>
    </comment>
    <comment ref="E3" authorId="0" shapeId="0" xr:uid="{99EE14EE-937B-419D-9131-8830DAF456F5}">
      <text>
        <r>
          <rPr>
            <sz val="11"/>
            <color theme="1"/>
            <rFont val="Calibri"/>
            <family val="2"/>
            <scheme val="minor"/>
          </rPr>
          <t>Ditulis '1', kecuali terdapat lebih dari 1 halaman ketika dilampirkan di laporan</t>
        </r>
      </text>
    </comment>
    <comment ref="A4" authorId="0" shapeId="0" xr:uid="{B0AB4EDF-972C-47D1-A8FC-26CF3DC0CE8D}">
      <text>
        <r>
          <rPr>
            <sz val="11"/>
            <color theme="1"/>
            <rFont val="Calibri"/>
            <family val="2"/>
            <scheme val="minor"/>
          </rPr>
          <t>======
ID#AAAA3QOSLwA
Sesuai nomor di BOM yang dibuat praktikan</t>
        </r>
      </text>
    </comment>
    <comment ref="E5" authorId="0" shapeId="0" xr:uid="{CAD3D6F5-FA02-4BF2-8EE1-67F0D2DF690E}">
      <text>
        <r>
          <rPr>
            <sz val="11"/>
            <color theme="1"/>
            <rFont val="Calibri"/>
            <family val="2"/>
            <scheme val="minor"/>
          </rPr>
          <t>Sesuaikan dengan yang di Solidworks</t>
        </r>
      </text>
    </comment>
    <comment ref="E6" authorId="0" shapeId="0" xr:uid="{C9D186FF-E5EF-4F48-828A-BD2A5F247DE2}">
      <text>
        <r>
          <rPr>
            <sz val="11"/>
            <color theme="1"/>
            <rFont val="Calibri"/>
            <family val="2"/>
            <scheme val="minor"/>
          </rPr>
          <t>Diisi ukuran raw material yang digunakan beserta satuannya.
Bisa menggunakan fitur measuring pada SolidWorks untuk mengetahui panjang, lebar/diameter, dan tingginya</t>
        </r>
      </text>
    </comment>
    <comment ref="F6" authorId="0" shapeId="0" xr:uid="{0BC27162-624A-4C12-A502-8E5D50FD4CE5}">
      <text>
        <r>
          <rPr>
            <sz val="11"/>
            <color theme="1"/>
            <rFont val="Calibri"/>
            <family val="2"/>
            <scheme val="minor"/>
          </rPr>
          <t>Jika raw material berbentuk silinder, bagian panjang dapat diisi dengan tanda (-) dan hanya mengisi diameter serta tingginya</t>
        </r>
      </text>
    </comment>
    <comment ref="A7" authorId="0" shapeId="0" xr:uid="{949C49CA-EF8A-4982-92BB-78B0FBEB2795}">
      <text>
        <r>
          <rPr>
            <sz val="11"/>
            <color theme="1"/>
            <rFont val="Calibri"/>
            <family val="2"/>
            <scheme val="minor"/>
          </rPr>
          <t>Diisi dengan nama kelompok.
Misal:
KelompokG00
KelompokC00</t>
        </r>
      </text>
    </comment>
    <comment ref="A8" authorId="0" shapeId="0" xr:uid="{8A6C19D4-FD78-43F7-834D-155916BB11CC}">
      <text>
        <r>
          <rPr>
            <sz val="11"/>
            <color theme="1"/>
            <rFont val="Calibri"/>
            <family val="2"/>
            <scheme val="minor"/>
          </rPr>
          <t>Diisi tanggal saat pembuatan LRP</t>
        </r>
      </text>
    </comment>
    <comment ref="A10" authorId="0" shapeId="0" xr:uid="{9FD18E90-ADA7-4D04-A9A4-2E69EC8068ED}">
      <text>
        <r>
          <rPr>
            <sz val="11"/>
            <color theme="1"/>
            <rFont val="Calibri"/>
            <family val="2"/>
            <scheme val="minor"/>
          </rPr>
          <t>Kalau ada pengulangan proses, jangan lupa nomor proses juga di skip.
Misal:
______________________________________________
No proses | Urutan Operasi
1                 | Drilling (D=..., d=...) (top side) 4x
5                 | Milling (L=..., d=...) w=... (top side)</t>
        </r>
      </text>
    </comment>
    <comment ref="B10" authorId="0" shapeId="0" xr:uid="{9AB29996-EE8D-4C0C-8795-E116731C0885}">
      <text>
        <r>
          <rPr>
            <sz val="11"/>
            <color theme="1"/>
            <rFont val="Calibri"/>
            <family val="2"/>
            <scheme val="minor"/>
          </rPr>
          <t>Urutan operasi selalu diawali dengan pengukuran dan diakhiri dengan inspeksi.
Praktikan diperbolehkan untuk menggunakan fitur costing report, SolidCAM, dsb. untuk memperoleh referensi urutan operasi untuk beberapa part.</t>
        </r>
      </text>
    </comment>
    <comment ref="C10" authorId="0" shapeId="0" xr:uid="{FC83CE7C-49F5-4524-AE87-746F543D9ACE}">
      <text>
        <r>
          <rPr>
            <sz val="11"/>
            <color theme="1"/>
            <rFont val="Calibri"/>
            <family val="2"/>
            <scheme val="minor"/>
          </rPr>
          <t>Diisi dengan nama stasiun kerja (Misal: Pengukuran, Mesin Bubut, Mesin Drilling, Kerja Bangku, Mesin Press)</t>
        </r>
      </text>
    </comment>
    <comment ref="F10" authorId="0" shapeId="0" xr:uid="{2520D7B6-E4D4-48C1-8D78-8F78BB341CAF}">
      <text>
        <r>
          <rPr>
            <sz val="11"/>
            <color theme="1"/>
            <rFont val="Calibri"/>
            <family val="2"/>
            <scheme val="minor"/>
          </rPr>
          <t>Mesin Milling: HSS Milling Tool D = X mm
Mesin Drilling: HSS Center Drill D = X mm, HSS Tapping Drill D = X mm
Mesin Bubut: HSS Turning Tool atau TCT Turning Tool
Kerja Bangku untuk cutting (termasuk chamfering): Gerinda
Pengukuran: Mistar, meteran, jangka sorong, mikrometer sekrup, dll. sesuai kebutuhan
Praktikan diperbolehkan untuk mencari referensi tools lainnya.</t>
        </r>
      </text>
    </comment>
    <comment ref="G10" authorId="0" shapeId="0" xr:uid="{4BF32C2B-CAEE-4052-8C56-56E228269D10}">
      <text>
        <r>
          <rPr>
            <sz val="11"/>
            <color theme="1"/>
            <rFont val="Calibri"/>
            <family val="2"/>
            <scheme val="minor"/>
          </rPr>
          <t>Ganti mesin: 60 detik
Ganti pahat: 60 detik
Positioning pahat: 30 detik
Positioning benda: 30 detik
Kerja bangku: 240 detik
Inspeksi: 0 detik
Pengukuran: 0 detik
Waktu setup kerja bangku untuk proses chamfering (linear) dan cutting dapat disatukan. (Misal terdapat proses chamfering sebanyak 8x, maka waktu setup = 240 detik, waktu proses = 0 detik)</t>
        </r>
      </text>
    </comment>
    <comment ref="H10" authorId="0" shapeId="0" xr:uid="{951A2C58-EFC2-4851-9376-14055CE3AE8A}">
      <text>
        <r>
          <rPr>
            <sz val="11"/>
            <color theme="1"/>
            <rFont val="Calibri"/>
            <family val="2"/>
            <scheme val="minor"/>
          </rPr>
          <t>Link dari sheet perhitungan</t>
        </r>
      </text>
    </comment>
    <comment ref="I10" authorId="0" shapeId="0" xr:uid="{7B70032C-C158-439E-BEA8-FF3D1F3C3C1C}">
      <text>
        <r>
          <rPr>
            <sz val="11"/>
            <color theme="1"/>
            <rFont val="Calibri"/>
            <family val="2"/>
            <scheme val="minor"/>
          </rPr>
          <t>Waktu total = Waktu setup + Waktu proses</t>
        </r>
      </text>
    </comment>
    <comment ref="D11" authorId="0" shapeId="0" xr:uid="{0B0DC06D-F0EB-4248-81EF-EBBECB9C67BB}">
      <text>
        <r>
          <rPr>
            <sz val="11"/>
            <color theme="1"/>
            <rFont val="Calibri"/>
            <family val="2"/>
            <scheme val="minor"/>
          </rPr>
          <t>Pengisian nomor setup prinsipnya sama dengan nomor proses.</t>
        </r>
      </text>
    </comment>
    <comment ref="E11" authorId="0" shapeId="0" xr:uid="{EF116352-19DE-4064-BC63-968D7DEF3AFA}">
      <text>
        <r>
          <rPr>
            <sz val="11"/>
            <color theme="1"/>
            <rFont val="Calibri"/>
            <family val="2"/>
            <scheme val="minor"/>
          </rPr>
          <t>Alat bantu diisi Ragum untuk seluruh proses pemesinan, kecuali mesin bubut gunakan Three Jaw Chuck atau Four Jaw Chuck.
Tidak diperlukan alat bantu untuk pengukuran dan inspeksi.</t>
        </r>
      </text>
    </comment>
    <comment ref="B13" authorId="1" shapeId="0" xr:uid="{F6076977-3485-44DA-8A01-220E8D0C3448}">
      <text>
        <r>
          <rPr>
            <sz val="9"/>
            <color indexed="81"/>
            <rFont val="Tahoma"/>
            <family val="2"/>
          </rPr>
          <t xml:space="preserve">mengikis permukaan sehingga muncul 3 persegi yang menonjol </t>
        </r>
      </text>
    </comment>
    <comment ref="B14" authorId="1" shapeId="0" xr:uid="{FF24B473-AD47-494E-A632-C8C70F5ADBDB}">
      <text>
        <r>
          <rPr>
            <sz val="9"/>
            <color indexed="81"/>
            <rFont val="Tahoma"/>
            <family val="2"/>
          </rPr>
          <t xml:space="preserve">mengikis permukaan sehingga muncul 3 persegi yang menonjol </t>
        </r>
      </text>
    </comment>
    <comment ref="B19" authorId="1" shapeId="0" xr:uid="{72AFD5C2-678F-40D3-B6BB-EA99191A60F1}">
      <text>
        <r>
          <rPr>
            <sz val="9"/>
            <color indexed="81"/>
            <rFont val="Tahoma"/>
            <family val="2"/>
          </rPr>
          <t>melubangi 6 persegi yang menonjol pada produk</t>
        </r>
      </text>
    </comment>
    <comment ref="B20" authorId="1" shapeId="0" xr:uid="{BB00A415-C582-470D-B228-1B2F2413F01E}">
      <text>
        <r>
          <rPr>
            <sz val="9"/>
            <color indexed="81"/>
            <rFont val="Tahoma"/>
            <family val="2"/>
          </rPr>
          <t>melubangi bagian tengah produk</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
    <author>heri.haruman</author>
    <author>Shelfa Angelyn</author>
  </authors>
  <commentList>
    <comment ref="A5" authorId="0" shapeId="0" xr:uid="{50FA3156-8321-4A58-B306-1C3BD8BD5319}">
      <text>
        <r>
          <rPr>
            <sz val="11"/>
            <color theme="1"/>
            <rFont val="Calibri"/>
            <family val="2"/>
            <scheme val="minor"/>
          </rPr>
          <t>======
ID#AAAA3QOSLug
    (2023-08-21 05:40:07)
[Threaded comment]
Your version of Excel allows you to read this threaded comment; however, any edits to it will get removed if the file is opened in a newer version of Excel. Learn more: https://go.microsoft.com/fwlink/?linkid=870924
Comment:
    Diperlukan setup positioning pahat untuk pengulangan proses akibat maximum width of cut.</t>
        </r>
      </text>
    </comment>
    <comment ref="C6" authorId="0" shapeId="0" xr:uid="{6C6DF046-D453-4D8E-9131-DAB000EB16E8}">
      <text>
        <r>
          <rPr>
            <sz val="11"/>
            <color theme="1"/>
            <rFont val="Calibri"/>
            <family val="2"/>
            <scheme val="minor"/>
          </rPr>
          <t>======
ID#AAAA3QOSLvQ
    (2023-08-21 05:40:07)
[Threaded comment]
Your version of Excel allows you to read this threaded comment; however, any edits to it will get removed if the file is opened in a newer version of Excel. Learn more: https://go.microsoft.com/fwlink/?linkid=870924
Comment:
    Lihat referensi Kalpakjian untuk nilai diameter pahat.</t>
        </r>
      </text>
    </comment>
    <comment ref="D6" authorId="0" shapeId="0" xr:uid="{8227AF52-02D2-4EEA-9C8F-61AE7F8D4880}">
      <text>
        <r>
          <rPr>
            <sz val="11"/>
            <color theme="1"/>
            <rFont val="Calibri"/>
            <family val="2"/>
            <scheme val="minor"/>
          </rPr>
          <t>======
ID#AAAA3QOSLu0
    (2023-08-21 05:40:07)
[Threaded comment]
Your version of Excel allows you to read this threaded comment; however, any edits to it will get removed if the file is opened in a newer version of Excel. Learn more: https://go.microsoft.com/fwlink/?linkid=870924
Comment:
    Lihat referensi Kalpakjian untuk nilai maksimum kedalaman potong
Apabila kedalaman potong yang diinginkan melebihi nilai maksimum kedalaman potong, ulangi proses sampai diperoleh kedalaman potong yang diinginkan.
Contoh:
Kedalaman potong diinginkan= 12 mm
Kedalaman potong (roughing) maksimum= 5 mm
Kedalaman potong (finishing) maksimum= 0.5 mm
Maka diperlukan proses:
1. Roughing 2x dengan kedalaman potong masing-masing 5 mm
2. Roughing 1x dengan kedalaman potong 1.5 mm
3. Finishing 1x dengan kedalaman potong 0.5 mm</t>
        </r>
      </text>
    </comment>
    <comment ref="F6" authorId="0" shapeId="0" xr:uid="{FA026453-2E36-4FED-9040-8E596E2BA686}">
      <text>
        <r>
          <rPr>
            <sz val="11"/>
            <color theme="1"/>
            <rFont val="Calibri"/>
            <family val="2"/>
            <scheme val="minor"/>
          </rPr>
          <t>======
ID#AAAA3QOSLwE
    (2023-08-21 05:40:07)
[Threaded comment]
Your version of Excel allows you to read this threaded comment; however, any edits to it will get removed if the file is opened in a newer version of Excel. Learn more: https://go.microsoft.com/fwlink/?linkid=870924
Comment:
    Lihat referensi Kalpakjian untuk nilai kecepatan potong</t>
        </r>
      </text>
    </comment>
    <comment ref="H6" authorId="0" shapeId="0" xr:uid="{6F2337B5-07CA-4948-BD00-B54DB002EF74}">
      <text>
        <r>
          <rPr>
            <sz val="11"/>
            <color theme="1"/>
            <rFont val="Calibri"/>
            <family val="2"/>
            <scheme val="minor"/>
          </rPr>
          <t>======
ID#AAAA3QOSLvM
    (2023-08-21 05:40:07)
[Threaded comment]
Your version of Excel allows you to read this threaded comment; however, any edits to it will get removed if the file is opened in a newer version of Excel. Learn more: https://go.microsoft.com/fwlink/?linkid=870924
Comment:
    Lihat referensi Kalpakjian untuk nilai feed rate</t>
        </r>
      </text>
    </comment>
    <comment ref="I6" authorId="0" shapeId="0" xr:uid="{4E10078A-E5EE-4748-BC97-6186F540CBBC}">
      <text>
        <r>
          <rPr>
            <sz val="11"/>
            <color theme="1"/>
            <rFont val="Calibri"/>
            <family val="2"/>
            <scheme val="minor"/>
          </rPr>
          <t>======
ID#AAAA3QOSLuc
    (2023-08-21 05:40:07)
[Threaded comment]
Your version of Excel allows you to read this threaded comment; however, any edits to it will get removed if the file is opened in a newer version of Excel. Learn more: https://go.microsoft.com/fwlink/?linkid=870924
Comment:
    Untuk face milling,
w maksimum = D
Apabila lebar potong yang diinginkan melebihi nilai D, ulangi proses sampai diperoleh lebar potong yang diinginkan.
Contoh:
lebar potong diinginkan= 150 mm
lebar potong maksimum= 70 mm
Diperlukan proses:
1. Roughing 2x dengan lebar potong masing-masing 70 mm
2. Roughing 1x dengan lebar potong 10 mm.
Hal yang sama diterapkan untuk proses finishing.
Diperlukan setup positioning pahat untuk pengulangan proses akibat maximum width of cut.</t>
        </r>
      </text>
    </comment>
    <comment ref="J6" authorId="0" shapeId="0" xr:uid="{1295E79E-351A-4A12-9697-43D763EBF5D1}">
      <text>
        <r>
          <rPr>
            <sz val="11"/>
            <color theme="1"/>
            <rFont val="Calibri"/>
            <family val="2"/>
            <scheme val="minor"/>
          </rPr>
          <t>======
ID#AAAA3QOSLuM
    (2023-08-21 05:40:07)
[Threaded comment]
Your version of Excel allows you to read this threaded comment; however, any edits to it will get removed if the file is opened in a newer version of Excel. Learn more: https://go.microsoft.com/fwlink/?linkid=870924
Comment:
    Approach length
Contoh A untuk face milling:
Untuk w = D (centered),
A = D/2
Untuk w &lt; D (offset),
A = √[w(D-w)]</t>
        </r>
      </text>
    </comment>
    <comment ref="K6" authorId="0" shapeId="0" xr:uid="{32BF939F-BDAC-47A9-BDA9-E161481A1E8E}">
      <text>
        <r>
          <rPr>
            <sz val="11"/>
            <color theme="1"/>
            <rFont val="Calibri"/>
            <family val="2"/>
            <scheme val="minor"/>
          </rPr>
          <t>======
ID#AAAA3QOSLuk
    (2023-08-21 05:40:07)
[Threaded comment]
Your version of Excel allows you to read this threaded comment; however, any edits to it will get removed if the file is opened in a newer version of Excel. Learn more: https://go.microsoft.com/fwlink/?linkid=870924
Comment:
    Apabila terdapat pengulangan proses, nilai Tm dikalikan dengan banyaknya proses.</t>
        </r>
      </text>
    </comment>
    <comment ref="N6" authorId="0" shapeId="0" xr:uid="{88947B40-461F-47C1-8039-CD2543373DDA}">
      <text>
        <r>
          <rPr>
            <sz val="11"/>
            <color theme="1"/>
            <rFont val="Calibri"/>
            <family val="2"/>
            <scheme val="minor"/>
          </rPr>
          <t>======
ID#AAAA3QOSLwU
    (2023-08-21 05:40:07)
[Threaded comment]
Your version of Excel allows you to read this threaded comment; however, any edits to it will get removed if the file is opened in a newer version of Excel. Learn more: https://go.microsoft.com/fwlink/?linkid=870924
Comment:
    Volume material sebelum dilakukan proses pemesinan tertentu
Volume Awal Proses ke n = Volume Akhir Proses ke n-1
Volume Awal Proses ke 1 = Volume Raw Material</t>
        </r>
      </text>
    </comment>
    <comment ref="O6" authorId="0" shapeId="0" xr:uid="{B977424D-6B77-46C5-AD8A-37981A2871B9}">
      <text>
        <r>
          <rPr>
            <sz val="11"/>
            <color theme="1"/>
            <rFont val="Calibri"/>
            <family val="2"/>
            <scheme val="minor"/>
          </rPr>
          <t>======
ID#AAAA3QOSLvA
    (2023-08-21 05:40:07)
[Threaded comment]
Your version of Excel allows you to read this threaded comment; however, any edits to it will get removed if the file is opened in a newer version of Excel. Learn more: https://go.microsoft.com/fwlink/?linkid=870924
Com ment:
    Hitung volume dari material yang terbuang pada suatu proses tertentu.
Apabila terdapat pengulangan proses, nilai scrap dikalikan dengan banyaknya proses.
Rumus pendekatan perhitungan scrap apabila scrap memiliki bentuk yang kompleks:
Scrap = Tm x MRR
Untuk milling, karena terdapat approach length yang tidak melakukan pembuangan material, maka:
Scrap = L/Fr x MRR
Gunakan fitur measuring pada Solidworks untuk mempermudah perhitungan area dan keliling dari face tertentu.
Praktikan diperbolehkan menggunakan fitur costing untuk menghitung scrap untuk proses tertentu.</t>
        </r>
      </text>
    </comment>
    <comment ref="P6" authorId="0" shapeId="0" xr:uid="{CB1043CC-DC01-4B12-9E95-37035D87AF50}">
      <text>
        <r>
          <rPr>
            <sz val="11"/>
            <color theme="1"/>
            <rFont val="Calibri"/>
            <family val="2"/>
            <scheme val="minor"/>
          </rPr>
          <t>======
ID#AAAA3QOSLvY
    (2023-08-21 05:40:07)
[Threaded comment]
Your version of Excel allows you to read this threaded comment; however, any edits to it will get removed if the file is opened in a newer version of Excel. Learn more: https://go.microsoft.com/fwlink/?linkid=870924
Comment:
    Persentase Scrap terhadap volume raw material</t>
        </r>
      </text>
    </comment>
    <comment ref="Q6" authorId="0" shapeId="0" xr:uid="{8547E04A-1FB6-43F3-9259-809D4545AAEA}">
      <text>
        <r>
          <rPr>
            <sz val="11"/>
            <color theme="1"/>
            <rFont val="Calibri"/>
            <family val="2"/>
            <scheme val="minor"/>
          </rPr>
          <t>======
ID#AAAA3QOSLvI
    (2023-08-21 05:40:07)
[Threaded comment]
Your version of Excel allows you to read this threaded comment; however, any edits to it will get removed if the file is opened in a newer version of Excel. Learn more: https://go.microsoft.com/fwlink/?linkid=870924
Comment:
    Volume material setelah dilakukan proses pemesinan
Volume Akhir = Volume Awal - Scrap</t>
        </r>
      </text>
    </comment>
    <comment ref="B7" authorId="1" shapeId="0" xr:uid="{71079B69-2065-4E7F-9EAD-904114E67A53}">
      <text>
        <r>
          <rPr>
            <sz val="9"/>
            <color indexed="81"/>
            <rFont val="Tahoma"/>
            <family val="2"/>
          </rPr>
          <t>Operasi memotong bagian lengkungan sisi kanan dengan diameter awal 44 mm dan diameter akhir 20 mm. Derajat busur adalah 99,13 derajat.</t>
        </r>
      </text>
    </comment>
    <comment ref="F16" authorId="0" shapeId="0" xr:uid="{BBB9CFF0-544D-48D1-A2FD-09FC8EAC2995}">
      <text>
        <r>
          <rPr>
            <sz val="11"/>
            <color theme="1"/>
            <rFont val="Calibri"/>
            <family val="2"/>
            <scheme val="minor"/>
          </rPr>
          <t>======
ID#AAAA3QOSLvU
    (2023-08-21 05:40:07)
[Threaded comment]
Your version of Excel allows you to read this threaded comment; however, any edits to it will get removed if the file is opened in a newer version of Excel. Learn more: https://go.microsoft.com/fwlink/?linkid=870924
Comment:
    Depth of cut maksimum dari proses pembubutan umumnya sampai lima kali dari nilai f.
Lakukan pengulangan proses apabila kedalaman yang diinginkan melebihi nilai depth of cut maksimum.</t>
        </r>
      </text>
    </comment>
    <comment ref="H16" authorId="0" shapeId="0" xr:uid="{A72760CB-71AD-494D-8BD2-EAE7608BA78C}">
      <text>
        <r>
          <rPr>
            <sz val="11"/>
            <color theme="1"/>
            <rFont val="Calibri"/>
            <family val="2"/>
            <scheme val="minor"/>
          </rPr>
          <t>======
ID#AAAA3QOSLvE
    (2023-08-21 05:40:07)
[Threaded comment]
Your version of Excel allows you to read this threaded comment; however, any edits to it will get removed if the file is opened in a newer version of Excel. Learn more: https://go.microsoft.com/fwlink/?linkid=870924
Comment:
    Lihat referensi Kalpakjian untuk nilai f</t>
        </r>
      </text>
    </comment>
    <comment ref="I16" authorId="0" shapeId="0" xr:uid="{148D718E-B838-48B0-AA7A-6B250CB59B2E}">
      <text>
        <r>
          <rPr>
            <sz val="11"/>
            <color theme="1"/>
            <rFont val="Calibri"/>
            <family val="2"/>
            <scheme val="minor"/>
          </rPr>
          <t xml:space="preserve">======
ID#AAAA3QOSLvc
    (2023-08-21 05:40:07)
[Threaded comment]
Your version of Excel allows you to read this threaded comment; however, any edits to it will get removed if the file is opened in a newer version of Excel. Learn more: https://go.microsoft.com/fwlink/?linkid=870924
Comment:
    Lihat referensi Kalpakjian untuk nilai cutting speed
</t>
        </r>
      </text>
    </comment>
    <comment ref="B17" authorId="1" shapeId="0" xr:uid="{A25158A8-C501-4DDA-AE65-2A04E91D273E}">
      <text>
        <r>
          <rPr>
            <sz val="9"/>
            <color indexed="81"/>
            <rFont val="Tahoma"/>
            <family val="2"/>
          </rPr>
          <t>Operasi mereduksi diameter raw material dari 46 mm ke 44 mm</t>
        </r>
      </text>
    </comment>
    <comment ref="B24" authorId="1" shapeId="0" xr:uid="{9501247B-2EEB-4809-9945-11234D71E5C4}">
      <text>
        <r>
          <rPr>
            <sz val="9"/>
            <color indexed="81"/>
            <rFont val="Tahoma"/>
            <family val="2"/>
          </rPr>
          <t>Operasi membuat lubang pada bagian tengah part dengan diameter 14 mm</t>
        </r>
      </text>
    </comment>
    <comment ref="B25" authorId="2" shapeId="0" xr:uid="{C1EBD8E8-133C-40E8-970F-BA85FDCA6B3C}">
      <text>
        <r>
          <rPr>
            <sz val="9"/>
            <color indexed="81"/>
            <rFont val="Tahoma"/>
            <family val="2"/>
          </rPr>
          <t>Operasi membuat lubang pada bagian samping part dengan diameter 7 mm sebanyak tiga buah.</t>
        </r>
      </text>
    </comment>
    <comment ref="B26" authorId="1" shapeId="0" xr:uid="{31A95FC2-8407-4D93-8ECB-1AE8E04ABD55}">
      <text>
        <r>
          <rPr>
            <sz val="9"/>
            <color indexed="81"/>
            <rFont val="Tahoma"/>
            <family val="2"/>
          </rPr>
          <t>Operasi pembuatan lubang dengan ulir untuk fastener</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
    <author>Made Wisnu</author>
  </authors>
  <commentList>
    <comment ref="K1" authorId="0" shapeId="0" xr:uid="{23DDF609-C10A-4400-86F8-1D830946B71E}">
      <text>
        <r>
          <rPr>
            <sz val="11"/>
            <color theme="1"/>
            <rFont val="Calibri"/>
            <family val="2"/>
            <scheme val="minor"/>
          </rPr>
          <t>======
ID#AAAA3QOSLt4
    (2023-08-21 05:40:07)
Lampirkan gambar isometric part</t>
        </r>
      </text>
    </comment>
    <comment ref="A3" authorId="0" shapeId="0" xr:uid="{6B1B1A76-DED7-4E34-B9FC-BF464D299756}">
      <text>
        <r>
          <rPr>
            <sz val="11"/>
            <color theme="1"/>
            <rFont val="Calibri"/>
            <family val="2"/>
            <scheme val="minor"/>
          </rPr>
          <t>Sesuai nomor part di drawing</t>
        </r>
      </text>
    </comment>
    <comment ref="E3" authorId="0" shapeId="0" xr:uid="{A5713D69-B341-4F6B-B11C-0A06C3609BB4}">
      <text>
        <r>
          <rPr>
            <sz val="11"/>
            <color theme="1"/>
            <rFont val="Calibri"/>
            <family val="2"/>
            <scheme val="minor"/>
          </rPr>
          <t>Ditulis '1', kecuali terdapat lebih dari 1 halaman ketika dilampirkan di laporan</t>
        </r>
      </text>
    </comment>
    <comment ref="A4" authorId="0" shapeId="0" xr:uid="{85EDC764-1D14-4F2A-9055-759A7573CE2F}">
      <text>
        <r>
          <rPr>
            <sz val="11"/>
            <color theme="1"/>
            <rFont val="Calibri"/>
            <family val="2"/>
            <scheme val="minor"/>
          </rPr>
          <t>======
ID#AAAA3QOSLwA
Sesuai nomor di BOM yang dibuat praktikan</t>
        </r>
      </text>
    </comment>
    <comment ref="E5" authorId="0" shapeId="0" xr:uid="{8BDA688F-DCE1-4746-A06F-CE671C883EC1}">
      <text>
        <r>
          <rPr>
            <sz val="11"/>
            <color theme="1"/>
            <rFont val="Calibri"/>
            <family val="2"/>
            <scheme val="minor"/>
          </rPr>
          <t>Sesuaikan dengan yang di Solidworks</t>
        </r>
      </text>
    </comment>
    <comment ref="E6" authorId="0" shapeId="0" xr:uid="{F5718EFC-9C8C-4D45-B5E6-3CDB95D94005}">
      <text>
        <r>
          <rPr>
            <sz val="11"/>
            <color theme="1"/>
            <rFont val="Calibri"/>
            <family val="2"/>
            <scheme val="minor"/>
          </rPr>
          <t>Diisi ukuran raw material yang digunakan beserta satuannya.
Bisa menggunakan fitur measuring pada SolidWorks untuk mengetahui panjang, lebar/diameter, dan tingginya</t>
        </r>
      </text>
    </comment>
    <comment ref="F6" authorId="0" shapeId="0" xr:uid="{A675CA2F-3C3D-4A5E-9F5E-01901F7595A6}">
      <text>
        <r>
          <rPr>
            <sz val="11"/>
            <color theme="1"/>
            <rFont val="Calibri"/>
            <family val="2"/>
            <scheme val="minor"/>
          </rPr>
          <t>Jika raw material berbentuk silinder, bagian panjang dapat diisi dengan tanda (-) dan hanya mengisi diameter serta tingginya</t>
        </r>
      </text>
    </comment>
    <comment ref="A7" authorId="0" shapeId="0" xr:uid="{16E09121-A58B-4D85-8076-F82416DCB961}">
      <text>
        <r>
          <rPr>
            <sz val="11"/>
            <color theme="1"/>
            <rFont val="Calibri"/>
            <family val="2"/>
            <scheme val="minor"/>
          </rPr>
          <t>Diisi dengan nama kelompok.
Misal:
KelompokG00
KelompokC00</t>
        </r>
      </text>
    </comment>
    <comment ref="A8" authorId="0" shapeId="0" xr:uid="{D113ED0D-8572-4DF3-95EF-0E8A4E1478F4}">
      <text>
        <r>
          <rPr>
            <sz val="11"/>
            <color theme="1"/>
            <rFont val="Calibri"/>
            <family val="2"/>
            <scheme val="minor"/>
          </rPr>
          <t>Diisi tanggal saat pembuatan LRP</t>
        </r>
      </text>
    </comment>
    <comment ref="A10" authorId="0" shapeId="0" xr:uid="{F3A0C45D-9DB3-4894-AE76-AEE751B78EBB}">
      <text>
        <r>
          <rPr>
            <sz val="11"/>
            <color theme="1"/>
            <rFont val="Calibri"/>
            <family val="2"/>
            <scheme val="minor"/>
          </rPr>
          <t>Kalau ada pengulangan proses, jangan lupa nomor proses juga di skip.
Misal:
______________________________________________
No proses | Urutan Operasi
1                 | Drilling (D=..., d=...) (top side) 4x
5                 | Milling (L=..., d=...) w=... (top side)</t>
        </r>
      </text>
    </comment>
    <comment ref="B10" authorId="0" shapeId="0" xr:uid="{FAF73A93-0BE7-4F99-A780-CF78143D5FD8}">
      <text>
        <r>
          <rPr>
            <sz val="11"/>
            <color theme="1"/>
            <rFont val="Calibri"/>
            <family val="2"/>
            <scheme val="minor"/>
          </rPr>
          <t>Urutan operasi selalu diawali dengan pengukuran dan diakhiri dengan inspeksi.
Praktikan diperbolehkan untuk menggunakan fitur costing report, SolidCAM, dsb. untuk memperoleh referensi urutan operasi untuk beberapa part.</t>
        </r>
      </text>
    </comment>
    <comment ref="C10" authorId="0" shapeId="0" xr:uid="{F12638A4-2E71-4B60-ACC9-15796E319BE1}">
      <text>
        <r>
          <rPr>
            <sz val="11"/>
            <color theme="1"/>
            <rFont val="Calibri"/>
            <family val="2"/>
            <scheme val="minor"/>
          </rPr>
          <t>Diisi dengan nama stasiun kerja (Misal: Pengukuran, Mesin Bubut, Mesin Drilling, Kerja Bangku, Mesin Press)</t>
        </r>
      </text>
    </comment>
    <comment ref="F10" authorId="0" shapeId="0" xr:uid="{23BD2602-4E28-40B6-8AA2-D8DD42A50C2B}">
      <text>
        <r>
          <rPr>
            <sz val="11"/>
            <color theme="1"/>
            <rFont val="Calibri"/>
            <family val="2"/>
            <scheme val="minor"/>
          </rPr>
          <t>Mesin Milling: HSS Milling Tool D = X mm
Mesin Drilling: HSS Center Drill D = X mm, HSS Tapping Drill D = X mm
Mesin Bubut: HSS Turning Tool atau TCT Turning Tool
Kerja Bangku untuk cutting (termasuk chamfering): Gerinda
Pengukuran: Mistar, meteran, jangka sorong, mikrometer sekrup, dll. sesuai kebutuhan
Praktikan diperbolehkan untuk mencari referensi tools lainnya.</t>
        </r>
      </text>
    </comment>
    <comment ref="G10" authorId="0" shapeId="0" xr:uid="{D17AC01B-B24E-4CE8-BFCB-2E090A507B28}">
      <text>
        <r>
          <rPr>
            <sz val="11"/>
            <color theme="1"/>
            <rFont val="Calibri"/>
            <family val="2"/>
            <scheme val="minor"/>
          </rPr>
          <t>Ganti mesin: 60 detik
Ganti pahat: 60 detik
Positioning pahat: 30 detik
Positioning benda: 30 detik
Kerja bangku: 240 detik
Inspeksi: 0 detik
Pengukuran: 0 detik
Waktu setup kerja bangku untuk proses chamfering (linear) dan cutting dapat disatukan. (Misal terdapat proses chamfering sebanyak 8x, maka waktu setup = 240 detik, waktu proses = 0 detik)</t>
        </r>
      </text>
    </comment>
    <comment ref="H10" authorId="0" shapeId="0" xr:uid="{9315440B-B9A4-413C-8693-D804744689BD}">
      <text>
        <r>
          <rPr>
            <sz val="11"/>
            <color theme="1"/>
            <rFont val="Calibri"/>
            <family val="2"/>
            <scheme val="minor"/>
          </rPr>
          <t>Link dari sheet perhitungan</t>
        </r>
      </text>
    </comment>
    <comment ref="I10" authorId="0" shapeId="0" xr:uid="{9069E060-6F13-4226-98C7-937498ED37FF}">
      <text>
        <r>
          <rPr>
            <sz val="11"/>
            <color theme="1"/>
            <rFont val="Calibri"/>
            <family val="2"/>
            <scheme val="minor"/>
          </rPr>
          <t>Waktu total = Waktu setup + Waktu proses</t>
        </r>
      </text>
    </comment>
    <comment ref="D11" authorId="0" shapeId="0" xr:uid="{5EA0FD66-23E1-4085-A9D9-A421D5075F6A}">
      <text>
        <r>
          <rPr>
            <sz val="11"/>
            <color theme="1"/>
            <rFont val="Calibri"/>
            <family val="2"/>
            <scheme val="minor"/>
          </rPr>
          <t>Pengisian nomor setup prinsipnya sama dengan nomor proses.</t>
        </r>
      </text>
    </comment>
    <comment ref="E11" authorId="0" shapeId="0" xr:uid="{B817379C-72DD-4A62-A4ED-58DA266CA02C}">
      <text>
        <r>
          <rPr>
            <sz val="11"/>
            <color theme="1"/>
            <rFont val="Calibri"/>
            <family val="2"/>
            <scheme val="minor"/>
          </rPr>
          <t>Alat bantu diisi Ragum untuk seluruh proses pemesinan, kecuali mesin bubut gunakan Three Jaw Chuck atau Four Jaw Chuck.
Tidak diperlukan alat bantu untuk pengukuran dan inspeksi.</t>
        </r>
      </text>
    </comment>
    <comment ref="B13" authorId="1" shapeId="0" xr:uid="{00853CD5-55F2-42DA-8946-D47C73F673D9}">
      <text>
        <r>
          <rPr>
            <sz val="9"/>
            <color indexed="81"/>
            <rFont val="Tahoma"/>
            <family val="2"/>
          </rPr>
          <t xml:space="preserve">mengikis permukaan sehingga muncul 3 persegi yang menonjol </t>
        </r>
      </text>
    </comment>
    <comment ref="B14" authorId="1" shapeId="0" xr:uid="{1449106D-632F-4521-BA94-2D5273C36072}">
      <text>
        <r>
          <rPr>
            <sz val="9"/>
            <color indexed="81"/>
            <rFont val="Tahoma"/>
            <family val="2"/>
          </rPr>
          <t>mengikis permukaan pada bagian tengah produk</t>
        </r>
      </text>
    </comment>
    <comment ref="B17" authorId="1" shapeId="0" xr:uid="{9CC77737-7949-40DB-BB4D-459916FC356B}">
      <text>
        <r>
          <rPr>
            <sz val="9"/>
            <color indexed="81"/>
            <rFont val="Tahoma"/>
            <family val="2"/>
          </rPr>
          <t>melubangi material yang berbentuk U</t>
        </r>
      </text>
    </comment>
    <comment ref="B19" authorId="1" shapeId="0" xr:uid="{C26EF14D-A376-4801-B088-348B183C0E86}">
      <text>
        <r>
          <rPr>
            <sz val="9"/>
            <color indexed="81"/>
            <rFont val="Tahoma"/>
            <family val="2"/>
          </rPr>
          <t>melubangi 6 persegi yang menonjol pada produk</t>
        </r>
      </text>
    </comment>
    <comment ref="B20" authorId="1" shapeId="0" xr:uid="{2B82FC9E-7569-46C7-B09C-A43B0957AD7E}">
      <text>
        <r>
          <rPr>
            <sz val="9"/>
            <color indexed="81"/>
            <rFont val="Tahoma"/>
            <family val="2"/>
          </rPr>
          <t>melubangi bagian tengah produk</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
  </authors>
  <commentList>
    <comment ref="A5" authorId="0" shapeId="0" xr:uid="{C3E9D414-4E3B-4F5D-9067-3955181EC509}">
      <text>
        <r>
          <rPr>
            <sz val="11"/>
            <color theme="1"/>
            <rFont val="Calibri"/>
            <family val="2"/>
            <scheme val="minor"/>
          </rPr>
          <t>======
ID#AAAA3QOSLug
    (2023-08-21 05:40:07)
[Threaded comment]
Your version of Excel allows you to read this threaded comment; however, any edits to it will get removed if the file is opened in a newer version of Excel. Learn more: https://go.microsoft.com/fwlink/?linkid=870924
Comment:
    Diperlukan setup positioning pahat untuk pengulangan proses akibat maximum width of cut.</t>
        </r>
      </text>
    </comment>
    <comment ref="C6" authorId="0" shapeId="0" xr:uid="{CB177879-03BD-4E30-A846-EFBBE9BA0171}">
      <text>
        <r>
          <rPr>
            <sz val="11"/>
            <color theme="1"/>
            <rFont val="Calibri"/>
            <family val="2"/>
            <scheme val="minor"/>
          </rPr>
          <t>======
ID#AAAA3QOSLvQ
    (2023-08-21 05:40:07)
[Threaded comment]
Your version of Excel allows you to read this threaded comment; however, any edits to it will get removed if the file is opened in a newer version of Excel. Learn more: https://go.microsoft.com/fwlink/?linkid=870924
Comment:
    Lihat referensi Kalpakjian untuk nilai diameter pahat.</t>
        </r>
      </text>
    </comment>
    <comment ref="D6" authorId="0" shapeId="0" xr:uid="{44EFE19A-A77E-43E1-B34B-EAB27740CCAB}">
      <text>
        <r>
          <rPr>
            <sz val="11"/>
            <color theme="1"/>
            <rFont val="Calibri"/>
            <family val="2"/>
            <scheme val="minor"/>
          </rPr>
          <t>======
ID#AAAA3QOSLu0
    (2023-08-21 05:40:07)
[Threaded comment]
Your version of Excel allows you to read this threaded comment; however, any edits to it will get removed if the file is opened in a newer version of Excel. Learn more: https://go.microsoft.com/fwlink/?linkid=870924
Comment:
    Lihat referensi Kalpakjian untuk nilai maksimum kedalaman potong
Apabila kedalaman potong yang diinginkan melebihi nilai maksimum kedalaman potong, ulangi proses sampai diperoleh kedalaman potong yang diinginkan.
Contoh:
Kedalaman potong diinginkan= 12 mm
Kedalaman potong (roughing) maksimum= 5 mm
Kedalaman potong (finishing) maksimum= 0.5 mm
Maka diperlukan proses:
1. Roughing 2x dengan kedalaman potong masing-masing 5 mm
2. Roughing 1x dengan kedalaman potong 1.5 mm
3. Finishing 1x dengan kedalaman potong 0.5 mm</t>
        </r>
      </text>
    </comment>
    <comment ref="F6" authorId="0" shapeId="0" xr:uid="{1BD843C2-1714-4C2C-9E65-38F14B0674BD}">
      <text>
        <r>
          <rPr>
            <sz val="11"/>
            <color theme="1"/>
            <rFont val="Calibri"/>
            <family val="2"/>
            <scheme val="minor"/>
          </rPr>
          <t>======
ID#AAAA3QOSLwE
    (2023-08-21 05:40:07)
[Threaded comment]
Your version of Excel allows you to read this threaded comment; however, any edits to it will get removed if the file is opened in a newer version of Excel. Learn more: https://go.microsoft.com/fwlink/?linkid=870924
Comment:
    Lihat referensi Kalpakjian untuk nilai kecepatan potong</t>
        </r>
      </text>
    </comment>
    <comment ref="H6" authorId="0" shapeId="0" xr:uid="{E7FDD837-95A2-47F3-AD0C-371A66173FA1}">
      <text>
        <r>
          <rPr>
            <sz val="11"/>
            <color theme="1"/>
            <rFont val="Calibri"/>
            <family val="2"/>
            <scheme val="minor"/>
          </rPr>
          <t>======
ID#AAAA3QOSLvM
    (2023-08-21 05:40:07)
[Threaded comment]
Your version of Excel allows you to read this threaded comment; however, any edits to it will get removed if the file is opened in a newer version of Excel. Learn more: https://go.microsoft.com/fwlink/?linkid=870924
Comment:
    Lihat referensi Kalpakjian untuk nilai feed rate</t>
        </r>
      </text>
    </comment>
    <comment ref="I6" authorId="0" shapeId="0" xr:uid="{8D992B4A-A600-4338-9F11-8DE7FA6A2FDE}">
      <text>
        <r>
          <rPr>
            <sz val="11"/>
            <color theme="1"/>
            <rFont val="Calibri"/>
            <family val="2"/>
            <scheme val="minor"/>
          </rPr>
          <t>======
ID#AAAA3QOSLuc
    (2023-08-21 05:40:07)
[Threaded comment]
Your version of Excel allows you to read this threaded comment; however, any edits to it will get removed if the file is opened in a newer version of Excel. Learn more: https://go.microsoft.com/fwlink/?linkid=870924
Comment:
    Untuk face milling,
w maksimum = D
Apabila lebar potong yang diinginkan melebihi nilai D, ulangi proses sampai diperoleh lebar potong yang diinginkan.
Contoh:
lebar potong diinginkan= 150 mm
lebar potong maksimum= 70 mm
Diperlukan proses:
1. Roughing 2x dengan lebar potong masing-masing 70 mm
2. Roughing 1x dengan lebar potong 10 mm.
Hal yang sama diterapkan untuk proses finishing.
Diperlukan setup positioning pahat untuk pengulangan proses akibat maximum width of cut.</t>
        </r>
      </text>
    </comment>
    <comment ref="J6" authorId="0" shapeId="0" xr:uid="{4B2ED97D-3CC9-4D53-8CD5-A44EA84E39B4}">
      <text>
        <r>
          <rPr>
            <sz val="11"/>
            <color theme="1"/>
            <rFont val="Calibri"/>
            <family val="2"/>
            <scheme val="minor"/>
          </rPr>
          <t>======
ID#AAAA3QOSLuM
    (2023-08-21 05:40:07)
[Threaded comment]
Your version of Excel allows you to read this threaded comment; however, any edits to it will get removed if the file is opened in a newer version of Excel. Learn more: https://go.microsoft.com/fwlink/?linkid=870924
Comment:
    Approach length
Contoh A untuk face milling:
Untuk w = D (centered),
A = D/2
Untuk w &lt; D (offset),
A = √[w(D-w)]</t>
        </r>
      </text>
    </comment>
    <comment ref="K6" authorId="0" shapeId="0" xr:uid="{3D35E9F1-F615-4D29-A402-7067748A9E64}">
      <text>
        <r>
          <rPr>
            <sz val="11"/>
            <color theme="1"/>
            <rFont val="Calibri"/>
            <family val="2"/>
            <scheme val="minor"/>
          </rPr>
          <t>======
ID#AAAA3QOSLuk
    (2023-08-21 05:40:07)
[Threaded comment]
Your version of Excel allows you to read this threaded comment; however, any edits to it will get removed if the file is opened in a newer version of Excel. Learn more: https://go.microsoft.com/fwlink/?linkid=870924
Comment:
    Apabila terdapat pengulangan proses, nilai Tm dikalikan dengan banyaknya proses.</t>
        </r>
      </text>
    </comment>
    <comment ref="N6" authorId="0" shapeId="0" xr:uid="{08FE1F66-1721-48D7-A03A-5AB111E1E706}">
      <text>
        <r>
          <rPr>
            <sz val="11"/>
            <color theme="1"/>
            <rFont val="Calibri"/>
            <family val="2"/>
            <scheme val="minor"/>
          </rPr>
          <t>======
ID#AAAA3QOSLwU
    (2023-08-21 05:40:07)
[Threaded comment]
Your version of Excel allows you to read this threaded comment; however, any edits to it will get removed if the file is opened in a newer version of Excel. Learn more: https://go.microsoft.com/fwlink/?linkid=870924
Comment:
    Volume material sebelum dilakukan proses pemesinan tertentu
Volume Awal Proses ke n = Volume Akhir Proses ke n-1
Volume Awal Proses ke 1 = Volume Raw Material</t>
        </r>
      </text>
    </comment>
    <comment ref="O6" authorId="0" shapeId="0" xr:uid="{08C29007-8800-4C0B-910B-2BCAB5B8DAEA}">
      <text>
        <r>
          <rPr>
            <sz val="11"/>
            <color theme="1"/>
            <rFont val="Calibri"/>
            <family val="2"/>
            <scheme val="minor"/>
          </rPr>
          <t>======
ID#AAAA3QOSLvA
    (2023-08-21 05:40:07)
[Threaded comment]
Your version of Excel allows you to read this threaded comment; however, any edits to it will get removed if the file is opened in a newer version of Excel. Learn more: https://go.microsoft.com/fwlink/?linkid=870924
Com ment:
    Hitung volume dari material yang terbuang pada suatu proses tertentu.
Apabila terdapat pengulangan proses, nilai scrap dikalikan dengan banyaknya proses.
Rumus pendekatan perhitungan scrap apabila scrap memiliki bentuk yang kompleks:
Scrap = Tm x MRR
Untuk milling, karena terdapat approach length yang tidak melakukan pembuangan material, maka:
Scrap = L/Fr x MRR
Gunakan fitur measuring pada Solidworks untuk mempermudah perhitungan area dan keliling dari face tertentu.
Praktikan diperbolehkan menggunakan fitur costing untuk menghitung scrap untuk proses tertentu.</t>
        </r>
      </text>
    </comment>
    <comment ref="P6" authorId="0" shapeId="0" xr:uid="{2D785C59-4F17-48E0-8AF4-D025AD7285EE}">
      <text>
        <r>
          <rPr>
            <sz val="11"/>
            <color theme="1"/>
            <rFont val="Calibri"/>
            <family val="2"/>
            <scheme val="minor"/>
          </rPr>
          <t>======
ID#AAAA3QOSLvY
    (2023-08-21 05:40:07)
[Threaded comment]
Your version of Excel allows you to read this threaded comment; however, any edits to it will get removed if the file is opened in a newer version of Excel. Learn more: https://go.microsoft.com/fwlink/?linkid=870924
Comment:
    Persentase Scrap terhadap volume raw material</t>
        </r>
      </text>
    </comment>
    <comment ref="Q6" authorId="0" shapeId="0" xr:uid="{850BC18D-B469-4799-A1E8-197CED738BD9}">
      <text>
        <r>
          <rPr>
            <sz val="11"/>
            <color theme="1"/>
            <rFont val="Calibri"/>
            <family val="2"/>
            <scheme val="minor"/>
          </rPr>
          <t>======
ID#AAAA3QOSLvI
    (2023-08-21 05:40:07)
[Threaded comment]
Your version of Excel allows you to read this threaded comment; however, any edits to it will get removed if the file is opened in a newer version of Excel. Learn more: https://go.microsoft.com/fwlink/?linkid=870924
Comment:
    Volume material setelah dilakukan proses pemesinan
Volume Akhir = Volume Awal - Scrap</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
    <author>heri.haruman</author>
    <author>Shelfa Angelyn</author>
  </authors>
  <commentList>
    <comment ref="K1" authorId="0" shapeId="0" xr:uid="{024FB58A-220E-49F1-B157-4831AC29B347}">
      <text>
        <r>
          <rPr>
            <sz val="11"/>
            <color theme="1"/>
            <rFont val="Calibri"/>
            <family val="2"/>
            <scheme val="minor"/>
          </rPr>
          <t>======
ID#AAAA3QOSLt4
    (2023-08-21 05:40:07)
Lampirkan gambar isometric part</t>
        </r>
      </text>
    </comment>
    <comment ref="A3" authorId="0" shapeId="0" xr:uid="{BA4FDDE6-C40C-4D0C-A358-2B865274971E}">
      <text>
        <r>
          <rPr>
            <sz val="11"/>
            <color theme="1"/>
            <rFont val="Calibri"/>
            <family val="2"/>
            <scheme val="minor"/>
          </rPr>
          <t>======
ID#AAAA3QOSLv0
    (2023-08-21 05:40:07)
Sesuai nomor part di drawing</t>
        </r>
      </text>
    </comment>
    <comment ref="E3" authorId="0" shapeId="0" xr:uid="{448AAFA0-EC99-4386-ACBF-2A0905091493}">
      <text>
        <r>
          <rPr>
            <sz val="11"/>
            <color theme="1"/>
            <rFont val="Calibri"/>
            <family val="2"/>
            <scheme val="minor"/>
          </rPr>
          <t>======
ID#AAAA3QOSLt8
    (2023-08-21 05:40:07)
Ditulis '1', kecuali terdapat lebih dari 1 halaman ketika dilampirkan di laporan</t>
        </r>
      </text>
    </comment>
    <comment ref="A4" authorId="0" shapeId="0" xr:uid="{24878945-D38A-4565-8D3E-C7C1C18038D2}">
      <text>
        <r>
          <rPr>
            <sz val="11"/>
            <color theme="1"/>
            <rFont val="Calibri"/>
            <family val="2"/>
            <scheme val="minor"/>
          </rPr>
          <t>======
ID#AAAA3QOSLwA
    (2023-08-21 05:40:07)
Sesuai nomor di BOM yang dibuat praktikan</t>
        </r>
      </text>
    </comment>
    <comment ref="E5" authorId="0" shapeId="0" xr:uid="{9A17C4C6-F249-4F43-85C7-1D696CAC1594}">
      <text>
        <r>
          <rPr>
            <sz val="11"/>
            <color theme="1"/>
            <rFont val="Calibri"/>
            <family val="2"/>
            <scheme val="minor"/>
          </rPr>
          <t>======
ID#AAAA3QOSLwI
tc={965D57F4-0DB2-4230-8C1A-6D58D3008C65}    (2023-08-21 05:40:07)
[Threaded comment]
Your version of Excel allows you to read this threaded comment; however, any edits to it will get removed if the file is opened in a newer version of Excel. Learn more: https://go.microsoft.com/fwlink/?linkid=870924
Comment:
    Material: Aluminium Alloy</t>
        </r>
      </text>
    </comment>
    <comment ref="E6" authorId="0" shapeId="0" xr:uid="{B18F8CCC-0DFF-4190-9C06-3F2A10489CED}">
      <text>
        <r>
          <rPr>
            <sz val="11"/>
            <color theme="1"/>
            <rFont val="Calibri"/>
            <family val="2"/>
            <scheme val="minor"/>
          </rPr>
          <t>======
ID#AAAA3QOSLuE
    (2023-08-21 05:40:07)
Diisi ukuran raw material yang digunakan beserta satuannya.
Jika ingin membuat LRP manual, maka bisa menggunakan fitur measuring pada SolidWorks untuk mengetahui panjang, lebar/diameter, dan tingginya</t>
        </r>
      </text>
    </comment>
    <comment ref="F6" authorId="0" shapeId="0" xr:uid="{29EDEEB0-7514-4F6D-BE0B-7B46E34270E9}">
      <text>
        <r>
          <rPr>
            <sz val="11"/>
            <color theme="1"/>
            <rFont val="Calibri"/>
            <family val="2"/>
            <scheme val="minor"/>
          </rPr>
          <t>======
ID#AAAA3QOSLuY
    (2023-08-21 05:40:07)
Jika raw material berbentuk silinder, bagian panjang dapat diisi dengan tanda (-) dan hanya mengisi diameter serta tingginya</t>
        </r>
      </text>
    </comment>
    <comment ref="A7" authorId="0" shapeId="0" xr:uid="{65DDCC3B-784A-4A15-8AC4-52BB8F22A895}">
      <text>
        <r>
          <rPr>
            <sz val="11"/>
            <color theme="1"/>
            <rFont val="Calibri"/>
            <family val="2"/>
            <scheme val="minor"/>
          </rPr>
          <t>======
ID#AAAA3QOSLv4
    (2023-08-21 05:40:07)
Diisi dengan nama kelompok.
Misal:
KelompokG00
KelompokC00</t>
        </r>
      </text>
    </comment>
    <comment ref="A8" authorId="0" shapeId="0" xr:uid="{7B79EDC1-8E20-4C84-B123-B7BCFDDDE085}">
      <text>
        <r>
          <rPr>
            <sz val="11"/>
            <color theme="1"/>
            <rFont val="Calibri"/>
            <family val="2"/>
            <scheme val="minor"/>
          </rPr>
          <t>======
ID#AAAA3QOSLuo
    (2023-08-21 05:40:07)
Diisi tanggal saat pembuatan LRP</t>
        </r>
      </text>
    </comment>
    <comment ref="A10" authorId="0" shapeId="0" xr:uid="{8F6FC6ED-C51A-4BC4-A7B0-5E54912D9A36}">
      <text>
        <r>
          <rPr>
            <sz val="11"/>
            <color theme="1"/>
            <rFont val="Calibri"/>
            <family val="2"/>
            <scheme val="minor"/>
          </rPr>
          <t>======
ID#AAAA3QOSLu4
    (2023-08-21 05:40:07)
Kalau ada pengulangan proses, jangan lupa nomor proses juga di skip.
Misal:
______________________________________________
No proses | Urutan Operasi
1                 | Drilling (D=..., d=...) (top side) 4x
5                 | Milling (L=..., d=...) w=... (top side)</t>
        </r>
      </text>
    </comment>
    <comment ref="B10" authorId="0" shapeId="0" xr:uid="{0A8755B6-0800-4B68-A6B1-A0E6E98B0B8C}">
      <text>
        <r>
          <rPr>
            <sz val="11"/>
            <color theme="1"/>
            <rFont val="Calibri"/>
            <family val="2"/>
            <scheme val="minor"/>
          </rPr>
          <t>======
ID#AAAA3QOSLv8
    (2023-08-21 05:40:07)
Urutan operasi selalu diawali dengan pengukuran dan diakhiri dengan inspeksi.
Praktikan diperbolehkan untuk menggunakan fitur costing report, SolidCAM, dsb. untuk memperoleh referensi urutan operasi untuk beberapa part.</t>
        </r>
      </text>
    </comment>
    <comment ref="C10" authorId="0" shapeId="0" xr:uid="{10F71279-01C6-4103-A6B2-EEB0C4868B83}">
      <text>
        <r>
          <rPr>
            <sz val="11"/>
            <color theme="1"/>
            <rFont val="Calibri"/>
            <family val="2"/>
            <scheme val="minor"/>
          </rPr>
          <t>======
ID#AAAA3QOSLvw
    (2023-08-21 05:40:07)
Diisi dengan nama stasiun kerja (Misal: Pengukuran, Mesin Bubut, Mesin Drilling, Kerja Bangku, Mesin Press)</t>
        </r>
      </text>
    </comment>
    <comment ref="F10" authorId="0" shapeId="0" xr:uid="{A2C6EFDB-B3DB-4732-AABD-6D61A61A5A12}">
      <text>
        <r>
          <rPr>
            <sz val="11"/>
            <color theme="1"/>
            <rFont val="Calibri"/>
            <family val="2"/>
            <scheme val="minor"/>
          </rPr>
          <t>======
ID#AAAA3QOSLuQ
    (2023-08-21 05:40:07)
Mesin Milling: HSS Milling Tool D = X mm
Mesin Drilling: HSS Center Drill D = X mm, HSS Tapping Drill D = X mm
Mesin Bubut: HSS Turning Tool atau TCT Turning Tool
Kerja Bangku untuk cutting (termasuk chamfering): Gerinda
Pengukuran: Mistar, meteran, jangka sorong, mikrometer sekrup, dll. sesuai kebutuhan
Praktikan diperbolehkan untuk mencari referensi tools lainnya.</t>
        </r>
      </text>
    </comment>
    <comment ref="G10" authorId="0" shapeId="0" xr:uid="{4E8FEA0B-C45B-49E5-92BD-DFB6A28E6190}">
      <text>
        <r>
          <rPr>
            <sz val="11"/>
            <color theme="1"/>
            <rFont val="Calibri"/>
            <family val="2"/>
            <scheme val="minor"/>
          </rPr>
          <t>======
ID#AAAA3QOSLwQ
    (2023-08-21 05:40:07)
Ganti mesin: 60 detik
Ganti pahat: 60 detik
Positioning pahat: 30 detik
Positioning benda: 30 detik
Kerja bangku: 240 detik
Inspeksi: 0 detik
Pengukuran: 0 detik
Waktu setup kerja bangku untuk proses chamfering (linear) dan cutting dapat disatukan. (Misal terdapat proses chamfering sebanyak 8x, maka waktu setup = 240 detik, waktu proses = 0 detik)</t>
        </r>
      </text>
    </comment>
    <comment ref="H10" authorId="0" shapeId="0" xr:uid="{614691F8-5273-4D54-AE79-B73C3BDE3AA5}">
      <text>
        <r>
          <rPr>
            <sz val="11"/>
            <color theme="1"/>
            <rFont val="Calibri"/>
            <family val="2"/>
            <scheme val="minor"/>
          </rPr>
          <t>======
ID#AAAA3QOSLu8
    (2023-08-21 05:40:07)
Link dari sheet perhitungan</t>
        </r>
      </text>
    </comment>
    <comment ref="I10" authorId="0" shapeId="0" xr:uid="{A6416C90-0F3E-42A4-BF74-A801A6C9DCD9}">
      <text>
        <r>
          <rPr>
            <sz val="11"/>
            <color theme="1"/>
            <rFont val="Calibri"/>
            <family val="2"/>
            <scheme val="minor"/>
          </rPr>
          <t>======
ID#AAAA3QOSLvk
    (2023-08-21 05:40:07)
Waktu total = Waktu setup + Waktu proses</t>
        </r>
      </text>
    </comment>
    <comment ref="D11" authorId="0" shapeId="0" xr:uid="{08B4039E-DDEB-4062-98E0-1E831FBDC824}">
      <text>
        <r>
          <rPr>
            <sz val="11"/>
            <color theme="1"/>
            <rFont val="Calibri"/>
            <family val="2"/>
            <scheme val="minor"/>
          </rPr>
          <t>======
ID#AAAA3QOSLuA
    (2023-08-21 05:40:07)
Pengisian nomor setup prinsipnya sama dengan nomor proses.</t>
        </r>
      </text>
    </comment>
    <comment ref="E11" authorId="0" shapeId="0" xr:uid="{7564E5F2-05A3-431F-A6F3-B88E751C39B4}">
      <text>
        <r>
          <rPr>
            <sz val="11"/>
            <color theme="1"/>
            <rFont val="Calibri"/>
            <family val="2"/>
            <scheme val="minor"/>
          </rPr>
          <t>======
ID#AAAA3QOSLvs
    (2023-08-21 05:40:07)
Alat bantu diisi Ragum untuk seluruh proses pemesinan, kecuali mesin bubut gunakan Three Jaw Chuck atau Four Jaw Chuck.
Tidak diperlukan alat bantu untuk pengukuran dan inspeksi.</t>
        </r>
      </text>
    </comment>
    <comment ref="B13" authorId="1" shapeId="0" xr:uid="{689AE916-ED1F-4FCC-80E9-252DC1C04F34}">
      <text>
        <r>
          <rPr>
            <sz val="9"/>
            <color indexed="81"/>
            <rFont val="Tahoma"/>
            <family val="2"/>
          </rPr>
          <t>Operasi mereduksi diameter raw material dari 46 mm ke 44 mm</t>
        </r>
      </text>
    </comment>
    <comment ref="B15" authorId="1" shapeId="0" xr:uid="{4A995E22-6AE4-4E16-BC54-491AE7FD2A6F}">
      <text>
        <r>
          <rPr>
            <sz val="9"/>
            <color indexed="81"/>
            <rFont val="Tahoma"/>
            <family val="2"/>
          </rPr>
          <t>Operasi memotong bagian lengkungan sisi kanan dengan diameter awal 44 mm dan diameter akhir 20 mm. Derajat busur adalah 99,13 derajat.</t>
        </r>
      </text>
    </comment>
    <comment ref="B21" authorId="1" shapeId="0" xr:uid="{478FBAC2-DEAB-4FD9-A841-A71740CA7E13}">
      <text>
        <r>
          <rPr>
            <sz val="9"/>
            <color indexed="81"/>
            <rFont val="Tahoma"/>
            <family val="2"/>
          </rPr>
          <t>Operasi memotong bagian lengkungan sisi kiri dengan diameter awal 44 mm dan diameter akhir 20 mm</t>
        </r>
      </text>
    </comment>
    <comment ref="B27" authorId="1" shapeId="0" xr:uid="{D4909AB8-AA1F-48D5-AA85-8FDA8938BCB7}">
      <text>
        <r>
          <rPr>
            <sz val="9"/>
            <color indexed="81"/>
            <rFont val="Tahoma"/>
            <family val="2"/>
          </rPr>
          <t>Operasi memotong bagian depan part dengan kedalaman 10 mm</t>
        </r>
      </text>
    </comment>
    <comment ref="B30" authorId="2" shapeId="0" xr:uid="{971697EF-4CA8-4ABC-96EA-E980DF87514E}">
      <text>
        <r>
          <rPr>
            <sz val="9"/>
            <color indexed="81"/>
            <rFont val="Tahoma"/>
            <family val="2"/>
          </rPr>
          <t>Operasi memotong bagian lengkungan sisi depan dengan diameter awal 44 mm dan diameter akhir 20 mm. Derajat busur adalah 39,18 derajat. Lengkungan ini berada di sebelah kanan dari bagian depan yang telah dipotong sebelumnya.</t>
        </r>
      </text>
    </comment>
    <comment ref="B36" authorId="2" shapeId="0" xr:uid="{D165B163-52F9-44B7-8676-68F5AABDAB01}">
      <text>
        <r>
          <rPr>
            <sz val="9"/>
            <color indexed="81"/>
            <rFont val="Tahoma"/>
            <family val="2"/>
          </rPr>
          <t>Operasi memotong bagian lengkungan sisi depan dengan diameter awal 44 mm dan diameter akhir 20 mm. Derajat busur adalah 39,18 derajat. Lengkungan ini berada di sebelah kanan dari bagian depan yang telah dipotong sebelumnya.</t>
        </r>
      </text>
    </comment>
    <comment ref="B44" authorId="1" shapeId="0" xr:uid="{E51EB202-0299-4A4C-A89B-20B394DD4D90}">
      <text>
        <r>
          <rPr>
            <sz val="9"/>
            <color indexed="81"/>
            <rFont val="Tahoma"/>
            <family val="2"/>
          </rPr>
          <t>Operasi membuat lubang pada bagian tengah part dengan diameter 14 mm</t>
        </r>
      </text>
    </comment>
    <comment ref="B45" authorId="2" shapeId="0" xr:uid="{9E30418D-A77A-4D3F-BA7A-C7929C418051}">
      <text>
        <r>
          <rPr>
            <sz val="9"/>
            <color indexed="81"/>
            <rFont val="Tahoma"/>
            <family val="2"/>
          </rPr>
          <t>Operasi membuat lubang pada bagian samping part dengan diameter 7 mm sebanyak tiga buah.</t>
        </r>
      </text>
    </comment>
    <comment ref="B46" authorId="1" shapeId="0" xr:uid="{F6AF6801-7B97-4423-9F92-D4514BB9A970}">
      <text>
        <r>
          <rPr>
            <sz val="9"/>
            <color indexed="81"/>
            <rFont val="Tahoma"/>
            <family val="2"/>
          </rPr>
          <t>Operasi pembuatan lubang dengan ulir untuk fastener</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
    <author>heri.haruman</author>
    <author>Shelfa Angelyn</author>
  </authors>
  <commentList>
    <comment ref="A5" authorId="0" shapeId="0" xr:uid="{0046F26F-C1F0-409E-8EDF-13DB4571D031}">
      <text>
        <r>
          <rPr>
            <sz val="11"/>
            <color theme="1"/>
            <rFont val="Calibri"/>
            <family val="2"/>
            <scheme val="minor"/>
          </rPr>
          <t>======
ID#AAAA3QOSLug
    (2023-08-21 05:40:07)
[Threaded comment]
Your version of Excel allows you to read this threaded comment; however, any edits to it will get removed if the file is opened in a newer version of Excel. Learn more: https://go.microsoft.com/fwlink/?linkid=870924
Comment:
    Diperlukan setup positioning pahat untuk pengulangan proses akibat maximum width of cut.</t>
        </r>
      </text>
    </comment>
    <comment ref="C6" authorId="0" shapeId="0" xr:uid="{6DA25604-BD97-4216-A9DE-413E5248AE90}">
      <text>
        <r>
          <rPr>
            <sz val="11"/>
            <color theme="1"/>
            <rFont val="Calibri"/>
            <family val="2"/>
            <scheme val="minor"/>
          </rPr>
          <t>======
ID#AAAA3QOSLvQ
    (2023-08-21 05:40:07)
[Threaded comment]
Your version of Excel allows you to read this threaded comment; however, any edits to it will get removed if the file is opened in a newer version of Excel. Learn more: https://go.microsoft.com/fwlink/?linkid=870924
Comment:
    Lihat referensi Kalpakjian untuk nilai diameter pahat.</t>
        </r>
      </text>
    </comment>
    <comment ref="D6" authorId="0" shapeId="0" xr:uid="{AB6812B3-A414-4B75-AC07-8578636DB4BA}">
      <text>
        <r>
          <rPr>
            <sz val="11"/>
            <color theme="1"/>
            <rFont val="Calibri"/>
            <family val="2"/>
            <scheme val="minor"/>
          </rPr>
          <t>======
ID#AAAA3QOSLu0
    (2023-08-21 05:40:07)
[Threaded comment]
Your version of Excel allows you to read this threaded comment; however, any edits to it will get removed if the file is opened in a newer version of Excel. Learn more: https://go.microsoft.com/fwlink/?linkid=870924
Comment:
    Lihat referensi Kalpakjian untuk nilai maksimum kedalaman potong
Apabila kedalaman potong yang diinginkan melebihi nilai maksimum kedalaman potong, ulangi proses sampai diperoleh kedalaman potong yang diinginkan.
Contoh:
Kedalaman potong diinginkan= 12 mm
Kedalaman potong (roughing) maksimum= 5 mm
Kedalaman potong (finishing) maksimum= 0.5 mm
Maka diperlukan proses:
1. Roughing 2x dengan kedalaman potong masing-masing 5 mm
2. Roughing 1x dengan kedalaman potong 1.5 mm
3. Finishing 1x dengan kedalaman potong 0.5 mm</t>
        </r>
      </text>
    </comment>
    <comment ref="F6" authorId="0" shapeId="0" xr:uid="{8E4999FB-B3C5-4497-AA28-5F7D6C91B430}">
      <text>
        <r>
          <rPr>
            <sz val="11"/>
            <color theme="1"/>
            <rFont val="Calibri"/>
            <family val="2"/>
            <scheme val="minor"/>
          </rPr>
          <t>======
ID#AAAA3QOSLwE
    (2023-08-21 05:40:07)
[Threaded comment]
Your version of Excel allows you to read this threaded comment; however, any edits to it will get removed if the file is opened in a newer version of Excel. Learn more: https://go.microsoft.com/fwlink/?linkid=870924
Comment:
    Lihat referensi Kalpakjian untuk nilai kecepatan potong</t>
        </r>
      </text>
    </comment>
    <comment ref="H6" authorId="0" shapeId="0" xr:uid="{8A3DBA1A-C73F-46C1-92EC-4E49D62FEBF5}">
      <text>
        <r>
          <rPr>
            <sz val="11"/>
            <color theme="1"/>
            <rFont val="Calibri"/>
            <family val="2"/>
            <scheme val="minor"/>
          </rPr>
          <t>======
ID#AAAA3QOSLvM
    (2023-08-21 05:40:07)
[Threaded comment]
Your version of Excel allows you to read this threaded comment; however, any edits to it will get removed if the file is opened in a newer version of Excel. Learn more: https://go.microsoft.com/fwlink/?linkid=870924
Comment:
    Lihat referensi Kalpakjian untuk nilai feed rate</t>
        </r>
      </text>
    </comment>
    <comment ref="I6" authorId="0" shapeId="0" xr:uid="{F8DD4E56-45DF-46AD-AB21-8C3141C5D729}">
      <text>
        <r>
          <rPr>
            <sz val="11"/>
            <color theme="1"/>
            <rFont val="Calibri"/>
            <family val="2"/>
            <scheme val="minor"/>
          </rPr>
          <t>======
ID#AAAA3QOSLuc
    (2023-08-21 05:40:07)
[Threaded comment]
Your version of Excel allows you to read this threaded comment; however, any edits to it will get removed if the file is opened in a newer version of Excel. Learn more: https://go.microsoft.com/fwlink/?linkid=870924
Comment:
    Untuk face milling,
w maksimum = D
Apabila lebar potong yang diinginkan melebihi nilai D, ulangi proses sampai diperoleh lebar potong yang diinginkan.
Contoh:
lebar potong diinginkan= 150 mm
lebar potong maksimum= 70 mm
Diperlukan proses:
1. Roughing 2x dengan lebar potong masing-masing 70 mm
2. Roughing 1x dengan lebar potong 10 mm.
Hal yang sama diterapkan untuk proses finishing.
Diperlukan setup positioning pahat untuk pengulangan proses akibat maximum width of cut.</t>
        </r>
      </text>
    </comment>
    <comment ref="J6" authorId="0" shapeId="0" xr:uid="{AE34E0EC-C881-428B-9A5E-8E996431BD69}">
      <text>
        <r>
          <rPr>
            <sz val="11"/>
            <color theme="1"/>
            <rFont val="Calibri"/>
            <family val="2"/>
            <scheme val="minor"/>
          </rPr>
          <t>======
ID#AAAA3QOSLuM
    (2023-08-21 05:40:07)
[Threaded comment]
Your version of Excel allows you to read this threaded comment; however, any edits to it will get removed if the file is opened in a newer version of Excel. Learn more: https://go.microsoft.com/fwlink/?linkid=870924
Comment:
    Approach length
Contoh A untuk face milling:
Untuk w = D (centered),
A = D/2
Untuk w &lt; D (offset),
A = √[w(D-w)]</t>
        </r>
      </text>
    </comment>
    <comment ref="K6" authorId="0" shapeId="0" xr:uid="{07427131-CCE5-4491-8155-32FADD3B506C}">
      <text>
        <r>
          <rPr>
            <sz val="11"/>
            <color theme="1"/>
            <rFont val="Calibri"/>
            <family val="2"/>
            <scheme val="minor"/>
          </rPr>
          <t>======
ID#AAAA3QOSLuk
    (2023-08-21 05:40:07)
[Threaded comment]
Your version of Excel allows you to read this threaded comment; however, any edits to it will get removed if the file is opened in a newer version of Excel. Learn more: https://go.microsoft.com/fwlink/?linkid=870924
Comment:
    Apabila terdapat pengulangan proses, nilai Tm dikalikan dengan banyaknya proses.</t>
        </r>
      </text>
    </comment>
    <comment ref="N6" authorId="0" shapeId="0" xr:uid="{BC5E6241-D223-49FC-85FA-D707778D045D}">
      <text>
        <r>
          <rPr>
            <sz val="11"/>
            <color theme="1"/>
            <rFont val="Calibri"/>
            <family val="2"/>
            <scheme val="minor"/>
          </rPr>
          <t>======
ID#AAAA3QOSLwU
    (2023-08-21 05:40:07)
[Threaded comment]
Your version of Excel allows you to read this threaded comment; however, any edits to it will get removed if the file is opened in a newer version of Excel. Learn more: https://go.microsoft.com/fwlink/?linkid=870924
Comment:
    Volume material sebelum dilakukan proses pemesinan tertentu
Volume Awal Proses ke n = Volume Akhir Proses ke n-1
Volume Awal Proses ke 1 = Volume Raw Material</t>
        </r>
      </text>
    </comment>
    <comment ref="O6" authorId="0" shapeId="0" xr:uid="{9E954858-4322-41E7-923A-B94B8B6D350C}">
      <text>
        <r>
          <rPr>
            <sz val="11"/>
            <color theme="1"/>
            <rFont val="Calibri"/>
            <family val="2"/>
            <scheme val="minor"/>
          </rPr>
          <t>======
ID#AAAA3QOSLvA
    (2023-08-21 05:40:07)
[Threaded comment]
Your version of Excel allows you to read this threaded comment; however, any edits to it will get removed if the file is opened in a newer version of Excel. Learn more: https://go.microsoft.com/fwlink/?linkid=870924
Com ment:
    Hitung volume dari material yang terbuang pada suatu proses tertentu.
Apabila terdapat pengulangan proses, nilai scrap dikalikan dengan banyaknya proses.
Rumus pendekatan perhitungan scrap apabila scrap memiliki bentuk yang kompleks:
Scrap = Tm x MRR
Untuk milling, karena terdapat approach length yang tidak melakukan pembuangan material, maka:
Scrap = L/Fr x MRR
Gunakan fitur measuring pada Solidworks untuk mempermudah perhitungan area dan keliling dari face tertentu.
Praktikan diperbolehkan menggunakan fitur costing untuk menghitung scrap untuk proses tertentu.</t>
        </r>
      </text>
    </comment>
    <comment ref="P6" authorId="0" shapeId="0" xr:uid="{8C6CB0C8-13E9-40F7-9D07-C56FF67138A4}">
      <text>
        <r>
          <rPr>
            <sz val="11"/>
            <color theme="1"/>
            <rFont val="Calibri"/>
            <family val="2"/>
            <scheme val="minor"/>
          </rPr>
          <t>======
ID#AAAA3QOSLvY
    (2023-08-21 05:40:07)
[Threaded comment]
Your version of Excel allows you to read this threaded comment; however, any edits to it will get removed if the file is opened in a newer version of Excel. Learn more: https://go.microsoft.com/fwlink/?linkid=870924
Comment:
    Persentase Scrap terhadap volume raw material</t>
        </r>
      </text>
    </comment>
    <comment ref="Q6" authorId="0" shapeId="0" xr:uid="{21CA0A21-DACD-4D08-967F-D2F89BF6357C}">
      <text>
        <r>
          <rPr>
            <sz val="11"/>
            <color theme="1"/>
            <rFont val="Calibri"/>
            <family val="2"/>
            <scheme val="minor"/>
          </rPr>
          <t>======
ID#AAAA3QOSLvI
    (2023-08-21 05:40:07)
[Threaded comment]
Your version of Excel allows you to read this threaded comment; however, any edits to it will get removed if the file is opened in a newer version of Excel. Learn more: https://go.microsoft.com/fwlink/?linkid=870924
Comment:
    Volume material setelah dilakukan proses pemesinan
Volume Akhir = Volume Awal - Scrap</t>
        </r>
      </text>
    </comment>
    <comment ref="B7" authorId="1" shapeId="0" xr:uid="{58F71CE0-1E14-44B1-8E21-6D75CB9A8786}">
      <text>
        <r>
          <rPr>
            <sz val="9"/>
            <color indexed="81"/>
            <rFont val="Tahoma"/>
            <family val="2"/>
          </rPr>
          <t>Operasi memotong bagian lengkungan sisi kanan dengan diameter awal 44 mm dan diameter akhir 20 mm. Derajat busur adalah 99,13 derajat.</t>
        </r>
      </text>
    </comment>
    <comment ref="B13" authorId="1" shapeId="0" xr:uid="{E9617716-93A3-4E22-868B-F99C180CFED8}">
      <text>
        <r>
          <rPr>
            <sz val="9"/>
            <color indexed="81"/>
            <rFont val="Tahoma"/>
            <family val="2"/>
          </rPr>
          <t>Operasi memotong bagian lengkungan sisi kiri dengan diameter awal 44 mm dan diameter akhir 20 mm</t>
        </r>
      </text>
    </comment>
    <comment ref="B19" authorId="1" shapeId="0" xr:uid="{CF245800-727A-48B0-9FD6-4FA3A778894F}">
      <text>
        <r>
          <rPr>
            <sz val="9"/>
            <color indexed="81"/>
            <rFont val="Tahoma"/>
            <family val="2"/>
          </rPr>
          <t>Operasi memotong bagian depan part dengan kedalaman 10 mm</t>
        </r>
      </text>
    </comment>
    <comment ref="B22" authorId="2" shapeId="0" xr:uid="{93E4601A-05B0-4847-BD11-57CB7FE90CD5}">
      <text>
        <r>
          <rPr>
            <sz val="9"/>
            <color indexed="81"/>
            <rFont val="Tahoma"/>
            <family val="2"/>
          </rPr>
          <t>Operasi memotong bagian lengkungan sisi depan dengan diameter awal 44 mm dan diameter akhir 20 mm. Derajat busur adalah 39,18 derajat. Lengkungan ini berada di sebelah kanan dari bagian depan yang telah dipotong sebelumnya.</t>
        </r>
      </text>
    </comment>
    <comment ref="B28" authorId="2" shapeId="0" xr:uid="{55FEAA1A-28C8-4DFF-B3B1-DCE83B086D58}">
      <text>
        <r>
          <rPr>
            <sz val="9"/>
            <color indexed="81"/>
            <rFont val="Tahoma"/>
            <family val="2"/>
          </rPr>
          <t>Operasi memotong bagian lengkungan sisi depan dengan diameter awal 44 mm dan diameter akhir 20 mm. Derajat busur adalah 39,18 derajat. Lengkungan ini berada di sebelah kanan dari bagian depan yang telah dipotong sebelumnya.</t>
        </r>
      </text>
    </comment>
    <comment ref="F37" authorId="0" shapeId="0" xr:uid="{A6DED395-B646-486B-B54E-E1CF24AEF5AE}">
      <text>
        <r>
          <rPr>
            <sz val="11"/>
            <color theme="1"/>
            <rFont val="Calibri"/>
            <family val="2"/>
            <scheme val="minor"/>
          </rPr>
          <t>======
ID#AAAA3QOSLvU
    (2023-08-21 05:40:07)
[Threaded comment]
Your version of Excel allows you to read this threaded comment; however, any edits to it will get removed if the file is opened in a newer version of Excel. Learn more: https://go.microsoft.com/fwlink/?linkid=870924
Comment:
    Depth of cut maksimum dari proses pembubutan umumnya sampai lima kali dari nilai f.
Lakukan pengulangan proses apabila kedalaman yang diinginkan melebihi nilai depth of cut maksimum.</t>
        </r>
      </text>
    </comment>
    <comment ref="H37" authorId="0" shapeId="0" xr:uid="{2FDC9A2F-E4F0-4A9D-AA54-142ABF0F90DF}">
      <text>
        <r>
          <rPr>
            <sz val="11"/>
            <color theme="1"/>
            <rFont val="Calibri"/>
            <family val="2"/>
            <scheme val="minor"/>
          </rPr>
          <t>======
ID#AAAA3QOSLvE
    (2023-08-21 05:40:07)
[Threaded comment]
Your version of Excel allows you to read this threaded comment; however, any edits to it will get removed if the file is opened in a newer version of Excel. Learn more: https://go.microsoft.com/fwlink/?linkid=870924
Comment:
    Lihat referensi Kalpakjian untuk nilai f</t>
        </r>
      </text>
    </comment>
    <comment ref="I37" authorId="0" shapeId="0" xr:uid="{A1F69267-988C-4DE7-9346-89CFD8B57F8F}">
      <text>
        <r>
          <rPr>
            <sz val="11"/>
            <color theme="1"/>
            <rFont val="Calibri"/>
            <family val="2"/>
            <scheme val="minor"/>
          </rPr>
          <t>======
ID#AAAA3QOSLvc
    (2023-08-21 05:40:07)
[Threaded comment]
Your version of Excel allows you to read this threaded comment; however, any edits to it will get removed if the file is opened in a newer version of Excel. Learn more: https://go.microsoft.com/fwlink/?linkid=870924
Comment:
    Lihat referensi Kalpakjian untuk nilai cutting speed</t>
        </r>
      </text>
    </comment>
    <comment ref="B38" authorId="1" shapeId="0" xr:uid="{628437E1-0A4E-42CF-9D7F-9F943D17C42A}">
      <text>
        <r>
          <rPr>
            <sz val="9"/>
            <color indexed="81"/>
            <rFont val="Tahoma"/>
            <family val="2"/>
          </rPr>
          <t>Operasi mereduksi diameter raw material dari 46 mm ke 44 mm</t>
        </r>
      </text>
    </comment>
    <comment ref="B44" authorId="1" shapeId="0" xr:uid="{8749EB43-377C-443D-AD70-3615D4C4AD77}">
      <text>
        <r>
          <rPr>
            <sz val="9"/>
            <color indexed="81"/>
            <rFont val="Tahoma"/>
            <family val="2"/>
          </rPr>
          <t>Operasi membuat lubang pada bagian tengah part dengan diameter 14 mm</t>
        </r>
      </text>
    </comment>
    <comment ref="B45" authorId="2" shapeId="0" xr:uid="{C87338DE-DBE9-45D7-AF4C-6D69227F3B16}">
      <text>
        <r>
          <rPr>
            <sz val="9"/>
            <color indexed="81"/>
            <rFont val="Tahoma"/>
            <family val="2"/>
          </rPr>
          <t>Operasi membuat lubang pada bagian samping part dengan diameter 7 mm sebanyak tiga buah.</t>
        </r>
      </text>
    </comment>
    <comment ref="B46" authorId="1" shapeId="0" xr:uid="{91803156-4CE8-4D90-9A54-10D60F11A493}">
      <text>
        <r>
          <rPr>
            <sz val="9"/>
            <color indexed="81"/>
            <rFont val="Tahoma"/>
            <family val="2"/>
          </rPr>
          <t>Operasi pembuatan lubang dengan ulir untuk fastener</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
    <author>tc={2F2D8D20-D7C5-4694-8519-14F87864D1DD}</author>
    <author>tc={C70015EC-B53B-4253-BFAF-3378C520E685}</author>
    <author>tc={824C34DB-38BF-41D6-96B2-0BE62C748175}</author>
    <author>tc={CE0C8F84-4838-44BD-9340-39FAF0A2591F}</author>
    <author>tc={99F13EAE-41A6-4D6D-8F4A-73D22DAA1A6A}</author>
    <author>tc={BA6E4EF1-6A1F-46FB-9243-4574576443A3}</author>
    <author>tc={01E19635-0446-4917-8FCC-C6D68B878BE7}</author>
    <author>tc={45858FCD-AD8D-40B1-9E59-477C414BA8EF}</author>
    <author>tc={82FB2F22-13C1-4B73-9B19-DB5616B1A444}</author>
    <author>tc={05D92197-4AC4-4B8B-9EE6-69F76B601933}</author>
    <author>tc={59849A25-967F-45DE-9282-2E6B2F271ADB}</author>
    <author>tc={2CFD53FF-E7F1-4307-A9BF-81EF8D34F7CF}</author>
    <author>tc={CB763BC5-06D2-48E6-8EA6-F88A405022F7}</author>
    <author>tc={37023677-D12A-4E15-B271-9A5EFD24441E}</author>
  </authors>
  <commentList>
    <comment ref="K1" authorId="0" shapeId="0" xr:uid="{FD3CE6AF-5CAB-457A-89BB-D1B0E2858EC7}">
      <text>
        <r>
          <rPr>
            <sz val="11"/>
            <color theme="1"/>
            <rFont val="Calibri"/>
            <family val="2"/>
            <scheme val="minor"/>
          </rPr>
          <t>======
ID#AAAA3QOSLt4
    (2023-08-21 05:40:07)
Lampirkan gambar isometric part</t>
        </r>
      </text>
    </comment>
    <comment ref="A3" authorId="0" shapeId="0" xr:uid="{3111EC26-3666-401D-B7CF-F296F7CCBF54}">
      <text>
        <r>
          <rPr>
            <sz val="11"/>
            <color theme="1"/>
            <rFont val="Calibri"/>
            <family val="2"/>
            <scheme val="minor"/>
          </rPr>
          <t>======
ID#AAAA3QOSLv0
    (2023-08-21 05:40:07)
Sesuai nomor part di drawing</t>
        </r>
      </text>
    </comment>
    <comment ref="E3" authorId="0" shapeId="0" xr:uid="{50471FCE-3505-496C-85C9-DDC67807D11C}">
      <text>
        <r>
          <rPr>
            <sz val="11"/>
            <color theme="1"/>
            <rFont val="Calibri"/>
            <family val="2"/>
            <scheme val="minor"/>
          </rPr>
          <t>======
ID#AAAA3QOSLt8
    (2023-08-21 05:40:07)
Ditulis '1', kecuali terdapat lebih dari 1 halaman ketika dilampirkan di laporan</t>
        </r>
      </text>
    </comment>
    <comment ref="A4" authorId="0" shapeId="0" xr:uid="{3F1CD265-9F31-4691-BA66-5624ED1E3306}">
      <text>
        <r>
          <rPr>
            <sz val="11"/>
            <color theme="1"/>
            <rFont val="Calibri"/>
            <family val="2"/>
            <scheme val="minor"/>
          </rPr>
          <t>======
ID#AAAA3QOSLwA
    (2023-08-21 05:40:07)
Sesuai nomor di BOM yang dibuat praktikan</t>
        </r>
      </text>
    </comment>
    <comment ref="E5" authorId="0" shapeId="0" xr:uid="{077D901F-7FEB-4220-9C42-C5C4CFEA3801}">
      <text>
        <r>
          <rPr>
            <sz val="11"/>
            <color theme="1"/>
            <rFont val="Calibri"/>
            <family val="2"/>
            <scheme val="minor"/>
          </rPr>
          <t>======
ID#AAAA3QOSLwI
tc={965D57F4-0DB2-4230-8C1A-6D58D3008C65}    (2023-08-21 05:40:07)
[Threaded comment]
Your version of Excel allows you to read this threaded comment; however, any edits to it will get removed if the file is opened in a newer version of Excel. Learn more: https://go.microsoft.com/fwlink/?linkid=870924
Comment:
    Material: Aluminium Alloy</t>
        </r>
      </text>
    </comment>
    <comment ref="E6" authorId="0" shapeId="0" xr:uid="{C11F4BD5-9311-4D6C-8023-E0F3EF1239A3}">
      <text>
        <r>
          <rPr>
            <sz val="11"/>
            <color theme="1"/>
            <rFont val="Calibri"/>
            <family val="2"/>
            <scheme val="minor"/>
          </rPr>
          <t>======
ID#AAAA3QOSLuE
    (2023-08-21 05:40:07)
Diisi ukuran raw material yang digunakan beserta satuannya.
Jika ingin membuat LRP manual, maka bisa menggunakan fitur measuring pada SolidWorks untuk mengetahui panjang, lebar/diameter, dan tingginya</t>
        </r>
      </text>
    </comment>
    <comment ref="F6" authorId="0" shapeId="0" xr:uid="{5D24B97C-497D-4D78-9F97-34523C78A789}">
      <text>
        <r>
          <rPr>
            <sz val="11"/>
            <color theme="1"/>
            <rFont val="Calibri"/>
            <family val="2"/>
            <scheme val="minor"/>
          </rPr>
          <t>======
ID#AAAA3QOSLuY
    (2023-08-21 05:40:07)
Jika raw material berbentuk silinder, bagian panjang dapat diisi dengan tanda (-) dan hanya mengisi diameter serta tingginya</t>
        </r>
      </text>
    </comment>
    <comment ref="A7" authorId="0" shapeId="0" xr:uid="{3A2BB98C-2809-4393-8B1A-CCC534794B11}">
      <text>
        <r>
          <rPr>
            <sz val="11"/>
            <color theme="1"/>
            <rFont val="Calibri"/>
            <family val="2"/>
            <scheme val="minor"/>
          </rPr>
          <t>======
ID#AAAA3QOSLv4
    (2023-08-21 05:40:07)
Diisi dengan nama kelompok.
Misal:
KelompokG00
KelompokC00</t>
        </r>
      </text>
    </comment>
    <comment ref="A8" authorId="0" shapeId="0" xr:uid="{8E806A55-D24D-43EF-9F37-485A4783D8B9}">
      <text>
        <r>
          <rPr>
            <sz val="11"/>
            <color theme="1"/>
            <rFont val="Calibri"/>
            <family val="2"/>
            <scheme val="minor"/>
          </rPr>
          <t>======
ID#AAAA3QOSLuo
    (2023-08-21 05:40:07)
Diisi tanggal saat pembuatan LRP</t>
        </r>
      </text>
    </comment>
    <comment ref="A10" authorId="0" shapeId="0" xr:uid="{10A02C4D-19AF-4814-869A-F8C050D6F928}">
      <text>
        <r>
          <rPr>
            <sz val="11"/>
            <color theme="1"/>
            <rFont val="Calibri"/>
            <family val="2"/>
            <scheme val="minor"/>
          </rPr>
          <t>======
ID#AAAA3QOSLu4
    (2023-08-21 05:40:07)
Kalau ada pengulangan proses, jangan lupa nomor proses juga di skip.
Misal:
______________________________________________
No proses | Urutan Operasi
1                 | Drilling (D=..., d=...) (top side) 4x
5                 | Milling (L=..., d=...) w=... (top side)</t>
        </r>
      </text>
    </comment>
    <comment ref="B10" authorId="0" shapeId="0" xr:uid="{6E7B9A47-98F8-46AA-9F97-AD757D55E7E8}">
      <text>
        <r>
          <rPr>
            <sz val="11"/>
            <color theme="1"/>
            <rFont val="Calibri"/>
            <family val="2"/>
            <scheme val="minor"/>
          </rPr>
          <t>======
ID#AAAA3QOSLv8
    (2023-08-21 05:40:07)
Urutan operasi selalu diawali dengan pengukuran dan diakhiri dengan inspeksi.
Praktikan diperbolehkan untuk menggunakan fitur costing report, SolidCAM, dsb. untuk memperoleh referensi urutan operasi untuk beberapa part.</t>
        </r>
      </text>
    </comment>
    <comment ref="C10" authorId="0" shapeId="0" xr:uid="{230CEA29-C9CC-48C2-9EA4-11FDE11A3299}">
      <text>
        <r>
          <rPr>
            <sz val="11"/>
            <color theme="1"/>
            <rFont val="Calibri"/>
            <family val="2"/>
            <scheme val="minor"/>
          </rPr>
          <t>======
ID#AAAA3QOSLvw
    (2023-08-21 05:40:07)
Diisi dengan nama stasiun kerja (Misal: Pengukuran, Mesin Bubut, Mesin Drilling, Kerja Bangku, Mesin Press)</t>
        </r>
      </text>
    </comment>
    <comment ref="F10" authorId="0" shapeId="0" xr:uid="{960B4CE8-5768-46C2-B2FD-97741E119898}">
      <text>
        <r>
          <rPr>
            <sz val="11"/>
            <color theme="1"/>
            <rFont val="Calibri"/>
            <family val="2"/>
            <scheme val="minor"/>
          </rPr>
          <t>======
ID#AAAA3QOSLuQ
    (2023-08-21 05:40:07)
Mesin Milling: HSS Milling Tool D = X mm
Mesin Drilling: HSS Center Drill D = X mm, HSS Tapping Drill D = X mm
Mesin Bubut: HSS Turning Tool atau TCT Turning Tool
Kerja Bangku untuk cutting (termasuk chamfering): Gerinda
Pengukuran: Mistar, meteran, jangka sorong, mikrometer sekrup, dll. sesuai kebutuhan
Praktikan diperbolehkan untuk mencari referensi tools lainnya.</t>
        </r>
      </text>
    </comment>
    <comment ref="G10" authorId="0" shapeId="0" xr:uid="{91ABC655-3BD3-4EB2-BFAF-39885A4CFEEA}">
      <text>
        <r>
          <rPr>
            <sz val="11"/>
            <color theme="1"/>
            <rFont val="Calibri"/>
            <family val="2"/>
            <scheme val="minor"/>
          </rPr>
          <t>======
ID#AAAA3QOSLwQ
    (2023-08-21 05:40:07)
Ganti mesin: 60 detik
Ganti pahat: 60 detik
Positioning pahat: 30 detik
Positioning benda: 30 detik
Kerja bangku: 240 detik
Inspeksi: 0 detik
Pengukuran: 0 detik
Waktu setup kerja bangku untuk proses chamfering (linear) dan cutting dapat disatukan. (Misal terdapat proses chamfering sebanyak 8x, maka waktu setup = 240 detik, waktu proses = 0 detik)</t>
        </r>
      </text>
    </comment>
    <comment ref="H10" authorId="0" shapeId="0" xr:uid="{80375D85-FC14-4D56-9999-02E6DCE372BA}">
      <text>
        <r>
          <rPr>
            <sz val="11"/>
            <color theme="1"/>
            <rFont val="Calibri"/>
            <family val="2"/>
            <scheme val="minor"/>
          </rPr>
          <t>======
ID#AAAA3QOSLu8
    (2023-08-21 05:40:07)
Link dari sheet perhitungan</t>
        </r>
      </text>
    </comment>
    <comment ref="I10" authorId="0" shapeId="0" xr:uid="{B4E255D7-64AC-46EF-85CE-892363AEDD9C}">
      <text>
        <r>
          <rPr>
            <sz val="11"/>
            <color theme="1"/>
            <rFont val="Calibri"/>
            <family val="2"/>
            <scheme val="minor"/>
          </rPr>
          <t>======
ID#AAAA3QOSLvk
    (2023-08-21 05:40:07)
Waktu total = Waktu setup + Waktu proses</t>
        </r>
      </text>
    </comment>
    <comment ref="D11" authorId="0" shapeId="0" xr:uid="{3E823D9F-6171-47E5-AA79-275A2121C40E}">
      <text>
        <r>
          <rPr>
            <sz val="11"/>
            <color theme="1"/>
            <rFont val="Calibri"/>
            <family val="2"/>
            <scheme val="minor"/>
          </rPr>
          <t>======
ID#AAAA3QOSLuA
    (2023-08-21 05:40:07)
Pengisian nomor setup prinsipnya sama dengan nomor proses.</t>
        </r>
      </text>
    </comment>
    <comment ref="E11" authorId="0" shapeId="0" xr:uid="{22CCB91F-7933-4F60-829D-BCB58045EF65}">
      <text>
        <r>
          <rPr>
            <sz val="11"/>
            <color theme="1"/>
            <rFont val="Calibri"/>
            <family val="2"/>
            <scheme val="minor"/>
          </rPr>
          <t>======
ID#AAAA3QOSLvs
    (2023-08-21 05:40:07)
Alat bantu diisi Ragum untuk seluruh proses pemesinan, kecuali mesin bubut gunakan Three Jaw Chuck atau Four Jaw Chuck.
Tidak diperlukan alat bantu untuk pengukuran dan inspeksi.</t>
        </r>
      </text>
    </comment>
    <comment ref="B13" authorId="1" shapeId="0" xr:uid="{2F2D8D20-D7C5-4694-8519-14F87864D1DD}">
      <text>
        <t>[Threaded comment]
Your version of Excel allows you to read this threaded comment; however, any edits to it will get removed if the file is opened in a newer version of Excel. Learn more: https://go.microsoft.com/fwlink/?linkid=870924
Comment:
    Pembentukan fitur setengah lingkaran pada bagian bawah part</t>
      </text>
    </comment>
    <comment ref="B14" authorId="2" shapeId="0" xr:uid="{C70015EC-B53B-4253-BFAF-3378C520E685}">
      <text>
        <t>[Threaded comment]
Your version of Excel allows you to read this threaded comment; however, any edits to it will get removed if the file is opened in a newer version of Excel. Learn more: https://go.microsoft.com/fwlink/?linkid=870924
Comment:
    Membentuk fitur rongga di tengah part</t>
      </text>
    </comment>
    <comment ref="B17" authorId="3" shapeId="0" xr:uid="{824C34DB-38BF-41D6-96B2-0BE62C748175}">
      <text>
        <t>[Threaded comment]
Your version of Excel allows you to read this threaded comment; however, any edits to it will get removed if the file is opened in a newer version of Excel. Learn more: https://go.microsoft.com/fwlink/?linkid=870924
Comment:
    Proses pembentukan lingkaran pada bagian bawah part</t>
      </text>
    </comment>
    <comment ref="B18" authorId="4" shapeId="0" xr:uid="{CE0C8F84-4838-44BD-9340-39FAF0A2591F}">
      <text>
        <t>[Threaded comment]
Your version of Excel allows you to read this threaded comment; however, any edits to it will get removed if the file is opened in a newer version of Excel. Learn more: https://go.microsoft.com/fwlink/?linkid=870924
Comment:
    Proses pembentukan lingkaran pada bagian bawah part</t>
      </text>
    </comment>
    <comment ref="B19" authorId="5" shapeId="0" xr:uid="{99F13EAE-41A6-4D6D-8F4A-73D22DAA1A6A}">
      <text>
        <t>[Threaded comment]
Your version of Excel allows you to read this threaded comment; however, any edits to it will get removed if the file is opened in a newer version of Excel. Learn more: https://go.microsoft.com/fwlink/?linkid=870924
Comment:
    Melakukan roughing pada bagian kanan part untuk membentuk fitur segitiga</t>
      </text>
    </comment>
    <comment ref="B21" authorId="6" shapeId="0" xr:uid="{BA6E4EF1-6A1F-46FB-9243-4574576443A3}">
      <text>
        <t>[Threaded comment]
Your version of Excel allows you to read this threaded comment; however, any edits to it will get removed if the file is opened in a newer version of Excel. Learn more: https://go.microsoft.com/fwlink/?linkid=870924
Comment:
    Melakukan roughing pada bagian kiri part untuk membentuk fitur segitiga</t>
      </text>
    </comment>
    <comment ref="B23" authorId="7" shapeId="0" xr:uid="{01E19635-0446-4917-8FCC-C6D68B878BE7}">
      <text>
        <t>[Threaded comment]
Your version of Excel allows you to read this threaded comment; however, any edits to it will get removed if the file is opened in a newer version of Excel. Learn more: https://go.microsoft.com/fwlink/?linkid=870924
Comment:
    Melakukan roughing pada bagian dekat lingkaran part untuk membentuk fitur garis lurus</t>
      </text>
    </comment>
    <comment ref="B25" authorId="8" shapeId="0" xr:uid="{45858FCD-AD8D-40B1-9E59-477C414BA8EF}">
      <text>
        <t>[Threaded comment]
Your version of Excel allows you to read this threaded comment; however, any edits to it will get removed if the file is opened in a newer version of Excel. Learn more: https://go.microsoft.com/fwlink/?linkid=870924
Comment:
    Membentuk fitur murr pada bagian kanan part</t>
      </text>
    </comment>
    <comment ref="B27" authorId="9" shapeId="0" xr:uid="{82FB2F22-13C1-4B73-9B19-DB5616B1A444}">
      <text>
        <t>[Threaded comment]
Your version of Excel allows you to read this threaded comment; however, any edits to it will get removed if the file is opened in a newer version of Excel. Learn more: https://go.microsoft.com/fwlink/?linkid=870924
Comment:
    Melakukan roughing pada sisi kanan part</t>
      </text>
    </comment>
    <comment ref="B33" authorId="10" shapeId="0" xr:uid="{05D92197-4AC4-4B8B-9EE6-69F76B601933}">
      <text>
        <t>[Threaded comment]
Your version of Excel allows you to read this threaded comment; however, any edits to it will get removed if the file is opened in a newer version of Excel. Learn more: https://go.microsoft.com/fwlink/?linkid=870924
Comment:
    Melakukan roughing pada sisi kiri part</t>
      </text>
    </comment>
    <comment ref="B39" authorId="11" shapeId="0" xr:uid="{59849A25-967F-45DE-9282-2E6B2F271ADB}">
      <text>
        <t>[Threaded comment]
Your version of Excel allows you to read this threaded comment; however, any edits to it will get removed if the file is opened in a newer version of Excel. Learn more: https://go.microsoft.com/fwlink/?linkid=870924
Comment:
    Membentuk fitur melengkung pada sisi kanan part</t>
      </text>
    </comment>
    <comment ref="B41" authorId="12" shapeId="0" xr:uid="{2CFD53FF-E7F1-4307-A9BF-81EF8D34F7CF}">
      <text>
        <t>[Threaded comment]
Your version of Excel allows you to read this threaded comment; however, any edits to it will get removed if the file is opened in a newer version of Excel. Learn more: https://go.microsoft.com/fwlink/?linkid=870924
Comment:
    Membentuk fitur melengkung pada sisi kiri part</t>
      </text>
    </comment>
    <comment ref="B43" authorId="13" shapeId="0" xr:uid="{CB763BC5-06D2-48E6-8EA6-F88A405022F7}">
      <text>
        <t>[Threaded comment]
Your version of Excel allows you to read this threaded comment; however, any edits to it will get removed if the file is opened in a newer version of Excel. Learn more: https://go.microsoft.com/fwlink/?linkid=870924
Comment:
    Pembuatan fitur lubang pada sisi kanan part</t>
      </text>
    </comment>
    <comment ref="B45" authorId="14" shapeId="0" xr:uid="{37023677-D12A-4E15-B271-9A5EFD24441E}">
      <text>
        <t>[Threaded comment]
Your version of Excel allows you to read this threaded comment; however, any edits to it will get removed if the file is opened in a newer version of Excel. Learn more: https://go.microsoft.com/fwlink/?linkid=870924
Comment:
    Pembentukan fitur lubang pada sisi kiri part</t>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
  </authors>
  <commentList>
    <comment ref="A5" authorId="0" shapeId="0" xr:uid="{E7728E58-D6BD-4353-81DF-E64B07D82D92}">
      <text>
        <r>
          <rPr>
            <sz val="11"/>
            <color theme="1"/>
            <rFont val="Calibri"/>
            <family val="2"/>
            <scheme val="minor"/>
          </rPr>
          <t>======
ID#AAAA3QOSLug
    (2023-08-21 05:40:07)
[Threaded comment]
Your version of Excel allows you to read this threaded comment; however, any edits to it will get removed if the file is opened in a newer version of Excel. Learn more: https://go.microsoft.com/fwlink/?linkid=870924
Comment:
    Diperlukan setup positioning pahat untuk pengulangan proses akibat maximum width of cut.</t>
        </r>
      </text>
    </comment>
    <comment ref="C6" authorId="0" shapeId="0" xr:uid="{879E20E1-6C3F-4297-84AD-AA104D829B74}">
      <text>
        <r>
          <rPr>
            <sz val="11"/>
            <color theme="1"/>
            <rFont val="Calibri"/>
            <family val="2"/>
            <scheme val="minor"/>
          </rPr>
          <t>======
ID#AAAA3QOSLvQ
    (2023-08-21 05:40:07)
[Threaded comment]
Your version of Excel allows you to read this threaded comment; however, any edits to it will get removed if the file is opened in a newer version of Excel. Learn more: https://go.microsoft.com/fwlink/?linkid=870924
Comment:
    Lihat referensi Kalpakjian untuk nilai diameter pahat.</t>
        </r>
      </text>
    </comment>
    <comment ref="D6" authorId="0" shapeId="0" xr:uid="{8BBBF142-63E7-417E-8A59-BD3141430580}">
      <text>
        <r>
          <rPr>
            <sz val="11"/>
            <color theme="1"/>
            <rFont val="Calibri"/>
            <family val="2"/>
            <scheme val="minor"/>
          </rPr>
          <t>======
ID#AAAA3QOSLu0
    (2023-08-21 05:40:07)
[Threaded comment]
Your version of Excel allows you to read this threaded comment; however, any edits to it will get removed if the file is opened in a newer version of Excel. Learn more: https://go.microsoft.com/fwlink/?linkid=870924
Comment:
    Lihat referensi Kalpakjian untuk nilai maksimum kedalaman potong
Apabila kedalaman potong yang diinginkan melebihi nilai maksimum kedalaman potong, ulangi proses sampai diperoleh kedalaman potong yang diinginkan.
Contoh:
Kedalaman potong diinginkan= 12 mm
Kedalaman potong (roughing) maksimum= 5 mm
Kedalaman potong (finishing) maksimum= 0.5 mm
Maka diperlukan proses:
1. Roughing 2x dengan kedalaman potong masing-masing 5 mm
2. Roughing 1x dengan kedalaman potong 1.5 mm
3. Finishing 1x dengan kedalaman potong 0.5 mm</t>
        </r>
      </text>
    </comment>
    <comment ref="F6" authorId="0" shapeId="0" xr:uid="{5603325B-50ED-4818-B92F-BC060463C0B4}">
      <text>
        <r>
          <rPr>
            <sz val="11"/>
            <color theme="1"/>
            <rFont val="Calibri"/>
            <family val="2"/>
            <scheme val="minor"/>
          </rPr>
          <t>======
ID#AAAA3QOSLwE
    (2023-08-21 05:40:07)
[Threaded comment]
Your version of Excel allows you to read this threaded comment; however, any edits to it will get removed if the file is opened in a newer version of Excel. Learn more: https://go.microsoft.com/fwlink/?linkid=870924
Comment:
    Lihat referensi Kalpakjian untuk nilai kecepatan potong</t>
        </r>
      </text>
    </comment>
    <comment ref="H6" authorId="0" shapeId="0" xr:uid="{31AFB83D-8B2B-42F5-B167-B1CC61CF2C92}">
      <text>
        <r>
          <rPr>
            <sz val="11"/>
            <color theme="1"/>
            <rFont val="Calibri"/>
            <family val="2"/>
            <scheme val="minor"/>
          </rPr>
          <t>======
ID#AAAA3QOSLvM
    (2023-08-21 05:40:07)
[Threaded comment]
Your version of Excel allows you to read this threaded comment; however, any edits to it will get removed if the file is opened in a newer version of Excel. Learn more: https://go.microsoft.com/fwlink/?linkid=870924
Comment:
    Lihat referensi Kalpakjian untuk nilai feed rate</t>
        </r>
      </text>
    </comment>
    <comment ref="I6" authorId="0" shapeId="0" xr:uid="{3262109C-2B87-4892-86AB-7F6B33E23E12}">
      <text>
        <r>
          <rPr>
            <sz val="11"/>
            <color theme="1"/>
            <rFont val="Calibri"/>
            <family val="2"/>
            <scheme val="minor"/>
          </rPr>
          <t>======
ID#AAAA3QOSLuc
    (2023-08-21 05:40:07)
[Threaded comment]
Your version of Excel allows you to read this threaded comment; however, any edits to it will get removed if the file is opened in a newer version of Excel. Learn more: https://go.microsoft.com/fwlink/?linkid=870924
Comment:
    Untuk face milling,
w maksimum = D
Apabila lebar potong yang diinginkan melebihi nilai D, ulangi proses sampai diperoleh lebar potong yang diinginkan.
Contoh:
lebar potong diinginkan= 150 mm
lebar potong maksimum= 70 mm
Diperlukan proses:
1. Roughing 2x dengan lebar potong masing-masing 70 mm
2. Roughing 1x dengan lebar potong 10 mm.
Hal yang sama diterapkan untuk proses finishing.
Diperlukan setup positioning pahat untuk pengulangan proses akibat maximum width of cut.</t>
        </r>
      </text>
    </comment>
    <comment ref="J6" authorId="0" shapeId="0" xr:uid="{D9269704-F0ED-43C3-B0A2-1167B8057DFD}">
      <text>
        <r>
          <rPr>
            <sz val="11"/>
            <color theme="1"/>
            <rFont val="Calibri"/>
            <family val="2"/>
            <scheme val="minor"/>
          </rPr>
          <t>======
ID#AAAA3QOSLuM
    (2023-08-21 05:40:07)
[Threaded comment]
Your version of Excel allows you to read this threaded comment; however, any edits to it will get removed if the file is opened in a newer version of Excel. Learn more: https://go.microsoft.com/fwlink/?linkid=870924
Comment:
    Approach length
Contoh A untuk face milling:
Untuk w = D (centered),
A = D/2
Untuk w &lt; D (offset),
A = √[w(D-w)]</t>
        </r>
      </text>
    </comment>
    <comment ref="K6" authorId="0" shapeId="0" xr:uid="{32C85C62-ABB9-492B-86B7-1FAD6450CC3C}">
      <text>
        <r>
          <rPr>
            <sz val="11"/>
            <color theme="1"/>
            <rFont val="Calibri"/>
            <family val="2"/>
            <scheme val="minor"/>
          </rPr>
          <t>======
ID#AAAA3QOSLuk
    (2023-08-21 05:40:07)
[Threaded comment]
Your version of Excel allows you to read this threaded comment; however, any edits to it will get removed if the file is opened in a newer version of Excel. Learn more: https://go.microsoft.com/fwlink/?linkid=870924
Comment:
    Apabila terdapat pengulangan proses, nilai Tm dikalikan dengan banyaknya proses.</t>
        </r>
      </text>
    </comment>
    <comment ref="N6" authorId="0" shapeId="0" xr:uid="{F2C27A86-EF24-403B-87E4-7C2F60F96338}">
      <text>
        <r>
          <rPr>
            <sz val="11"/>
            <color theme="1"/>
            <rFont val="Calibri"/>
            <family val="2"/>
            <scheme val="minor"/>
          </rPr>
          <t>======
ID#AAAA3QOSLwU
    (2023-08-21 05:40:07)
[Threaded comment]
Your version of Excel allows you to read this threaded comment; however, any edits to it will get removed if the file is opened in a newer version of Excel. Learn more: https://go.microsoft.com/fwlink/?linkid=870924
Comment:
    Volume material sebelum dilakukan proses pemesinan tertentu
Volume Awal Proses ke n = Volume Akhir Proses ke n-1
Volume Awal Proses ke 1 = Volume Raw Material</t>
        </r>
      </text>
    </comment>
    <comment ref="O6" authorId="0" shapeId="0" xr:uid="{3FEA01ED-3BF4-4127-83FC-86895CBD8C2C}">
      <text>
        <r>
          <rPr>
            <sz val="11"/>
            <color theme="1"/>
            <rFont val="Calibri"/>
            <family val="2"/>
            <scheme val="minor"/>
          </rPr>
          <t>======
ID#AAAA3QOSLvA
    (2023-08-21 05:40:07)
[Threaded comment]
Your version of Excel allows you to read this threaded comment; however, any edits to it will get removed if the file is opened in a newer version of Excel. Learn more: https://go.microsoft.com/fwlink/?linkid=870924
Com ment:
    Hitung volume dari material yang terbuang pada suatu proses tertentu.
Apabila terdapat pengulangan proses, nilai scrap dikalikan dengan banyaknya proses.
Rumus pendekatan perhitungan scrap apabila scrap memiliki bentuk yang kompleks:
Scrap = Tm x MRR
Untuk milling, karena terdapat approach length yang tidak melakukan pembuangan material, maka:
Scrap = L/Fr x MRR
Gunakan fitur measuring pada Solidworks untuk mempermudah perhitungan area dan keliling dari face tertentu.
Praktikan diperbolehkan menggunakan fitur costing untuk menghitung scrap untuk proses tertentu.</t>
        </r>
      </text>
    </comment>
    <comment ref="P6" authorId="0" shapeId="0" xr:uid="{3863EC7E-8D42-463A-9A06-36A8F7987815}">
      <text>
        <r>
          <rPr>
            <sz val="11"/>
            <color theme="1"/>
            <rFont val="Calibri"/>
            <family val="2"/>
            <scheme val="minor"/>
          </rPr>
          <t>======
ID#AAAA3QOSLvY
    (2023-08-21 05:40:07)
[Threaded comment]
Your version of Excel allows you to read this threaded comment; however, any edits to it will get removed if the file is opened in a newer version of Excel. Learn more: https://go.microsoft.com/fwlink/?linkid=870924
Comment:
    Persentase Scrap terhadap volume raw material</t>
        </r>
      </text>
    </comment>
    <comment ref="Q6" authorId="0" shapeId="0" xr:uid="{063AC508-1C38-4EAB-BDB5-8B3700A3EA51}">
      <text>
        <r>
          <rPr>
            <sz val="11"/>
            <color theme="1"/>
            <rFont val="Calibri"/>
            <family val="2"/>
            <scheme val="minor"/>
          </rPr>
          <t>======
ID#AAAA3QOSLvI
    (2023-08-21 05:40:07)
[Threaded comment]
Your version of Excel allows you to read this threaded comment; however, any edits to it will get removed if the file is opened in a newer version of Excel. Learn more: https://go.microsoft.com/fwlink/?linkid=870924
Comment:
    Volume material setelah dilakukan proses pemesinan
Volume Akhir = Volume Awal - Scrap</t>
        </r>
      </text>
    </comment>
    <comment ref="F37" authorId="0" shapeId="0" xr:uid="{553783EE-4B4D-4E18-A43D-E1AD6DC722CC}">
      <text>
        <r>
          <rPr>
            <sz val="11"/>
            <color theme="1"/>
            <rFont val="Calibri"/>
            <family val="2"/>
            <scheme val="minor"/>
          </rPr>
          <t>======
ID#AAAA3QOSLvU
    (2023-08-21 05:40:07)
[Threaded comment]
Your version of Excel allows you to read this threaded comment; however, any edits to it will get removed if the file is opened in a newer version of Excel. Learn more: https://go.microsoft.com/fwlink/?linkid=870924
Comment:
    Depth of cut maksimum dari proses pembubutan umumnya sampai lima kali dari nilai f.
Lakukan pengulangan proses apabila kedalaman yang diinginkan melebihi nilai depth of cut maksimum.</t>
        </r>
      </text>
    </comment>
    <comment ref="H37" authorId="0" shapeId="0" xr:uid="{70A2EF53-6403-463C-83D2-C2DF7EF86BD2}">
      <text>
        <r>
          <rPr>
            <sz val="11"/>
            <color theme="1"/>
            <rFont val="Calibri"/>
            <family val="2"/>
            <scheme val="minor"/>
          </rPr>
          <t>======
ID#AAAA3QOSLvE
    (2023-08-21 05:40:07)
[Threaded comment]
Your version of Excel allows you to read this threaded comment; however, any edits to it will get removed if the file is opened in a newer version of Excel. Learn more: https://go.microsoft.com/fwlink/?linkid=870924
Comment:
    Lihat referensi Kalpakjian untuk nilai f</t>
        </r>
      </text>
    </comment>
    <comment ref="I37" authorId="0" shapeId="0" xr:uid="{12696DD9-03BA-428A-BCD3-86A5E6AAFC10}">
      <text>
        <r>
          <rPr>
            <sz val="11"/>
            <color theme="1"/>
            <rFont val="Calibri"/>
            <family val="2"/>
            <scheme val="minor"/>
          </rPr>
          <t>======
ID#AAAA3QOSLvc
    (2023-08-21 05:40:07)
[Threaded comment]
Your version of Excel allows you to read this threaded comment; however, any edits to it will get removed if the file is opened in a newer version of Excel. Learn more: https://go.microsoft.com/fwlink/?linkid=870924
Comment:
    Lihat referensi Kalpakjian untuk nilai cutting speed</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
    <author>tc={699FCEF3-26CA-4CF3-8B4E-098A59762AF0}</author>
    <author>tc={EC14BF7B-1E7D-46BC-A956-ADC371EEFE4A}</author>
    <author>tc={04B84129-6907-414F-86D4-9761CCFCD10E}</author>
    <author>tc={87D226DC-AB58-43BF-A52A-3AD773314DA1}</author>
    <author>tc={9A51B348-64B8-4B10-B4ED-E03B963046DC}</author>
    <author>tc={F3936492-611B-4C50-8E94-458C64A1516F}</author>
    <author>tc={2227F8DA-F194-4D28-A102-9587AC7D2213}</author>
    <author>tc={F03F3B41-8B97-4BB2-A7ED-DA7970D5F0B2}</author>
    <author>tc={890B1B23-A2FE-4194-B9A3-99A950584CFD}</author>
    <author>tc={838F7707-AD20-4E10-B88D-9E21D7A1D850}</author>
    <author>tc={67AC6F1D-00CA-4A21-A0F8-DDB3DD9E358A}</author>
  </authors>
  <commentList>
    <comment ref="K1" authorId="0" shapeId="0" xr:uid="{9C336532-A913-4B7A-8ABB-082BEAF64FF3}">
      <text>
        <r>
          <rPr>
            <sz val="11"/>
            <color theme="1"/>
            <rFont val="Calibri"/>
            <family val="2"/>
            <scheme val="minor"/>
          </rPr>
          <t>======
ID#AAAA3QOSLt4
    (2023-08-21 05:40:07)
Lampirkan gambar isometric part</t>
        </r>
      </text>
    </comment>
    <comment ref="A3" authorId="0" shapeId="0" xr:uid="{5DF083C7-5DEE-4A15-97CC-E912C00BD106}">
      <text>
        <r>
          <rPr>
            <sz val="11"/>
            <color theme="1"/>
            <rFont val="Calibri"/>
            <family val="2"/>
            <scheme val="minor"/>
          </rPr>
          <t>======
ID#AAAA3QOSLv0
    (2023-08-21 05:40:07)
Sesuai nomor part di drawing</t>
        </r>
      </text>
    </comment>
    <comment ref="E3" authorId="0" shapeId="0" xr:uid="{CFC59479-CBF1-4072-B180-4DDC06FB2DDF}">
      <text>
        <r>
          <rPr>
            <sz val="11"/>
            <color theme="1"/>
            <rFont val="Calibri"/>
            <family val="2"/>
            <scheme val="minor"/>
          </rPr>
          <t>======
ID#AAAA3QOSLt8
    (2023-08-21 05:40:07)
Ditulis '1', kecuali terdapat lebih dari 1 halaman ketika dilampirkan di laporan</t>
        </r>
      </text>
    </comment>
    <comment ref="A4" authorId="0" shapeId="0" xr:uid="{040193C0-C0E4-4A9E-B020-22F13AF42A73}">
      <text>
        <r>
          <rPr>
            <sz val="11"/>
            <color theme="1"/>
            <rFont val="Calibri"/>
            <family val="2"/>
            <scheme val="minor"/>
          </rPr>
          <t>======
ID#AAAA3QOSLwA
    (2023-08-21 05:40:07)
Sesuai nomor di BOM yang dibuat praktikan</t>
        </r>
      </text>
    </comment>
    <comment ref="E5" authorId="0" shapeId="0" xr:uid="{441928A4-4111-424B-AE0C-67E7A1533FEC}">
      <text>
        <r>
          <rPr>
            <sz val="11"/>
            <color theme="1"/>
            <rFont val="Calibri"/>
            <family val="2"/>
            <scheme val="minor"/>
          </rPr>
          <t>======
ID#AAAA3QOSLwI
tc={965D57F4-0DB2-4230-8C1A-6D58D3008C65}    (2023-08-21 05:40:07)
[Threaded comment]
Your version of Excel allows you to read this threaded comment; however, any edits to it will get removed if the file is opened in a newer version of Excel. Learn more: https://go.microsoft.com/fwlink/?linkid=870924
Comment:
    Material: Aluminium Alloy</t>
        </r>
      </text>
    </comment>
    <comment ref="E6" authorId="0" shapeId="0" xr:uid="{3D4796E4-3CC0-4ED6-8642-D10C33F3769F}">
      <text>
        <r>
          <rPr>
            <sz val="11"/>
            <color theme="1"/>
            <rFont val="Calibri"/>
            <family val="2"/>
            <scheme val="minor"/>
          </rPr>
          <t>======
ID#AAAA3QOSLuE
    (2023-08-21 05:40:07)
Diisi ukuran raw material yang digunakan beserta satuannya.
Jika ingin membuat LRP manual, maka bisa menggunakan fitur measuring pada SolidWorks untuk mengetahui panjang, lebar/diameter, dan tingginya</t>
        </r>
      </text>
    </comment>
    <comment ref="F6" authorId="0" shapeId="0" xr:uid="{966B7DD2-2F32-416D-A715-4DE3C7F9ED12}">
      <text>
        <r>
          <rPr>
            <sz val="11"/>
            <color theme="1"/>
            <rFont val="Calibri"/>
            <family val="2"/>
            <scheme val="minor"/>
          </rPr>
          <t>======
ID#AAAA3QOSLuY
    (2023-08-21 05:40:07)
Jika raw material berbentuk silinder, bagian panjang dapat diisi dengan tanda (-) dan hanya mengisi diameter serta tingginya</t>
        </r>
      </text>
    </comment>
    <comment ref="A7" authorId="0" shapeId="0" xr:uid="{97D28A3E-036E-4241-9C9F-04B2242F0E86}">
      <text>
        <r>
          <rPr>
            <sz val="11"/>
            <color theme="1"/>
            <rFont val="Calibri"/>
            <family val="2"/>
            <scheme val="minor"/>
          </rPr>
          <t>======
ID#AAAA3QOSLv4
    (2023-08-21 05:40:07)
Diisi dengan nama kelompok.
Misal:
KelompokG00
KelompokC00</t>
        </r>
      </text>
    </comment>
    <comment ref="A8" authorId="0" shapeId="0" xr:uid="{1EF07341-33FF-495A-936C-EB738B6C3A15}">
      <text>
        <r>
          <rPr>
            <sz val="11"/>
            <color theme="1"/>
            <rFont val="Calibri"/>
            <family val="2"/>
            <scheme val="minor"/>
          </rPr>
          <t>======
ID#AAAA3QOSLuo
    (2023-08-21 05:40:07)
Diisi tanggal saat pembuatan LRP</t>
        </r>
      </text>
    </comment>
    <comment ref="A10" authorId="0" shapeId="0" xr:uid="{4646CF38-B1B8-47A9-8AB5-A9F9DA0B5442}">
      <text>
        <r>
          <rPr>
            <sz val="11"/>
            <color theme="1"/>
            <rFont val="Calibri"/>
            <family val="2"/>
            <scheme val="minor"/>
          </rPr>
          <t>======
ID#AAAA3QOSLu4
    (2023-08-21 05:40:07)
Kalau ada pengulangan proses, jangan lupa nomor proses juga di skip.
Misal:
______________________________________________
No proses | Urutan Operasi
1                 | Drilling (D=..., d=...) (top side) 4x
5                 | Milling (L=..., d=...) w=... (top side)</t>
        </r>
      </text>
    </comment>
    <comment ref="B10" authorId="0" shapeId="0" xr:uid="{99C00F1A-8544-4D93-8DD9-5D6954F0193C}">
      <text>
        <r>
          <rPr>
            <sz val="11"/>
            <color theme="1"/>
            <rFont val="Calibri"/>
            <family val="2"/>
            <scheme val="minor"/>
          </rPr>
          <t>======
ID#AAAA3QOSLv8
    (2023-08-21 05:40:07)
Urutan operasi selalu diawali dengan pengukuran dan diakhiri dengan inspeksi.
Praktikan diperbolehkan untuk menggunakan fitur costing report, SolidCAM, dsb. untuk memperoleh referensi urutan operasi untuk beberapa part.</t>
        </r>
      </text>
    </comment>
    <comment ref="C10" authorId="0" shapeId="0" xr:uid="{B6B68E27-A666-4A99-B607-9C1229CA0AB9}">
      <text>
        <r>
          <rPr>
            <sz val="11"/>
            <color theme="1"/>
            <rFont val="Calibri"/>
            <family val="2"/>
            <scheme val="minor"/>
          </rPr>
          <t>======
ID#AAAA3QOSLvw
    (2023-08-21 05:40:07)
Diisi dengan nama stasiun kerja (Misal: Pengukuran, Mesin Bubut, Mesin Drilling, Kerja Bangku, Mesin Press)</t>
        </r>
      </text>
    </comment>
    <comment ref="F10" authorId="0" shapeId="0" xr:uid="{AC0AA6E4-758C-4843-9B5A-7C5301B5899A}">
      <text>
        <r>
          <rPr>
            <sz val="11"/>
            <color theme="1"/>
            <rFont val="Calibri"/>
            <family val="2"/>
            <scheme val="minor"/>
          </rPr>
          <t>======
ID#AAAA3QOSLuQ
    (2023-08-21 05:40:07)
Mesin Milling: HSS Milling Tool D = X mm
Mesin Drilling: HSS Center Drill D = X mm, HSS Tapping Drill D = X mm
Mesin Bubut: HSS Turning Tool atau TCT Turning Tool
Kerja Bangku untuk cutting (termasuk chamfering): Gerinda
Pengukuran: Mistar, meteran, jangka sorong, mikrometer sekrup, dll. sesuai kebutuhan
Praktikan diperbolehkan untuk mencari referensi tools lainnya.</t>
        </r>
      </text>
    </comment>
    <comment ref="G10" authorId="0" shapeId="0" xr:uid="{0EF01853-059C-4D8C-9283-3E0AEA7B18A7}">
      <text>
        <r>
          <rPr>
            <sz val="11"/>
            <color theme="1"/>
            <rFont val="Calibri"/>
            <family val="2"/>
            <scheme val="minor"/>
          </rPr>
          <t>======
ID#AAAA3QOSLwQ
    (2023-08-21 05:40:07)
Ganti mesin: 60 detik
Ganti pahat: 60 detik
Positioning pahat: 30 detik
Positioning benda: 30 detik
Kerja bangku: 240 detik
Inspeksi: 0 detik
Pengukuran: 0 detik
Waktu setup kerja bangku untuk proses chamfering (linear) dan cutting dapat disatukan. (Misal terdapat proses chamfering sebanyak 8x, maka waktu setup = 240 detik, waktu proses = 0 detik)</t>
        </r>
      </text>
    </comment>
    <comment ref="H10" authorId="0" shapeId="0" xr:uid="{2AEDD40B-9CF9-4385-8FEE-AFC282C35F96}">
      <text>
        <r>
          <rPr>
            <sz val="11"/>
            <color theme="1"/>
            <rFont val="Calibri"/>
            <family val="2"/>
            <scheme val="minor"/>
          </rPr>
          <t>======
ID#AAAA3QOSLu8
    (2023-08-21 05:40:07)
Link dari sheet perhitungan</t>
        </r>
      </text>
    </comment>
    <comment ref="I10" authorId="0" shapeId="0" xr:uid="{C4D903FB-56FF-4C52-8C47-F961B8E0851A}">
      <text>
        <r>
          <rPr>
            <sz val="11"/>
            <color theme="1"/>
            <rFont val="Calibri"/>
            <family val="2"/>
            <scheme val="minor"/>
          </rPr>
          <t>======
ID#AAAA3QOSLvk
    (2023-08-21 05:40:07)
Waktu total = Waktu setup + Waktu proses</t>
        </r>
      </text>
    </comment>
    <comment ref="D11" authorId="0" shapeId="0" xr:uid="{41026350-75D1-4DE8-8F4B-2278FA04FBBC}">
      <text>
        <r>
          <rPr>
            <sz val="11"/>
            <color theme="1"/>
            <rFont val="Calibri"/>
            <family val="2"/>
            <scheme val="minor"/>
          </rPr>
          <t>======
ID#AAAA3QOSLuA
    (2023-08-21 05:40:07)
Pengisian nomor setup prinsipnya sama dengan nomor proses.</t>
        </r>
      </text>
    </comment>
    <comment ref="E11" authorId="0" shapeId="0" xr:uid="{1F76CC8C-E124-4388-BFAB-8CB9E4A696DD}">
      <text>
        <r>
          <rPr>
            <sz val="11"/>
            <color theme="1"/>
            <rFont val="Calibri"/>
            <family val="2"/>
            <scheme val="minor"/>
          </rPr>
          <t>======
ID#AAAA3QOSLvs
    (2023-08-21 05:40:07)
Alat bantu diisi Ragum untuk seluruh proses pemesinan, kecuali mesin bubut gunakan Three Jaw Chuck atau Four Jaw Chuck.
Tidak diperlukan alat bantu untuk pengukuran dan inspeksi.</t>
        </r>
      </text>
    </comment>
    <comment ref="B16" authorId="1" shapeId="0" xr:uid="{699FCEF3-26CA-4CF3-8B4E-098A59762AF0}">
      <text>
        <t>[Threaded comment]
Your version of Excel allows you to read this threaded comment; however, any edits to it will get removed if the file is opened in a newer version of Excel. Learn more: https://go.microsoft.com/fwlink/?linkid=870924
Comment:
    Feed bagian kanan dari lingkaran 42mm</t>
      </text>
    </comment>
    <comment ref="B17" authorId="2" shapeId="0" xr:uid="{EC14BF7B-1E7D-46BC-A956-ADC371EEFE4A}">
      <text>
        <t>[Threaded comment]
Your version of Excel allows you to read this threaded comment; however, any edits to it will get removed if the file is opened in a newer version of Excel. Learn more: https://go.microsoft.com/fwlink/?linkid=870924
Comment:
    Feed bagian kanan dari lingkaran 42mm</t>
      </text>
    </comment>
    <comment ref="B22" authorId="3" shapeId="0" xr:uid="{04B84129-6907-414F-86D4-9761CCFCD10E}">
      <text>
        <t>[Threaded comment]
Your version of Excel allows you to read this threaded comment; however, any edits to it will get removed if the file is opened in a newer version of Excel. Learn more: https://go.microsoft.com/fwlink/?linkid=870924
Comment:
    feed bagian luar lingkaran</t>
      </text>
    </comment>
    <comment ref="B24" authorId="4" shapeId="0" xr:uid="{87D226DC-AB58-43BF-A52A-3AD773314DA1}">
      <text>
        <t>[Threaded comment]
Your version of Excel allows you to read this threaded comment; however, any edits to it will get removed if the file is opened in a newer version of Excel. Learn more: https://go.microsoft.com/fwlink/?linkid=870924
Comment:
    feed sebelah kiri lingkaran</t>
      </text>
    </comment>
    <comment ref="B25" authorId="5" shapeId="0" xr:uid="{9A51B348-64B8-4B10-B4ED-E03B963046DC}">
      <text>
        <t>[Threaded comment]
Your version of Excel allows you to read this threaded comment; however, any edits to it will get removed if the file is opened in a newer version of Excel. Learn more: https://go.microsoft.com/fwlink/?linkid=870924
Comment:
    feed sebelah kiri lingkaran</t>
      </text>
    </comment>
    <comment ref="B30" authorId="6" shapeId="0" xr:uid="{F3936492-611B-4C50-8E94-458C64A1516F}">
      <text>
        <t>[Threaded comment]
Your version of Excel allows you to read this threaded comment; however, any edits to it will get removed if the file is opened in a newer version of Excel. Learn more: https://go.microsoft.com/fwlink/?linkid=870924
Comment:
    feed bagian luar ketebalan 4mm</t>
      </text>
    </comment>
    <comment ref="B32" authorId="7" shapeId="0" xr:uid="{2227F8DA-F194-4D28-A102-9587AC7D2213}">
      <text>
        <t>[Threaded comment]
Your version of Excel allows you to read this threaded comment; however, any edits to it will get removed if the file is opened in a newer version of Excel. Learn more: https://go.microsoft.com/fwlink/?linkid=870924
Comment:
    feed bagian luar lebar 4mm</t>
      </text>
    </comment>
    <comment ref="B33" authorId="8" shapeId="0" xr:uid="{F03F3B41-8B97-4BB2-A7ED-DA7970D5F0B2}">
      <text>
        <t>[Threaded comment]
Your version of Excel allows you to read this threaded comment; however, any edits to it will get removed if the file is opened in a newer version of Excel. Learn more: https://go.microsoft.com/fwlink/?linkid=870924
Comment:
    feed bagian luar lebar 4mm</t>
      </text>
    </comment>
    <comment ref="B35" authorId="9" shapeId="0" xr:uid="{890B1B23-A2FE-4194-B9A3-99A950584CFD}">
      <text>
        <t>[Threaded comment]
Your version of Excel allows you to read this threaded comment; however, any edits to it will get removed if the file is opened in a newer version of Excel. Learn more: https://go.microsoft.com/fwlink/?linkid=870924
Comment:
    feed bagian luar lebar 10mm</t>
      </text>
    </comment>
    <comment ref="B37" authorId="10" shapeId="0" xr:uid="{838F7707-AD20-4E10-B88D-9E21D7A1D850}">
      <text>
        <t>[Threaded comment]
Your version of Excel allows you to read this threaded comment; however, any edits to it will get removed if the file is opened in a newer version of Excel. Learn more: https://go.microsoft.com/fwlink/?linkid=870924
Comment:
    feed sebelah kiri habis lebar 10mm</t>
      </text>
    </comment>
    <comment ref="B38" authorId="11" shapeId="0" xr:uid="{67AC6F1D-00CA-4A21-A0F8-DDB3DD9E358A}">
      <text>
        <t>[Threaded comment]
Your version of Excel allows you to read this threaded comment; however, any edits to it will get removed if the file is opened in a newer version of Excel. Learn more: https://go.microsoft.com/fwlink/?linkid=870924
Comment:
    feed sebelah kiri habis lebar 10mm</t>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
    <author>tc={58A96880-83DC-47EE-8031-5BCF7400AB08}</author>
    <author>tc={A8D35700-FE50-418D-A963-169468687481}</author>
    <author>tc={D033CB37-E238-4BA0-94D0-499A14B64917}</author>
    <author>tc={A20E7B80-2E1D-41F9-877F-5342AD95B7DA}</author>
    <author>tc={EF724F2B-6B25-496E-AC7A-DE5D69ED0F5D}</author>
    <author>tc={33B20506-B4D5-4497-9D9D-BB05D95AE9F7}</author>
    <author>tc={5549594F-9396-4E67-9C5A-AD506BE58624}</author>
    <author>tc={AD8FDDF6-9A4B-4991-B247-D4473A06D92D}</author>
    <author>tc={46612517-7323-4D7C-AABD-C29CD6B1BF45}</author>
    <author>tc={41DD0E09-9253-4760-B758-384A1B83E875}</author>
    <author>tc={8651EF9D-6950-40B0-9614-6A2854C2AA49}</author>
  </authors>
  <commentList>
    <comment ref="A5" authorId="0" shapeId="0" xr:uid="{2808D099-6661-4DBF-811B-54567F508EB8}">
      <text>
        <r>
          <rPr>
            <sz val="11"/>
            <color theme="1"/>
            <rFont val="Calibri"/>
            <family val="2"/>
            <scheme val="minor"/>
          </rPr>
          <t>======
ID#AAAA3QOSLug
    (2023-08-21 05:40:07)
[Threaded comment]
Your version of Excel allows you to read this threaded comment; however, any edits to it will get removed if the file is opened in a newer version of Excel. Learn more: https://go.microsoft.com/fwlink/?linkid=870924
Comment:
    Diperlukan setup positioning pahat untuk pengulangan proses akibat maximum width of cut.</t>
        </r>
      </text>
    </comment>
    <comment ref="C6" authorId="0" shapeId="0" xr:uid="{CC8C3B42-278D-4C55-9913-F54359FA1C62}">
      <text>
        <r>
          <rPr>
            <sz val="11"/>
            <color theme="1"/>
            <rFont val="Calibri"/>
            <family val="2"/>
            <scheme val="minor"/>
          </rPr>
          <t>======
ID#AAAA3QOSLvQ
    (2023-08-21 05:40:07)
[Threaded comment]
Your version of Excel allows you to read this threaded comment; however, any edits to it will get removed if the file is opened in a newer version of Excel. Learn more: https://go.microsoft.com/fwlink/?linkid=870924
Comment:
    Lihat referensi Kalpakjian untuk nilai diameter pahat.</t>
        </r>
      </text>
    </comment>
    <comment ref="D6" authorId="0" shapeId="0" xr:uid="{9B4AFEB3-BDBB-4682-A754-56FB9DE79497}">
      <text>
        <r>
          <rPr>
            <sz val="11"/>
            <color theme="1"/>
            <rFont val="Calibri"/>
            <family val="2"/>
            <scheme val="minor"/>
          </rPr>
          <t>======
ID#AAAA3QOSLu0
    (2023-08-21 05:40:07)
[Threaded comment]
Your version of Excel allows you to read this threaded comment; however, any edits to it will get removed if the file is opened in a newer version of Excel. Learn more: https://go.microsoft.com/fwlink/?linkid=870924
Comment:
    Lihat referensi Kalpakjian untuk nilai maksimum kedalaman potong
Apabila kedalaman potong yang diinginkan melebihi nilai maksimum kedalaman potong, ulangi proses sampai diperoleh kedalaman potong yang diinginkan.
Contoh:
Kedalaman potong diinginkan= 12 mm
Kedalaman potong (roughing) maksimum= 5 mm
Kedalaman potong (finishing) maksimum= 0.5 mm
Maka diperlukan proses:
1. Roughing 2x dengan kedalaman potong masing-masing 5 mm
2. Roughing 1x dengan kedalaman potong 1.5 mm
3. Finishing 1x dengan kedalaman potong 0.5 mm</t>
        </r>
      </text>
    </comment>
    <comment ref="F6" authorId="0" shapeId="0" xr:uid="{B3C7C979-AAF8-4137-880E-46FCC0D18689}">
      <text>
        <r>
          <rPr>
            <sz val="11"/>
            <color theme="1"/>
            <rFont val="Calibri"/>
            <family val="2"/>
            <scheme val="minor"/>
          </rPr>
          <t>======
ID#AAAA3QOSLwE
    (2023-08-21 05:40:07)
[Threaded comment]
Your version of Excel allows you to read this threaded comment; however, any edits to it will get removed if the file is opened in a newer version of Excel. Learn more: https://go.microsoft.com/fwlink/?linkid=870924
Comment:
    Lihat referensi Kalpakjian untuk nilai kecepatan potong</t>
        </r>
      </text>
    </comment>
    <comment ref="H6" authorId="0" shapeId="0" xr:uid="{3D91165C-EF8D-443D-88C8-98492242DD11}">
      <text>
        <r>
          <rPr>
            <sz val="11"/>
            <color theme="1"/>
            <rFont val="Calibri"/>
            <family val="2"/>
            <scheme val="minor"/>
          </rPr>
          <t>======
ID#AAAA3QOSLvM
    (2023-08-21 05:40:07)
[Threaded comment]
Your version of Excel allows you to read this threaded comment; however, any edits to it will get removed if the file is opened in a newer version of Excel. Learn more: https://go.microsoft.com/fwlink/?linkid=870924
Comment:
    Lihat referensi Kalpakjian untuk nilai feed rate</t>
        </r>
      </text>
    </comment>
    <comment ref="I6" authorId="0" shapeId="0" xr:uid="{A4B13C01-BB05-48D9-BBC9-4443D2B97DE1}">
      <text>
        <r>
          <rPr>
            <sz val="11"/>
            <color theme="1"/>
            <rFont val="Calibri"/>
            <family val="2"/>
            <scheme val="minor"/>
          </rPr>
          <t>======
ID#AAAA3QOSLuc
    (2023-08-21 05:40:07)
[Threaded comment]
Your version of Excel allows you to read this threaded comment; however, any edits to it will get removed if the file is opened in a newer version of Excel. Learn more: https://go.microsoft.com/fwlink/?linkid=870924
Comment:
    Untuk face milling,
w maksimum = D
Apabila lebar potong yang diinginkan melebihi nilai D, ulangi proses sampai diperoleh lebar potong yang diinginkan.
Contoh:
lebar potong diinginkan= 150 mm
lebar potong maksimum= 70 mm
Diperlukan proses:
1. Roughing 2x dengan lebar potong masing-masing 70 mm
2. Roughing 1x dengan lebar potong 10 mm.
Hal yang sama diterapkan untuk proses finishing.
Diperlukan setup positioning pahat untuk pengulangan proses akibat maximum width of cut.</t>
        </r>
      </text>
    </comment>
    <comment ref="J6" authorId="0" shapeId="0" xr:uid="{642C5FF7-0971-4CC4-B236-7A662EE7D387}">
      <text>
        <r>
          <rPr>
            <sz val="11"/>
            <color theme="1"/>
            <rFont val="Calibri"/>
            <family val="2"/>
            <scheme val="minor"/>
          </rPr>
          <t>======
ID#AAAA3QOSLuM
    (2023-08-21 05:40:07)
[Threaded comment]
Your version of Excel allows you to read this threaded comment; however, any edits to it will get removed if the file is opened in a newer version of Excel. Learn more: https://go.microsoft.com/fwlink/?linkid=870924
Comment:
    Approach length
Contoh A untuk face milling:
Untuk w = D (centered),
A = D/2
Untuk w &lt; D (offset),
A = √[w(D-w)]</t>
        </r>
      </text>
    </comment>
    <comment ref="K6" authorId="0" shapeId="0" xr:uid="{97F32682-0CD0-4816-97B9-F613157B4119}">
      <text>
        <r>
          <rPr>
            <sz val="11"/>
            <color theme="1"/>
            <rFont val="Calibri"/>
            <family val="2"/>
            <scheme val="minor"/>
          </rPr>
          <t>======
ID#AAAA3QOSLuk
    (2023-08-21 05:40:07)
[Threaded comment]
Your version of Excel allows you to read this threaded comment; however, any edits to it will get removed if the file is opened in a newer version of Excel. Learn more: https://go.microsoft.com/fwlink/?linkid=870924
Comment:
    Apabila terdapat pengulangan proses, nilai Tm dikalikan dengan banyaknya proses.</t>
        </r>
      </text>
    </comment>
    <comment ref="N6" authorId="0" shapeId="0" xr:uid="{E87F1FDF-14F3-43F6-BB1C-BDE3E40BBFB1}">
      <text>
        <r>
          <rPr>
            <sz val="11"/>
            <color theme="1"/>
            <rFont val="Calibri"/>
            <family val="2"/>
            <scheme val="minor"/>
          </rPr>
          <t>======
ID#AAAA3QOSLwU
    (2023-08-21 05:40:07)
[Threaded comment]
Your version of Excel allows you to read this threaded comment; however, any edits to it will get removed if the file is opened in a newer version of Excel. Learn more: https://go.microsoft.com/fwlink/?linkid=870924
Comment:
    Volume material sebelum dilakukan proses pemesinan tertentu
Volume Awal Proses ke n = Volume Akhir Proses ke n-1
Volume Awal Proses ke 1 = Volume Raw Material</t>
        </r>
      </text>
    </comment>
    <comment ref="O6" authorId="0" shapeId="0" xr:uid="{C857CDE6-19FE-4E6B-A0AB-902748E0DCF7}">
      <text>
        <r>
          <rPr>
            <sz val="11"/>
            <color theme="1"/>
            <rFont val="Calibri"/>
            <family val="2"/>
            <scheme val="minor"/>
          </rPr>
          <t>======
ID#AAAA3QOSLvA
    (2023-08-21 05:40:07)
[Threaded comment]
Your version of Excel allows you to read this threaded comment; however, any edits to it will get removed if the file is opened in a newer version of Excel. Learn more: https://go.microsoft.com/fwlink/?linkid=870924
Com ment:
    Hitung volume dari material yang terbuang pada suatu proses tertentu.
Apabila terdapat pengulangan proses, nilai scrap dikalikan dengan banyaknya proses.
Rumus pendekatan perhitungan scrap apabila scrap memiliki bentuk yang kompleks:
Scrap = Tm x MRR
Untuk milling, karena terdapat approach length yang tidak melakukan pembuangan material, maka:
Scrap = L/Fr x MRR
Gunakan fitur measuring pada Solidworks untuk mempermudah perhitungan area dan keliling dari face tertentu.
Praktikan diperbolehkan menggunakan fitur costing untuk menghitung scrap untuk proses tertentu.</t>
        </r>
      </text>
    </comment>
    <comment ref="P6" authorId="0" shapeId="0" xr:uid="{8D58B44D-5C27-42CB-88EF-6A69E0523D0A}">
      <text>
        <r>
          <rPr>
            <sz val="11"/>
            <color theme="1"/>
            <rFont val="Calibri"/>
            <family val="2"/>
            <scheme val="minor"/>
          </rPr>
          <t>======
ID#AAAA3QOSLvY
    (2023-08-21 05:40:07)
[Threaded comment]
Your version of Excel allows you to read this threaded comment; however, any edits to it will get removed if the file is opened in a newer version of Excel. Learn more: https://go.microsoft.com/fwlink/?linkid=870924
Comment:
    Persentase Scrap terhadap volume raw material</t>
        </r>
      </text>
    </comment>
    <comment ref="Q6" authorId="0" shapeId="0" xr:uid="{23F755E0-7598-4E4D-85D0-7EEFF1653320}">
      <text>
        <r>
          <rPr>
            <sz val="11"/>
            <color theme="1"/>
            <rFont val="Calibri"/>
            <family val="2"/>
            <scheme val="minor"/>
          </rPr>
          <t>======
ID#AAAA3QOSLvI
    (2023-08-21 05:40:07)
[Threaded comment]
Your version of Excel allows you to read this threaded comment; however, any edits to it will get removed if the file is opened in a newer version of Excel. Learn more: https://go.microsoft.com/fwlink/?linkid=870924
Comment:
    Volume material setelah dilakukan proses pemesinan
Volume Akhir = Volume Awal - Scrap</t>
        </r>
      </text>
    </comment>
    <comment ref="B10" authorId="1" shapeId="0" xr:uid="{58A96880-83DC-47EE-8031-5BCF7400AB08}">
      <text>
        <t>[Threaded comment]
Your version of Excel allows you to read this threaded comment; however, any edits to it will get removed if the file is opened in a newer version of Excel. Learn more: https://go.microsoft.com/fwlink/?linkid=870924
Comment:
    Feed bagian kanan dari lingkaran 42mm</t>
      </text>
    </comment>
    <comment ref="B11" authorId="2" shapeId="0" xr:uid="{A8D35700-FE50-418D-A963-169468687481}">
      <text>
        <t>[Threaded comment]
Your version of Excel allows you to read this threaded comment; however, any edits to it will get removed if the file is opened in a newer version of Excel. Learn more: https://go.microsoft.com/fwlink/?linkid=870924
Comment:
    Feed bagian kanan dari lingkaran 42mm</t>
      </text>
    </comment>
    <comment ref="B16" authorId="3" shapeId="0" xr:uid="{D033CB37-E238-4BA0-94D0-499A14B64917}">
      <text>
        <t>[Threaded comment]
Your version of Excel allows you to read this threaded comment; however, any edits to it will get removed if the file is opened in a newer version of Excel. Learn more: https://go.microsoft.com/fwlink/?linkid=870924
Comment:
    feed bagian luar lingkaran</t>
      </text>
    </comment>
    <comment ref="B18" authorId="4" shapeId="0" xr:uid="{A20E7B80-2E1D-41F9-877F-5342AD95B7DA}">
      <text>
        <t>[Threaded comment]
Your version of Excel allows you to read this threaded comment; however, any edits to it will get removed if the file is opened in a newer version of Excel. Learn more: https://go.microsoft.com/fwlink/?linkid=870924
Comment:
    feed sebelah kiri lingkaran</t>
      </text>
    </comment>
    <comment ref="B19" authorId="5" shapeId="0" xr:uid="{EF724F2B-6B25-496E-AC7A-DE5D69ED0F5D}">
      <text>
        <t>[Threaded comment]
Your version of Excel allows you to read this threaded comment; however, any edits to it will get removed if the file is opened in a newer version of Excel. Learn more: https://go.microsoft.com/fwlink/?linkid=870924
Comment:
    feed sebelah kiri lingkaran</t>
      </text>
    </comment>
    <comment ref="B24" authorId="6" shapeId="0" xr:uid="{33B20506-B4D5-4497-9D9D-BB05D95AE9F7}">
      <text>
        <t>[Threaded comment]
Your version of Excel allows you to read this threaded comment; however, any edits to it will get removed if the file is opened in a newer version of Excel. Learn more: https://go.microsoft.com/fwlink/?linkid=870924
Comment:
    feed bagian luar ketebalan 4mm</t>
      </text>
    </comment>
    <comment ref="B26" authorId="7" shapeId="0" xr:uid="{5549594F-9396-4E67-9C5A-AD506BE58624}">
      <text>
        <t>[Threaded comment]
Your version of Excel allows you to read this threaded comment; however, any edits to it will get removed if the file is opened in a newer version of Excel. Learn more: https://go.microsoft.com/fwlink/?linkid=870924
Comment:
    feed bagian luar lebar 4mm</t>
      </text>
    </comment>
    <comment ref="B27" authorId="8" shapeId="0" xr:uid="{AD8FDDF6-9A4B-4991-B247-D4473A06D92D}">
      <text>
        <t>[Threaded comment]
Your version of Excel allows you to read this threaded comment; however, any edits to it will get removed if the file is opened in a newer version of Excel. Learn more: https://go.microsoft.com/fwlink/?linkid=870924
Comment:
    feed bagian luar lebar 4mm</t>
      </text>
    </comment>
    <comment ref="B29" authorId="9" shapeId="0" xr:uid="{46612517-7323-4D7C-AABD-C29CD6B1BF45}">
      <text>
        <t>[Threaded comment]
Your version of Excel allows you to read this threaded comment; however, any edits to it will get removed if the file is opened in a newer version of Excel. Learn more: https://go.microsoft.com/fwlink/?linkid=870924
Comment:
    feed bagian luar lebar 10mm</t>
      </text>
    </comment>
    <comment ref="B31" authorId="10" shapeId="0" xr:uid="{41DD0E09-9253-4760-B758-384A1B83E875}">
      <text>
        <t>[Threaded comment]
Your version of Excel allows you to read this threaded comment; however, any edits to it will get removed if the file is opened in a newer version of Excel. Learn more: https://go.microsoft.com/fwlink/?linkid=870924
Comment:
    feed sebelah kiri habis lebar 10mm</t>
      </text>
    </comment>
    <comment ref="B32" authorId="11" shapeId="0" xr:uid="{8651EF9D-6950-40B0-9614-6A2854C2AA49}">
      <text>
        <t>[Threaded comment]
Your version of Excel allows you to read this threaded comment; however, any edits to it will get removed if the file is opened in a newer version of Excel. Learn more: https://go.microsoft.com/fwlink/?linkid=870924
Comment:
    feed sebelah kiri habis lebar 10mm</t>
      </text>
    </comment>
    <comment ref="F63" authorId="0" shapeId="0" xr:uid="{C12E62C6-2B05-4E33-91A2-1CDD48A5609E}">
      <text>
        <r>
          <rPr>
            <sz val="11"/>
            <color theme="1"/>
            <rFont val="Calibri"/>
            <family val="2"/>
            <scheme val="minor"/>
          </rPr>
          <t>======
ID#AAAA3QOSLvU
    (2023-08-21 05:40:07)
[Threaded comment]
Your version of Excel allows you to read this threaded comment; however, any edits to it will get removed if the file is opened in a newer version of Excel. Learn more: https://go.microsoft.com/fwlink/?linkid=870924
Comment:
    Depth of cut maksimum dari proses pembubutan umumnya sampai lima kali dari nilai f.
Lakukan pengulangan proses apabila kedalaman yang diinginkan melebihi nilai depth of cut maksimum.</t>
        </r>
      </text>
    </comment>
    <comment ref="H63" authorId="0" shapeId="0" xr:uid="{34E535EA-94A5-4FA6-B62B-AFA98F92F434}">
      <text>
        <r>
          <rPr>
            <sz val="11"/>
            <color theme="1"/>
            <rFont val="Calibri"/>
            <family val="2"/>
            <scheme val="minor"/>
          </rPr>
          <t>======
ID#AAAA3QOSLvE
    (2023-08-21 05:40:07)
[Threaded comment]
Your version of Excel allows you to read this threaded comment; however, any edits to it will get removed if the file is opened in a newer version of Excel. Learn more: https://go.microsoft.com/fwlink/?linkid=870924
Comment:
    Lihat referensi Kalpakjian untuk nilai f</t>
        </r>
      </text>
    </comment>
    <comment ref="I63" authorId="0" shapeId="0" xr:uid="{D9C93B47-166B-4CFC-8AF4-261666AEA7DC}">
      <text>
        <r>
          <rPr>
            <sz val="11"/>
            <color theme="1"/>
            <rFont val="Calibri"/>
            <family val="2"/>
            <scheme val="minor"/>
          </rPr>
          <t>======
ID#AAAA3QOSLvc
    (2023-08-21 05:40:07)
[Threaded comment]
Your version of Excel allows you to read this threaded comment; however, any edits to it will get removed if the file is opened in a newer version of Excel. Learn more: https://go.microsoft.com/fwlink/?linkid=870924
Comment:
    Lihat referensi Kalpakjian untuk nilai cutting speed</t>
        </r>
      </text>
    </comment>
    <comment ref="C75" authorId="0" shapeId="0" xr:uid="{ECD27162-9F8D-43FA-94BD-23DDD0FBEBEB}">
      <text>
        <r>
          <rPr>
            <sz val="11"/>
            <color theme="1"/>
            <rFont val="Calibri"/>
            <family val="2"/>
            <scheme val="minor"/>
          </rPr>
          <t>======
ID#AAAA3QOSLus
    (2023-08-21 05:40:07)
[Threaded comment]
Your version of Excel allows you to read this threaded comment; however, any edits to it will get removed if the file is opened in a newer version of Excel. Learn more: https://go.microsoft.com/fwlink/?linkid=870924
Comment:
    Untuk material SS41, TS = 401.8 MPa</t>
        </r>
      </text>
    </comment>
    <comment ref="E75" authorId="0" shapeId="0" xr:uid="{88339DCB-5BC4-4C2B-8030-AB3C6ACBB848}">
      <text>
        <r>
          <rPr>
            <sz val="11"/>
            <color theme="1"/>
            <rFont val="Calibri"/>
            <family val="2"/>
            <scheme val="minor"/>
          </rPr>
          <t>======
ID#AAAA3QOSLwM
    (2023-08-21 05:40:07)
[Threaded comment]
Your version of Excel allows you to read this threaded comment; however, any edits to it will get removed if the file is opened in a newer version of Excel. Learn more: https://go.microsoft.com/fwlink/?linkid=870924
Comment:
    Gunakan fitur measuring pada Solidworks untuk mengetahui nilai L</t>
        </r>
      </text>
    </comment>
    <comment ref="A80" authorId="0" shapeId="0" xr:uid="{129B6F4A-0AC7-47EB-B6C9-9A2B84A5778F}">
      <text>
        <r>
          <rPr>
            <sz val="11"/>
            <color theme="1"/>
            <rFont val="Calibri"/>
            <family val="2"/>
            <scheme val="minor"/>
          </rPr>
          <t>======
ID#AAAA3QOSLuI
    (2023-08-21 05:40:07)
[Threaded comment]
Your version of Excel allows you to read this threaded comment; however, any edits to it will get removed if the file is opened in a newer version of Excel. Learn more: https://go.microsoft.com/fwlink/?linkid=870924
Comment:
    Untuk proses bending, scrap = 0</t>
        </r>
      </text>
    </comment>
    <comment ref="C81" authorId="0" shapeId="0" xr:uid="{2C1DDCA5-073D-4EF0-90AF-34DEBF2542B3}">
      <text>
        <r>
          <rPr>
            <sz val="11"/>
            <color theme="1"/>
            <rFont val="Calibri"/>
            <family val="2"/>
            <scheme val="minor"/>
          </rPr>
          <t>======
ID#AAAA3QOSLvo
    (2023-08-21 05:40:07)
[Threaded comment]
Your version of Excel allows you to read this threaded comment; however, any edits to it will get removed if the file is opened in a newer version of Excel. Learn more: https://go.microsoft.com/fwlink/?linkid=870924
Comment:
    V-Bend, Kbf = 1.33
Edge Bend, Kbf = 0.33</t>
        </r>
      </text>
    </comment>
    <comment ref="E81" authorId="0" shapeId="0" xr:uid="{88EC3F93-2A42-4238-94D7-DC7EDF1AB797}">
      <text>
        <r>
          <rPr>
            <sz val="11"/>
            <color theme="1"/>
            <rFont val="Calibri"/>
            <family val="2"/>
            <scheme val="minor"/>
          </rPr>
          <t>======
ID#AAAA3QOSLuU
    (2023-08-21 05:40:07)
[Threaded comment]
Your version of Excel allows you to read this threaded comment; however, any edits to it will get removed if the file is opened in a newer version of Excel. Learn more: https://go.microsoft.com/fwlink/?linkid=870924
Comment:
    Untuk material SS41, TS = 401.8 MPa</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
  </authors>
  <commentList>
    <comment ref="K1" authorId="0" shapeId="0" xr:uid="{3FE95EA9-0753-4374-B959-F4E3317AF84D}">
      <text>
        <r>
          <rPr>
            <sz val="11"/>
            <color theme="1"/>
            <rFont val="Calibri"/>
            <family val="2"/>
            <scheme val="minor"/>
          </rPr>
          <t>======
ID#AAAA3QOSLt4
    (2023-08-21 05:40:07)
Lampirkan gambar isometric part</t>
        </r>
      </text>
    </comment>
    <comment ref="A3" authorId="0" shapeId="0" xr:uid="{CA915A5D-AAD0-407A-BCC3-AE58720A0D8D}">
      <text>
        <r>
          <rPr>
            <sz val="11"/>
            <color theme="1"/>
            <rFont val="Calibri"/>
            <family val="2"/>
            <scheme val="minor"/>
          </rPr>
          <t>======
ID#AAAA3QOSLv0
    (2023-08-21 05:40:07)
Sesuai nomor part di drawing</t>
        </r>
      </text>
    </comment>
    <comment ref="E3" authorId="0" shapeId="0" xr:uid="{12204C29-3FAD-47E9-90C9-637E131D249F}">
      <text>
        <r>
          <rPr>
            <sz val="11"/>
            <color theme="1"/>
            <rFont val="Calibri"/>
            <family val="2"/>
            <scheme val="minor"/>
          </rPr>
          <t>======
ID#AAAA3QOSLt8
    (2023-08-21 05:40:07)
Ditulis '1', kecuali terdapat lebih dari 1 halaman ketika dilampirkan di laporan</t>
        </r>
      </text>
    </comment>
    <comment ref="A4" authorId="0" shapeId="0" xr:uid="{80A9603E-89E6-486C-9771-40B0AE4E569F}">
      <text>
        <r>
          <rPr>
            <sz val="11"/>
            <color theme="1"/>
            <rFont val="Calibri"/>
            <family val="2"/>
            <scheme val="minor"/>
          </rPr>
          <t>======
ID#AAAA3QOSLwA
    (2023-08-21 05:40:07)
Sesuai nomor di BOM yang dibuat praktikan</t>
        </r>
      </text>
    </comment>
    <comment ref="E5" authorId="0" shapeId="0" xr:uid="{B21241AD-D479-4EBB-9DDF-D9BE5F4A1288}">
      <text>
        <r>
          <rPr>
            <sz val="11"/>
            <color theme="1"/>
            <rFont val="Calibri"/>
            <family val="2"/>
            <scheme val="minor"/>
          </rPr>
          <t>======
ID#AAAA3QOSLwI
tc={965D57F4-0DB2-4230-8C1A-6D58D3008C65}    (2023-08-21 05:40:07)
[Threaded comment]
Your version of Excel allows you to read this threaded comment; however, any edits to it will get removed if the file is opened in a newer version of Excel. Learn more: https://go.microsoft.com/fwlink/?linkid=870924
Comment:
    Material: Aluminium Alloy</t>
        </r>
      </text>
    </comment>
    <comment ref="E6" authorId="0" shapeId="0" xr:uid="{AAC3E6E3-7677-4826-ABB5-023BAC811D32}">
      <text>
        <r>
          <rPr>
            <sz val="11"/>
            <color theme="1"/>
            <rFont val="Calibri"/>
            <family val="2"/>
            <scheme val="minor"/>
          </rPr>
          <t>======
ID#AAAA3QOSLuE
    (2023-08-21 05:40:07)
Diisi ukuran raw material yang digunakan beserta satuannya.
Jika ingin membuat LRP manual, maka bisa menggunakan fitur measuring pada SolidWorks untuk mengetahui panjang, lebar/diameter, dan tingginya</t>
        </r>
      </text>
    </comment>
    <comment ref="F6" authorId="0" shapeId="0" xr:uid="{C874908B-E47B-4E16-96BE-84B0BFD24908}">
      <text>
        <r>
          <rPr>
            <sz val="11"/>
            <color theme="1"/>
            <rFont val="Calibri"/>
            <family val="2"/>
            <scheme val="minor"/>
          </rPr>
          <t>======
ID#AAAA3QOSLuY
    (2023-08-21 05:40:07)
Jika raw material berbentuk silinder, bagian panjang dapat diisi dengan tanda (-) dan hanya mengisi diameter serta tingginya</t>
        </r>
      </text>
    </comment>
    <comment ref="A7" authorId="0" shapeId="0" xr:uid="{4E9569D7-C41D-45E1-9E3D-019F5FD65DFB}">
      <text>
        <r>
          <rPr>
            <sz val="11"/>
            <color theme="1"/>
            <rFont val="Calibri"/>
            <family val="2"/>
            <scheme val="minor"/>
          </rPr>
          <t>======
ID#AAAA3QOSLv4
    (2023-08-21 05:40:07)
Diisi dengan nama kelompok.
Misal:
KelompokG00
KelompokC00</t>
        </r>
      </text>
    </comment>
    <comment ref="A8" authorId="0" shapeId="0" xr:uid="{756FC50E-CD54-4501-861A-94B6866CDB54}">
      <text>
        <r>
          <rPr>
            <sz val="11"/>
            <color theme="1"/>
            <rFont val="Calibri"/>
            <family val="2"/>
            <scheme val="minor"/>
          </rPr>
          <t>======
ID#AAAA3QOSLuo
    (2023-08-21 05:40:07)
Diisi tanggal saat pembuatan LRP</t>
        </r>
      </text>
    </comment>
    <comment ref="A10" authorId="0" shapeId="0" xr:uid="{567CD06E-F859-4A24-91C8-410FDF2C3AAC}">
      <text>
        <r>
          <rPr>
            <sz val="11"/>
            <color theme="1"/>
            <rFont val="Calibri"/>
            <family val="2"/>
            <scheme val="minor"/>
          </rPr>
          <t>======
ID#AAAA3QOSLu4
    (2023-08-21 05:40:07)
Kalau ada pengulangan proses, jangan lupa nomor proses juga di skip.
Misal:
______________________________________________
No proses | Urutan Operasi
1                 | Drilling (D=..., d=...) (top side) 4x
5                 | Milling (L=..., d=...) w=... (top side)</t>
        </r>
      </text>
    </comment>
    <comment ref="B10" authorId="0" shapeId="0" xr:uid="{C48B500D-C095-4C68-84D6-77DAA09F12B2}">
      <text>
        <r>
          <rPr>
            <sz val="11"/>
            <color theme="1"/>
            <rFont val="Calibri"/>
            <family val="2"/>
            <scheme val="minor"/>
          </rPr>
          <t>======
ID#AAAA3QOSLv8
    (2023-08-21 05:40:07)
Urutan operasi selalu diawali dengan pengukuran dan diakhiri dengan inspeksi.
Praktikan diperbolehkan untuk menggunakan fitur costing report, SolidCAM, dsb. untuk memperoleh referensi urutan operasi untuk beberapa part.</t>
        </r>
      </text>
    </comment>
    <comment ref="C10" authorId="0" shapeId="0" xr:uid="{94E04A79-CD98-40AB-998D-953C3BA78BF0}">
      <text>
        <r>
          <rPr>
            <sz val="11"/>
            <color theme="1"/>
            <rFont val="Calibri"/>
            <family val="2"/>
            <scheme val="minor"/>
          </rPr>
          <t>======
ID#AAAA3QOSLvw
    (2023-08-21 05:40:07)
Diisi dengan nama stasiun kerja (Misal: Pengukuran, Mesin Bubut, Mesin Drilling, Kerja Bangku, Mesin Press)</t>
        </r>
      </text>
    </comment>
    <comment ref="F10" authorId="0" shapeId="0" xr:uid="{8626E28F-BB9E-4996-A7B0-2F13F701B143}">
      <text>
        <r>
          <rPr>
            <sz val="11"/>
            <color theme="1"/>
            <rFont val="Calibri"/>
            <family val="2"/>
            <scheme val="minor"/>
          </rPr>
          <t>======
ID#AAAA3QOSLuQ
    (2023-08-21 05:40:07)
Mesin Milling: HSS Milling Tool D = X mm
Mesin Drilling: HSS Center Drill D = X mm, HSS Tapping Drill D = X mm
Mesin Bubut: HSS Turning Tool atau TCT Turning Tool
Kerja Bangku untuk cutting (termasuk chamfering): Gerinda
Pengukuran: Mistar, meteran, jangka sorong, mikrometer sekrup, dll. sesuai kebutuhan
Praktikan diperbolehkan untuk mencari referensi tools lainnya.</t>
        </r>
      </text>
    </comment>
    <comment ref="G10" authorId="0" shapeId="0" xr:uid="{FB287C71-A076-44F7-9CB9-FBC9BB82712E}">
      <text>
        <r>
          <rPr>
            <sz val="11"/>
            <color theme="1"/>
            <rFont val="Calibri"/>
            <family val="2"/>
            <scheme val="minor"/>
          </rPr>
          <t>======
ID#AAAA3QOSLwQ
    (2023-08-21 05:40:07)
Ganti mesin: 60 detik
Ganti pahat: 60 detik
Positioning pahat: 30 detik
Positioning benda: 30 detik
Kerja bangku: 240 detik
Inspeksi: 0 detik
Pengukuran: 0 detik
Waktu setup kerja bangku untuk proses chamfering (linear) dan cutting dapat disatukan. (Misal terdapat proses chamfering sebanyak 8x, maka waktu setup = 240 detik, waktu proses = 0 detik)</t>
        </r>
      </text>
    </comment>
    <comment ref="H10" authorId="0" shapeId="0" xr:uid="{F07AF879-6BEC-438D-9F07-F8C689738D25}">
      <text>
        <r>
          <rPr>
            <sz val="11"/>
            <color theme="1"/>
            <rFont val="Calibri"/>
            <family val="2"/>
            <scheme val="minor"/>
          </rPr>
          <t>======
ID#AAAA3QOSLu8
    (2023-08-21 05:40:07)
Link dari sheet perhitungan</t>
        </r>
      </text>
    </comment>
    <comment ref="I10" authorId="0" shapeId="0" xr:uid="{7A5724E5-E221-4785-8174-ADCAEF5C9E24}">
      <text>
        <r>
          <rPr>
            <sz val="11"/>
            <color theme="1"/>
            <rFont val="Calibri"/>
            <family val="2"/>
            <scheme val="minor"/>
          </rPr>
          <t>======
ID#AAAA3QOSLvk
    (2023-08-21 05:40:07)
Waktu total = Waktu setup + Waktu proses</t>
        </r>
      </text>
    </comment>
    <comment ref="D11" authorId="0" shapeId="0" xr:uid="{2C171109-0FDB-4DA5-985C-1F2277780B34}">
      <text>
        <r>
          <rPr>
            <sz val="11"/>
            <color theme="1"/>
            <rFont val="Calibri"/>
            <family val="2"/>
            <scheme val="minor"/>
          </rPr>
          <t>======
ID#AAAA3QOSLuA
    (2023-08-21 05:40:07)
Pengisian nomor setup prinsipnya sama dengan nomor proses.</t>
        </r>
      </text>
    </comment>
    <comment ref="E11" authorId="0" shapeId="0" xr:uid="{5CDB35E0-124F-46ED-9941-F2D625D2EA3F}">
      <text>
        <r>
          <rPr>
            <sz val="11"/>
            <color theme="1"/>
            <rFont val="Calibri"/>
            <family val="2"/>
            <scheme val="minor"/>
          </rPr>
          <t>======
ID#AAAA3QOSLvs
    (2023-08-21 05:40:07)
Alat bantu diisi Ragum untuk seluruh proses pemesinan, kecuali mesin bubut gunakan Three Jaw Chuck atau Four Jaw Chuck.
Tidak diperlukan alat bantu untuk pengukuran dan inspeksi.</t>
        </r>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
    <author>tc={336DC22F-F2DB-438A-9ED6-4B620DA4589A}</author>
    <author>tc={4FBDE0FE-A7F8-4958-AF77-E1C96916FE12}</author>
    <author>tc={999740DC-D0DB-4770-BB1C-EACCD16EB3CF}</author>
    <author>tc={F5742BE7-1637-49A1-80EA-9C9A19E06BE6}</author>
    <author>tc={D8A62AD9-6247-4B5C-A603-1A9CDCDFEFE0}</author>
    <author>tc={D29D5966-0DF8-4D92-817B-B3C03AFBD9BC}</author>
    <author>tc={6C8BA42E-512B-4459-ADFA-635EEC5B8B75}</author>
    <author>Lenovo IP 5 Pro</author>
  </authors>
  <commentList>
    <comment ref="A5" authorId="0" shapeId="0" xr:uid="{A6EB59BD-E92D-4983-8AD3-B2CA08C71ECF}">
      <text>
        <r>
          <rPr>
            <sz val="11"/>
            <color theme="1"/>
            <rFont val="Calibri"/>
            <family val="2"/>
            <scheme val="minor"/>
          </rPr>
          <t>======
ID#AAAALcLy3wY
    (2021-02-06 14:46:23)
Diperlukan setup positioning pahat untuk pengulangan proses akibat maximum width of cut.</t>
        </r>
      </text>
    </comment>
    <comment ref="C6" authorId="0" shapeId="0" xr:uid="{9C51D791-033B-4AD3-AA2B-998ABEB5CDC8}">
      <text>
        <r>
          <rPr>
            <sz val="11"/>
            <color theme="1"/>
            <rFont val="Calibri"/>
            <family val="2"/>
            <scheme val="minor"/>
          </rPr>
          <t>======
ID#AAAALcLy3wU
    (2021-02-06 14:46:23)
Lihat referensi Kalpakjian untuk nilai diameter pahat.</t>
        </r>
      </text>
    </comment>
    <comment ref="D6" authorId="0" shapeId="0" xr:uid="{C9BD2AF7-BAE4-40DA-9D68-E99C782C6E7B}">
      <text>
        <r>
          <rPr>
            <sz val="11"/>
            <color theme="1"/>
            <rFont val="Calibri"/>
            <family val="2"/>
            <scheme val="minor"/>
          </rPr>
          <t>======
ID#AAAALcLy3vU
    (2021-02-06 14:46:23)
Lihat referensi Kalpakjian untuk nilai maksimum kedalaman potong
Apabila kedalaman potong yang diinginkan melebihi nilai maksimum kedalaman potong, ulangi proses sampai diperoleh kedalaman potong yang diinginkan.
Contoh:
Kedalaman potong diinginkan= 12 mm
Kedalaman potong (roughing) maksimum= 5 mm
Kedalaman potong (finishing) maksimum= 0.5 mm
Maka diperlukan proses:
1. Roughing 2x dengan kedalaman potong masing-masing 5 mm
2. Roughing 1x dengan kedalaman potong 1.5 mm
3. Finishing 1x dengan kedalaman potong 0.5 mm</t>
        </r>
      </text>
    </comment>
    <comment ref="F6" authorId="0" shapeId="0" xr:uid="{1FF8C84F-97D0-4173-9C6D-C3104860F8B7}">
      <text>
        <r>
          <rPr>
            <sz val="11"/>
            <color theme="1"/>
            <rFont val="Calibri"/>
            <family val="2"/>
            <scheme val="minor"/>
          </rPr>
          <t>======
ID#AAAALcLy3vo
    (2021-02-06 14:46:23)
Lihat referensi Kalpakjian untuk nilai kecepatan potong</t>
        </r>
      </text>
    </comment>
    <comment ref="H6" authorId="0" shapeId="0" xr:uid="{265F1BD4-0BFA-49CC-8AE2-0B03C3ADE808}">
      <text>
        <r>
          <rPr>
            <sz val="11"/>
            <color theme="1"/>
            <rFont val="Calibri"/>
            <family val="2"/>
            <scheme val="minor"/>
          </rPr>
          <t>======
ID#AAAALcLy3u8
    (2021-02-06 14:46:23)
Lihat referensi Kalpakjian untuk nilai feed rate</t>
        </r>
      </text>
    </comment>
    <comment ref="I6" authorId="0" shapeId="0" xr:uid="{63D62C96-298A-4BBC-B66B-8748A1C4C61B}">
      <text>
        <r>
          <rPr>
            <sz val="11"/>
            <color theme="1"/>
            <rFont val="Calibri"/>
            <family val="2"/>
            <scheme val="minor"/>
          </rPr>
          <t>======
ID#AAAALcLy3ww
    (2021-02-06 14:46:23)
Untuk face milling,
w maksimum = D
Apabila lebar potong yang diinginkan melebihi nilai D, ulangi proses sampai diperoleh lebar potong yang diinginkan.
Contoh:
lebar potong diinginkan= 150 mm
lebar potong maksimum= 70 mm
Diperlukan proses:
1. Roughing 2x dengan lebar potong masing-masing 70 mm
2. Roughing 1x dengan lebar potong 10 mm.
Hal yang sama diterapkan untuk proses finishing.
Diperlukan setup positioning pahat untuk pengulangan proses akibat maximum width of cut.</t>
        </r>
      </text>
    </comment>
    <comment ref="J6" authorId="0" shapeId="0" xr:uid="{A221552B-F2B1-4074-BC17-E735421347C2}">
      <text>
        <r>
          <rPr>
            <sz val="11"/>
            <color theme="1"/>
            <rFont val="Calibri"/>
            <family val="2"/>
            <scheme val="minor"/>
          </rPr>
          <t>======
ID#AAAALSqtGz8
tc={0B3A4907-4040-48B0-92BC-EC86BB4C7720}    (2021-01-18 03:17:41)
Approach length
Contoh A untuk face milling:
Untuk w = D (centered),
A = D/2
Untuk w &lt; D (offset),
A = √[w(D-w)]</t>
        </r>
      </text>
    </comment>
    <comment ref="K6" authorId="0" shapeId="0" xr:uid="{1F019B88-0D6E-4349-8E39-849B04B1E6B5}">
      <text>
        <r>
          <rPr>
            <sz val="11"/>
            <color theme="1"/>
            <rFont val="Calibri"/>
            <family val="2"/>
            <scheme val="minor"/>
          </rPr>
          <t>======
ID#AAAALcLy3vw
    (2021-02-06 14:46:23)
Apabila terdapat pengulangan proses, nilai Tm dikalikan dengan banyaknya proses.</t>
        </r>
      </text>
    </comment>
    <comment ref="N6" authorId="0" shapeId="0" xr:uid="{70016D6B-949F-49EB-BB70-6E98E9BE1857}">
      <text>
        <r>
          <rPr>
            <sz val="11"/>
            <color theme="1"/>
            <rFont val="Calibri"/>
            <family val="2"/>
            <scheme val="minor"/>
          </rPr>
          <t>======
ID#AAAALcLy3v0
    (2021-02-06 14:46:23)
Volume material sebelum dilakukan proses pemesinan tertentu
Volume Awal Proses ke n = Volume Akhir Proses ke n-1
Volume Awal Proses ke 1 = Volume Raw Material</t>
        </r>
      </text>
    </comment>
    <comment ref="O6" authorId="0" shapeId="0" xr:uid="{47304D06-5E6B-48D4-A9E1-492E5C9E7C98}">
      <text>
        <r>
          <rPr>
            <sz val="11"/>
            <color theme="1"/>
            <rFont val="Calibri"/>
            <family val="2"/>
            <scheme val="minor"/>
          </rPr>
          <t>======
ID#AAAALcLy3wg
    (2021-02-06 14:46:23)
Hitung volume dari material yang terbuang pada suatu proses tertentu.
Apabila terdapat pengulangan proses, nilai scrap dikalikan dengan banyaknya proses.
Rumus pendekatan perhitungan scrap apabila scrap memiliki bentuk yang kompleks:
Scrap = Tm x MRR
Untuk milling, karena terdapat approach length yang tidak melakukan pembuangan material, maka:
Scrap = L/Fr x MRR
Gunakan fitur measuring pada Solidworks untuk mempermudah perhitungan area dan keliling dari face tertentu.
Praktikan diperbolehkan menggunakan fitur costing untuk menghitung scrap untuk proses tertentu.</t>
        </r>
      </text>
    </comment>
    <comment ref="P6" authorId="0" shapeId="0" xr:uid="{1D8A2C88-684E-43BA-BFE9-355F1DA8C0F2}">
      <text>
        <r>
          <rPr>
            <sz val="11"/>
            <color theme="1"/>
            <rFont val="Calibri"/>
            <family val="2"/>
            <scheme val="minor"/>
          </rPr>
          <t>======
ID#AAAALcLy3vM
    (2021-02-06 14:46:23)
Persentase Scrap terhadap volume raw material</t>
        </r>
      </text>
    </comment>
    <comment ref="Q6" authorId="0" shapeId="0" xr:uid="{CE2DC6E2-CD6E-4466-8F95-1678F77E500C}">
      <text>
        <r>
          <rPr>
            <sz val="11"/>
            <color theme="1"/>
            <rFont val="Calibri"/>
            <family val="2"/>
            <scheme val="minor"/>
          </rPr>
          <t>======
ID#AAAALcLy3vY
    (2021-02-06 14:46:23)
Volume material setelah dilakukan proses pemesinan
Volume Akhir = Volume Awal - Scrap</t>
        </r>
      </text>
    </comment>
    <comment ref="F12" authorId="0" shapeId="0" xr:uid="{702AEB21-DCBF-40CF-AB7D-9BF4734F610E}">
      <text>
        <r>
          <rPr>
            <sz val="11"/>
            <color theme="1"/>
            <rFont val="Calibri"/>
            <family val="2"/>
            <scheme val="minor"/>
          </rPr>
          <t>======
ID#AAAALcLy3wc
    (2021-02-06 14:46:23)
Depth of cut maksimum dari proses pembubutan umumnya sampai lima kali dari nilai f.
Lakukan pengulangan proses apabila kedalaman yang diinginkan melebihi nilai depth of cut maksimum.</t>
        </r>
      </text>
    </comment>
    <comment ref="H12" authorId="0" shapeId="0" xr:uid="{FD88CDBD-B6D2-43FF-815E-2FC17FDEE28E}">
      <text>
        <r>
          <rPr>
            <sz val="11"/>
            <color theme="1"/>
            <rFont val="Calibri"/>
            <family val="2"/>
            <scheme val="minor"/>
          </rPr>
          <t>======
ID#AAAALcLy3vE
    (2021-02-06 14:46:23)
Lihat referensi Kalpakjian untuk nilai f</t>
        </r>
      </text>
    </comment>
    <comment ref="I12" authorId="0" shapeId="0" xr:uid="{9BD8F19E-3663-45A8-994B-74E14E058ABE}">
      <text>
        <r>
          <rPr>
            <sz val="11"/>
            <color theme="1"/>
            <rFont val="Calibri"/>
            <family val="2"/>
            <scheme val="minor"/>
          </rPr>
          <t>======
ID#AAAALcLy3wA
    (2021-02-06 14:46:23)
Lihat referensi Kalpakjian untuk nilai cutting speed</t>
        </r>
      </text>
    </comment>
    <comment ref="A23" authorId="0" shapeId="0" xr:uid="{986A922D-7246-4E1D-8F91-0BC3B1FEA648}">
      <text>
        <r>
          <rPr>
            <sz val="11"/>
            <color theme="1"/>
            <rFont val="Calibri"/>
            <family val="2"/>
            <scheme val="minor"/>
          </rPr>
          <t>======
ID#AAAALcLy3vQ
    (2021-02-06 14:46:23)
Untuk operasi embossing dan debossing, scrap = 0</t>
        </r>
      </text>
    </comment>
    <comment ref="C24" authorId="0" shapeId="0" xr:uid="{568ADB19-51F1-46D9-B515-AD3D0F36C206}">
      <text>
        <r>
          <rPr>
            <sz val="11"/>
            <color theme="1"/>
            <rFont val="Calibri"/>
            <family val="2"/>
            <scheme val="minor"/>
          </rPr>
          <t>======
ID#AAAALcLy3xA
    (2021-02-06 14:46:23)
Untuk material SS41, TS = 401.8 MPa</t>
        </r>
      </text>
    </comment>
    <comment ref="E24" authorId="0" shapeId="0" xr:uid="{07BDEB1A-29A1-4649-B8C1-BD5DFBD2D6D8}">
      <text>
        <r>
          <rPr>
            <sz val="11"/>
            <color theme="1"/>
            <rFont val="Calibri"/>
            <family val="2"/>
            <scheme val="minor"/>
          </rPr>
          <t>======
ID#AAAALcLy3wI
    (2021-02-06 14:46:23)
Gunakan fitur measuring pada Solidworks untuk mengetahui nilai L</t>
        </r>
      </text>
    </comment>
    <comment ref="A29" authorId="0" shapeId="0" xr:uid="{2D52C35A-EC3A-450E-B1CC-23B1F74EF32B}">
      <text>
        <r>
          <rPr>
            <sz val="11"/>
            <color theme="1"/>
            <rFont val="Calibri"/>
            <family val="2"/>
            <scheme val="minor"/>
          </rPr>
          <t>======
ID#AAAALcLy3xE
    (2021-02-06 14:46:23)
Untuk proses bending, scrap = 0</t>
        </r>
      </text>
    </comment>
    <comment ref="C30" authorId="0" shapeId="0" xr:uid="{2EA2E916-F5BD-4FFA-8CFA-8FCA0BF4DCD7}">
      <text>
        <r>
          <rPr>
            <sz val="11"/>
            <color theme="1"/>
            <rFont val="Calibri"/>
            <family val="2"/>
            <scheme val="minor"/>
          </rPr>
          <t>======
ID#AAAALcLy3wM
    (2021-02-06 14:46:23)
V-Bend, Kbf = 1.33
Edge Bend, Kbf = 0.33</t>
        </r>
      </text>
    </comment>
    <comment ref="E30" authorId="0" shapeId="0" xr:uid="{AD4C2513-A2EE-4EC8-81E0-EDD6B036F4BE}">
      <text>
        <r>
          <rPr>
            <sz val="11"/>
            <color theme="1"/>
            <rFont val="Calibri"/>
            <family val="2"/>
            <scheme val="minor"/>
          </rPr>
          <t>======
ID#AAAALcLy3v8
    (2021-02-06 14:46:23)
Untuk material SS41, TS = 401.8 MPa</t>
        </r>
      </text>
    </comment>
    <comment ref="C39" authorId="1" shapeId="0" xr:uid="{336DC22F-F2DB-438A-9ED6-4B620DA4589A}">
      <text>
        <t>[Threaded comment]
Your version of Excel allows you to read this threaded comment; however, any edits to it will get removed if the file is opened in a newer version of Excel. Learn more: https://go.microsoft.com/fwlink/?linkid=870924
Comment:
    Volume Produk yang akan dicetak</t>
      </text>
    </comment>
    <comment ref="E39" authorId="2" shapeId="0" xr:uid="{4FBDE0FE-A7F8-4958-AF77-E1C96916FE12}">
      <text>
        <t>[Threaded comment]
Your version of Excel allows you to read this threaded comment; however, any edits to it will get removed if the file is opened in a newer version of Excel. Learn more: https://go.microsoft.com/fwlink/?linkid=870924
Comment:
    Daya listrik yang dibutuhkan untuk melakukan injection molding</t>
      </text>
    </comment>
    <comment ref="F39" authorId="3" shapeId="0" xr:uid="{999740DC-D0DB-4770-BB1C-EACCD16EB3CF}">
      <text>
        <t>[Threaded comment]
Your version of Excel allows you to read this threaded comment; however, any edits to it will get removed if the file is opened in a newer version of Excel. Learn more: https://go.microsoft.com/fwlink/?linkid=870924
Comment:
    Tekanan menginjeksi, diasumsikan dari tabel bahwa PLA merupakan PLA dasar / base dan diambil yang paling tinggi sebesar 100 MPa</t>
      </text>
    </comment>
    <comment ref="G39" authorId="4" shapeId="0" xr:uid="{F5742BE7-1637-49A1-80EA-9C9A19E06BE6}">
      <text>
        <t>[Threaded comment]
Your version of Excel allows you to read this threaded comment; however, any edits to it will get removed if the file is opened in a newer version of Excel. Learn more: https://go.microsoft.com/fwlink/?linkid=870924
Comment:
    Ketebalan maksimal dari part yang paling lama untuk mengering</t>
      </text>
    </comment>
    <comment ref="H39" authorId="5" shapeId="0" xr:uid="{D8A62AD9-6247-4B5C-A603-1A9CDCDFEFE0}">
      <text>
        <t>[Threaded comment]
Your version of Excel allows you to read this threaded comment; however, any edits to it will get removed if the file is opened in a newer version of Excel. Learn more: https://go.microsoft.com/fwlink/?linkid=870924
Comment:
    Thermal Diffusvity Coefficent buat material PLA</t>
      </text>
    </comment>
    <comment ref="I39" authorId="6" shapeId="0" xr:uid="{D29D5966-0DF8-4D92-817B-B3C03AFBD9BC}">
      <text>
        <t>[Threaded comment]
Your version of Excel allows you to read this threaded comment; however, any edits to it will get removed if the file is opened in a newer version of Excel. Learn more: https://go.microsoft.com/fwlink/?linkid=870924
Comment:
    Temperatur Injeksi diasumsikan dengan temperatur leleh</t>
      </text>
    </comment>
    <comment ref="J39" authorId="7" shapeId="0" xr:uid="{6C8BA42E-512B-4459-ADFA-635EEC5B8B75}">
      <text>
        <t>[Threaded comment]
Your version of Excel allows you to read this threaded comment; however, any edits to it will get removed if the file is opened in a newer version of Excel. Learn more: https://go.microsoft.com/fwlink/?linkid=870924
Comment:
    Temperatur part ejection diasumsikan temperatur kering</t>
      </text>
    </comment>
    <comment ref="P39" authorId="8" shapeId="0" xr:uid="{F7F177A5-3447-4F8C-B971-4AD2EE468309}">
      <text>
        <r>
          <rPr>
            <b/>
            <sz val="9"/>
            <color indexed="81"/>
            <rFont val="Tahoma"/>
            <family val="2"/>
          </rPr>
          <t xml:space="preserve">Ghani:
</t>
        </r>
        <r>
          <rPr>
            <sz val="9"/>
            <color indexed="81"/>
            <rFont val="Tahoma"/>
            <family val="2"/>
          </rPr>
          <t xml:space="preserve">
Asumsi : 
Injection Molding merupakan hot runner injection mold (2-5% Scrap)</t>
        </r>
      </text>
    </comment>
  </commentList>
</comments>
</file>

<file path=xl/sharedStrings.xml><?xml version="1.0" encoding="utf-8"?>
<sst xmlns="http://schemas.openxmlformats.org/spreadsheetml/2006/main" count="2240" uniqueCount="387">
  <si>
    <t>LEMBAR RENCANA PROSES</t>
  </si>
  <si>
    <t>GAMBAR PART</t>
  </si>
  <si>
    <t>No .</t>
  </si>
  <si>
    <t>Halaman ke-</t>
  </si>
  <si>
    <t>No . Part</t>
  </si>
  <si>
    <t>File Gambar</t>
  </si>
  <si>
    <t>Nama Part</t>
  </si>
  <si>
    <t>Material</t>
  </si>
  <si>
    <t>Ukuran</t>
  </si>
  <si>
    <t>Panjang</t>
  </si>
  <si>
    <t>mm</t>
  </si>
  <si>
    <t>Dibuat oleh</t>
  </si>
  <si>
    <t>Lebar/Diameter</t>
  </si>
  <si>
    <t>Tanggal</t>
  </si>
  <si>
    <t>Tinggi</t>
  </si>
  <si>
    <t>No. Proses</t>
  </si>
  <si>
    <t>Urutan Operasi</t>
  </si>
  <si>
    <t>Stasiun Kerja</t>
  </si>
  <si>
    <t>Setup</t>
  </si>
  <si>
    <t>Tools</t>
  </si>
  <si>
    <r>
      <rPr>
        <sz val="8"/>
        <color rgb="FF000000"/>
        <rFont val="Calibri"/>
        <family val="2"/>
      </rPr>
      <t xml:space="preserve">Waktu </t>
    </r>
    <r>
      <rPr>
        <i/>
        <sz val="8"/>
        <color rgb="FF000000"/>
        <rFont val="Calibri"/>
        <family val="2"/>
      </rPr>
      <t>Setup</t>
    </r>
    <r>
      <rPr>
        <sz val="8"/>
        <color rgb="FF000000"/>
        <rFont val="Calibri"/>
        <family val="2"/>
      </rPr>
      <t xml:space="preserve"> (detik)</t>
    </r>
  </si>
  <si>
    <t>Waktu Proses (detik)</t>
  </si>
  <si>
    <t>Waktu Total (detik)</t>
  </si>
  <si>
    <t xml:space="preserve"> n</t>
  </si>
  <si>
    <t>alat bantu</t>
  </si>
  <si>
    <t>SERACHING MATERIAL AWAL</t>
  </si>
  <si>
    <t>MASUKIN KE DIMENSI AWAL</t>
  </si>
  <si>
    <t>Total</t>
  </si>
  <si>
    <t>PERHITUNGAN LEMBAR RENCANA PROSES</t>
  </si>
  <si>
    <t>DRILLING</t>
  </si>
  <si>
    <t>TURNING</t>
  </si>
  <si>
    <t>MILLING</t>
  </si>
  <si>
    <t>Nama Proses</t>
  </si>
  <si>
    <t>D (mm)</t>
  </si>
  <si>
    <t>d (mm)</t>
  </si>
  <si>
    <t>L (mm)</t>
  </si>
  <si>
    <t>v (mm/min)</t>
  </si>
  <si>
    <t>N (rev/min)</t>
  </si>
  <si>
    <t>fr (mm/min)</t>
  </si>
  <si>
    <t>w (mm)</t>
  </si>
  <si>
    <t>A (mm)</t>
  </si>
  <si>
    <t>Tm (min)</t>
  </si>
  <si>
    <t>Tm (sekon)</t>
  </si>
  <si>
    <t>MRR (mm3/min)</t>
  </si>
  <si>
    <t>Volume Awal (mm3)</t>
  </si>
  <si>
    <t>Scrap</t>
  </si>
  <si>
    <t>%Scrap</t>
  </si>
  <si>
    <t>Volume Akhir (mm3)</t>
  </si>
  <si>
    <r>
      <rPr>
        <i/>
        <sz val="11"/>
        <color theme="1"/>
        <rFont val="Calibri"/>
        <family val="2"/>
      </rPr>
      <t>Shell-End Milling Roughing</t>
    </r>
    <r>
      <rPr>
        <sz val="11"/>
        <color theme="1"/>
        <rFont val="Calibri"/>
        <family val="2"/>
      </rPr>
      <t xml:space="preserve"> (L=5, d=5) w=5 (</t>
    </r>
    <r>
      <rPr>
        <i/>
        <sz val="11"/>
        <color theme="1"/>
        <rFont val="Calibri"/>
        <family val="2"/>
      </rPr>
      <t>Top Side</t>
    </r>
    <r>
      <rPr>
        <sz val="11"/>
        <color theme="1"/>
        <rFont val="Calibri"/>
        <family val="2"/>
      </rPr>
      <t>) 2x</t>
    </r>
  </si>
  <si>
    <t>Do (mm)</t>
  </si>
  <si>
    <t>Df (mm)</t>
  </si>
  <si>
    <t>d maks (mm)</t>
  </si>
  <si>
    <t>f (mm/rev)</t>
  </si>
  <si>
    <r>
      <rPr>
        <sz val="11"/>
        <color theme="1"/>
        <rFont val="Calibri"/>
        <family val="2"/>
      </rPr>
      <t>MRR (mm</t>
    </r>
    <r>
      <rPr>
        <vertAlign val="superscript"/>
        <sz val="11"/>
        <color theme="1"/>
        <rFont val="Calibri"/>
        <family val="2"/>
      </rPr>
      <t>3</t>
    </r>
    <r>
      <rPr>
        <sz val="11"/>
        <color theme="1"/>
        <rFont val="Calibri"/>
        <family val="2"/>
      </rPr>
      <t>/min)</t>
    </r>
  </si>
  <si>
    <t>% Scrap</t>
  </si>
  <si>
    <t xml:space="preserve"> </t>
  </si>
  <si>
    <t>DRILLING (TERMASUK TAPPING DAN BORING)</t>
  </si>
  <si>
    <t>v(mm/min)</t>
  </si>
  <si>
    <t>PRESSING (BLANKING, PUNCHING, EMBOSS, DEBOSS)</t>
  </si>
  <si>
    <t>TS(MPa)</t>
  </si>
  <si>
    <t>t (mm)</t>
  </si>
  <si>
    <t>SPM</t>
  </si>
  <si>
    <t>Tm (s)</t>
  </si>
  <si>
    <t>Blanking (L=278.71mm, t=40mm, TS=401.8MPa)</t>
  </si>
  <si>
    <t>BENDING</t>
  </si>
  <si>
    <t>PRESSING (BENDING)</t>
  </si>
  <si>
    <t>Kbf</t>
  </si>
  <si>
    <t>TS (Mpa)</t>
  </si>
  <si>
    <t>F (N)</t>
  </si>
  <si>
    <t>Scrap (mm3)</t>
  </si>
  <si>
    <t>CUTTING (TERMASUK CHAMFERING LINEAR)</t>
  </si>
  <si>
    <t>θ</t>
  </si>
  <si>
    <t>Volume Awal</t>
  </si>
  <si>
    <t>Chamfering (A=2mm, t=2mm, θ = 45˚) (All Side) 8x</t>
  </si>
  <si>
    <t>LANGKAH MEMBACA REFERENSI KALPAKJIAN - MILLING</t>
  </si>
  <si>
    <t>1. Operasi yang ingin digunakan?</t>
  </si>
  <si>
    <t>2. Untuk operasi tersebut, perhatikan diameter tools (maximum width of cut)  yang digunakan -&gt; untuk pengulangan proses</t>
  </si>
  <si>
    <t>3. Proses roughing atau finishing? Ingat semua milling harus ada proses finishing (kecuali dinyatakan sebaliknya).</t>
  </si>
  <si>
    <t>4. Untuk operasi tersebut, perhatikan maksimum depth of cut -&gt; untuk pengulangan proses</t>
  </si>
  <si>
    <t>5. Material apa yang digunakan? Untuk stainless steel, gunakan 'Carbon steel up to 63 kgf/mm2'</t>
  </si>
  <si>
    <t>6. Lihat cutting speed dan feed rate yang direkomendasikan.</t>
  </si>
  <si>
    <t>PUNCHING/BLANKING</t>
  </si>
  <si>
    <t>LANGKAH MEMBACA REFERENSI KALPAKJIAN - DRILLING</t>
  </si>
  <si>
    <t>1. Berapa diameter drilling yang diinginkan?</t>
  </si>
  <si>
    <t>2. Material apa yang digunakan?</t>
  </si>
  <si>
    <t>3. Lihat cutting speed dan feed yang direkomendasikan (feed, bukan feed rate)</t>
  </si>
  <si>
    <t>(cutting speed &gt; feed)</t>
  </si>
  <si>
    <t>4. Gunakan interpolasi apabila diperlukan (misal: ketika diameter drill 8 mm)</t>
  </si>
  <si>
    <t>5. Lihat cooling/lubricant agents yang direkomendasikan bila diperlukan</t>
  </si>
  <si>
    <t>LANGKAH MEMBACA REFERENSI KALPAKJIAN - TURNING</t>
  </si>
  <si>
    <t>1. Berapa feed yang ingin digunakan? (Pertimbangkan trade off-nya)</t>
  </si>
  <si>
    <t>3. Cutting tool apa yang digunakan? (Pertimbangkan trade off HSS dan TCT)</t>
  </si>
  <si>
    <t>4. Lihat cutting speed yang direkomendasikan</t>
  </si>
  <si>
    <t>Tripod-R-01-Bottom Base 1</t>
  </si>
  <si>
    <t>Al Alloy</t>
  </si>
  <si>
    <t>Asisten PPST IV</t>
  </si>
  <si>
    <t>3 Maret 2026</t>
  </si>
  <si>
    <t>Pengukuran</t>
  </si>
  <si>
    <t>Kerja Bangku</t>
  </si>
  <si>
    <t>-</t>
  </si>
  <si>
    <t>Jangka Sorong</t>
  </si>
  <si>
    <t>Mesin Bubut</t>
  </si>
  <si>
    <t>Three Jaw Chuck</t>
  </si>
  <si>
    <t>HSS Turning Tool</t>
  </si>
  <si>
    <t>HSS Drill 10 mm</t>
  </si>
  <si>
    <t>Mesin Drilling</t>
  </si>
  <si>
    <t>Ragum</t>
  </si>
  <si>
    <t>Mesin Milling</t>
  </si>
  <si>
    <t>Deburring</t>
  </si>
  <si>
    <t>Hand Tool</t>
  </si>
  <si>
    <t>Inspeksi</t>
  </si>
  <si>
    <t>Tripod-R-02-Bottom Base 2</t>
  </si>
  <si>
    <t>Bottom Base 2</t>
  </si>
  <si>
    <t>Shell End Milling Roughing (L=198.28mm, d=4.5mm, w=5mm) (top side)3x</t>
  </si>
  <si>
    <t>HSS Milling Tool 5 mm</t>
  </si>
  <si>
    <t>Shell End Milling Roughing (L=207.24mm, d=4.5mm, w=5mm) (top side)</t>
  </si>
  <si>
    <t>Shell End Milling Finishing (L=198.28mm, d=0.5mm, w=5mm) (top side)3x</t>
  </si>
  <si>
    <t>Shell End Milling Finishing (L=207.24mm, d=0.5mm, w=5mm) (top side)</t>
  </si>
  <si>
    <t>Shell End Milling Roughing (L=60mm, d=5mm, w=2.5mm) (top side) 6x</t>
  </si>
  <si>
    <t>HSS Milling Tool 2.5 mm</t>
  </si>
  <si>
    <t>Shell End Milling Finishing (L=48mm, d=5mm, w=0.5mm) (top side) 3x</t>
  </si>
  <si>
    <t>Drilling (D=10mm, d=17mm) (left side) 3x</t>
  </si>
  <si>
    <t>HSS Drilling Tool 10 mm</t>
  </si>
  <si>
    <t>Drilling (D=11mm, d=10mm) (bottom side)</t>
  </si>
  <si>
    <t>HSS Drilling Tool 11 mm</t>
  </si>
  <si>
    <t>Tripod-R-04-Guide-Female</t>
  </si>
  <si>
    <t>Guide Female</t>
  </si>
  <si>
    <t>Gerinda</t>
  </si>
  <si>
    <t>Face Turning (L=20 mm, Do=46 mm, Df=45 mm) (All side)</t>
  </si>
  <si>
    <t>Mesin Turning</t>
  </si>
  <si>
    <t>HSS Turning Tools</t>
  </si>
  <si>
    <t>Face Turning (L=20 mm, Do=45 mm, Df=44 mm) (All side)</t>
  </si>
  <si>
    <t>Chuck</t>
  </si>
  <si>
    <t>Shell-End Milling Roughing (L=38 mm, d=5 mm, w=20 mm)(Right Side)</t>
  </si>
  <si>
    <t>Shell-End Milling Roughing (L=33,74 mm, d=5 mm, w=20 mm)(Right Side)</t>
  </si>
  <si>
    <t>HSS Milling Tool 20 mm</t>
  </si>
  <si>
    <t>Shell-End Milling Roughing (L=29,41 mm, d=5 mm, w=20 mm)(Right Side)</t>
  </si>
  <si>
    <t>Shell-End Milling Roughing (L=25,09 mm, d=5 mm, w=20 mm)(Right Side)</t>
  </si>
  <si>
    <t>Shell-End Milling Roughing (L=20,76 mm, d=3,5 mm, w=20 mm)(Right Side)</t>
  </si>
  <si>
    <t>Shell-End Milling Finishing (L=17,73 mm, d=0,5 mm, w=20 mm)(Right Side)</t>
  </si>
  <si>
    <t>Shell-End Milling Roughing (L=38 mm, d=5 mm, w=20 mm)(Left Side)</t>
  </si>
  <si>
    <t>Shell-End Milling Roughing (L=33,74 mm, d=5 mm, w=20 mm)(Left Side)</t>
  </si>
  <si>
    <t>Shell-End Milling Roughing (L=29,41 mm, d=5 mm, w=20 mm)(Left Side)</t>
  </si>
  <si>
    <t>Shell-End Milling Roughing (L=25,09 mm, d=5 mm, w=20 mm)(Left Side)</t>
  </si>
  <si>
    <t>Shell-End Milling Roughing (L=20,76 mm, d=3,5 mm, w=20 mm)(Left Side)</t>
  </si>
  <si>
    <t>Shell-End Milling Finishing (L=17,73 mm, d=0,5 mm, w=20 mm)(Left Side)</t>
  </si>
  <si>
    <t>Shell-End Milling Roughing (L=8 mm, d=5 mm, w=20 mm)(Front Side)</t>
  </si>
  <si>
    <t>Shell-End Milling Roughing (L=8 mm, d=4,5 mm, w=20 mm)(Front Side)</t>
  </si>
  <si>
    <t>Shell-End Milling Finishing (L=8 mm, d=0,5 mm, w=20 mm)(Front Side)</t>
  </si>
  <si>
    <t>Shell-End Milling Roughing (L=15,02 mm, d=5 mm, w=20 mm)(Front Side)</t>
  </si>
  <si>
    <t>Shell-End Milling Roughing (L=13,32 mm, d=5 mm, w=20 mm)(Front Side)</t>
  </si>
  <si>
    <t>Shell-End Milling Roughing (L=11,61 mm, d=5 mm, w=20 mm)(Front Side)</t>
  </si>
  <si>
    <t>Shell-End Milling Roughing (L=9,9 mm, d=5 mm, w=20 mm)(Front Side)</t>
  </si>
  <si>
    <t>Shell-End Milling Roughing (L=8,2 mm, d=3,5 mm, w=20 mm)(Front Side)</t>
  </si>
  <si>
    <t>Shell-End Milling Finishing (L=7 mm, d=0,5 mm, w=20 mm)(Front Side)</t>
  </si>
  <si>
    <r>
      <t xml:space="preserve">Filleting (L=20 mm, t= 1 mm, </t>
    </r>
    <r>
      <rPr>
        <sz val="8"/>
        <color rgb="FF000000"/>
        <rFont val="Aptos Narrow"/>
        <family val="2"/>
      </rPr>
      <t>ϑ= 45</t>
    </r>
    <r>
      <rPr>
        <sz val="8"/>
        <color rgb="FF000000"/>
        <rFont val="Calibri"/>
        <family val="2"/>
      </rPr>
      <t>°</t>
    </r>
    <r>
      <rPr>
        <sz val="8"/>
        <color rgb="FF000000"/>
        <rFont val="Calibri"/>
        <family val="2"/>
        <scheme val="minor"/>
      </rPr>
      <t>) x6 (All side)</t>
    </r>
  </si>
  <si>
    <r>
      <t xml:space="preserve">Filleting (L=20 mm, t= 1 mm, </t>
    </r>
    <r>
      <rPr>
        <sz val="8"/>
        <color rgb="FF000000"/>
        <rFont val="Aptos Narrow"/>
        <family val="2"/>
      </rPr>
      <t>ϑ= 45</t>
    </r>
    <r>
      <rPr>
        <sz val="8"/>
        <color rgb="FF000000"/>
        <rFont val="Calibri"/>
        <family val="2"/>
      </rPr>
      <t>°</t>
    </r>
    <r>
      <rPr>
        <sz val="8"/>
        <color rgb="FF000000"/>
        <rFont val="Calibri"/>
        <family val="2"/>
        <scheme val="minor"/>
      </rPr>
      <t>) x8 (All side)</t>
    </r>
  </si>
  <si>
    <t>Drilling (D=14 mm, d=20 mm)</t>
  </si>
  <si>
    <t>HSS Drilling Tool 14 mm</t>
  </si>
  <si>
    <t>Drilling (D=7 mm, d=8 mm) x3</t>
  </si>
  <si>
    <t>HSS Drilling Tool 7 mm</t>
  </si>
  <si>
    <t>Tapping Drilling (D=6 mm, d=5,46 mm)</t>
  </si>
  <si>
    <t>HSS Drilling Tool 6 mm</t>
  </si>
  <si>
    <t>Ringkasan</t>
  </si>
  <si>
    <t>Kegiatan</t>
  </si>
  <si>
    <t>Jumlah</t>
  </si>
  <si>
    <t>Waktu</t>
  </si>
  <si>
    <t>Operasi</t>
  </si>
  <si>
    <t>Tripod-R-08-Pan</t>
  </si>
  <si>
    <t>Pan</t>
  </si>
  <si>
    <t>Waktu Setup (detik)</t>
  </si>
  <si>
    <t>Chamfer Turning (L =93,6mm, Do = 57,5mm, Df = 51,  θ = 40 degree) (bottom side)</t>
  </si>
  <si>
    <t>Three Jaw-Chuck</t>
  </si>
  <si>
    <t>Shell-End Milling Roughing (L=76,37mm, d=5mm, w=44,5mm) (top side) x 9</t>
  </si>
  <si>
    <t>HSS Milling Tool D=20 mm</t>
  </si>
  <si>
    <t>Shell-End Milling Roughing (L=76,37mm, d=2,5mm, w=44,5mm) (top side)</t>
  </si>
  <si>
    <t>Shell-End Milling Finishing (L=76,37mm, d=1mm, w=44,5mm) (top side)</t>
  </si>
  <si>
    <t>Shell-End Milling Roughing (L=125,71mm, d=5mm, w=20mm) (top side) x 2</t>
  </si>
  <si>
    <t xml:space="preserve">Shell-End Milling Roughing (L=125,71mm, d=4mm, w=20mm) (top side) </t>
  </si>
  <si>
    <t>Shell-End Milling Roughing (L=20mm, d=5mm, w=16,7mm) (top side) x 2</t>
  </si>
  <si>
    <t>Shell-End Milling Roughing (L=20mm, d=4mm, w=16,7mm) (top side)</t>
  </si>
  <si>
    <t>Shell-End Milling Roughing (L=33,11mm, d=5mm, w=18,36mm) (top side) x 2</t>
  </si>
  <si>
    <t>Shell-End Milling Roughing (L=33,11mm, d=4mm, w=18,36mm) (top side)</t>
  </si>
  <si>
    <t>Shell-End Milling Roughing (L=25,16mm, d=5mm, w=2m) (top side) x 2</t>
  </si>
  <si>
    <t>Shell-End Milling Roughing (L=25,16mm, d=4mm, w=2mm) (top side)</t>
  </si>
  <si>
    <t>Drilling (D=9mm, d=2mm) (right side) x 16</t>
  </si>
  <si>
    <t>HSS Center Drill 9 mm</t>
  </si>
  <si>
    <t xml:space="preserve">Drilling (D=9mm, d=1,45mm) (right side) </t>
  </si>
  <si>
    <t>Shell-End Milling Roughing (L=18,51mm, d=5mm, w=6,5mm) (top side) x 9</t>
  </si>
  <si>
    <t>Shell-End Milling Roughing (L=18,51mm, d=2,5mm, w=6,5mm) (top side)</t>
  </si>
  <si>
    <t>Shell-End Milling Finishing (L=18,51mm, d=1mm, w=6,5mm) (top side)</t>
  </si>
  <si>
    <t>Shell-End Milling Roughing (L=25,75mm, d=5mm, w=6,5mm) (top side) x 9</t>
  </si>
  <si>
    <t>Shell-End Milling Roughing (L=25,75mm, d=2,5mm, w=6,5mm) (top side)</t>
  </si>
  <si>
    <t>Shell-End Milling Finishing (L=25,75mm, d=1mm, w=6,5mm) (top side)</t>
  </si>
  <si>
    <t>Shell-End Milling Roughing (L=109,17mm, d=5mm, w=6,5mm) (right side)</t>
  </si>
  <si>
    <t>Shell-End Milling Roughing (L=109,17mm, d=2,5mm, w=6,5mm) (right side)</t>
  </si>
  <si>
    <t>Shell-End Milling Roughing (L=109,17mm, d=5mm, w=6,5mm) (left side)</t>
  </si>
  <si>
    <t>Shell-End Milling Roughing (L=109,17mm, d=2,5mm, w=6,5mm) (left side)</t>
  </si>
  <si>
    <t>Drilling (D=9mm, d=2mm) (left side) x 3</t>
  </si>
  <si>
    <t xml:space="preserve">Drilling (D=9mm, d=0,45mm) (left side) </t>
  </si>
  <si>
    <t>Tripod-R-10-Pivot</t>
  </si>
  <si>
    <t>Pivot</t>
  </si>
  <si>
    <r>
      <rPr>
        <i/>
        <sz val="8"/>
        <color rgb="FF000000"/>
        <rFont val="Calibri"/>
        <family val="2"/>
      </rPr>
      <t>Shall-End Milling Roughing</t>
    </r>
    <r>
      <rPr>
        <sz val="8"/>
        <color rgb="FF000000"/>
        <rFont val="Calibri"/>
        <family val="2"/>
      </rPr>
      <t xml:space="preserve"> (L=75mm, d=5mm, w=7,12mm) (</t>
    </r>
    <r>
      <rPr>
        <i/>
        <sz val="8"/>
        <color rgb="FF000000"/>
        <rFont val="Calibri"/>
        <family val="2"/>
      </rPr>
      <t>top side</t>
    </r>
    <r>
      <rPr>
        <sz val="8"/>
        <color rgb="FF000000"/>
        <rFont val="Calibri"/>
        <family val="2"/>
      </rPr>
      <t>) x9</t>
    </r>
  </si>
  <si>
    <r>
      <rPr>
        <sz val="8"/>
        <color rgb="FF000000"/>
        <rFont val="Calibri"/>
        <family val="2"/>
      </rPr>
      <t xml:space="preserve">Mesin </t>
    </r>
    <r>
      <rPr>
        <i/>
        <sz val="8"/>
        <color rgb="FF000000"/>
        <rFont val="Calibri"/>
        <family val="2"/>
      </rPr>
      <t>Milling</t>
    </r>
  </si>
  <si>
    <r>
      <rPr>
        <i/>
        <sz val="8"/>
        <color rgb="FF000000"/>
        <rFont val="Calibri"/>
        <family val="2"/>
      </rPr>
      <t>Shall-End Milling Roughing</t>
    </r>
    <r>
      <rPr>
        <sz val="8"/>
        <color rgb="FF000000"/>
        <rFont val="Calibri"/>
        <family val="2"/>
      </rPr>
      <t xml:space="preserve"> (L=75mm, d=4mm, w=7,12mm) (</t>
    </r>
    <r>
      <rPr>
        <i/>
        <sz val="8"/>
        <color rgb="FF000000"/>
        <rFont val="Calibri"/>
        <family val="2"/>
      </rPr>
      <t>top side</t>
    </r>
    <r>
      <rPr>
        <sz val="8"/>
        <color rgb="FF000000"/>
        <rFont val="Calibri"/>
        <family val="2"/>
      </rPr>
      <t>)</t>
    </r>
  </si>
  <si>
    <r>
      <rPr>
        <i/>
        <sz val="8"/>
        <color rgb="FF000000"/>
        <rFont val="Calibri"/>
        <family val="2"/>
      </rPr>
      <t>Shall-End Milling Finishing</t>
    </r>
    <r>
      <rPr>
        <sz val="8"/>
        <color rgb="FF000000"/>
        <rFont val="Calibri"/>
        <family val="2"/>
      </rPr>
      <t xml:space="preserve"> (L=75mm, d=1mm, w=7,12mm) (</t>
    </r>
    <r>
      <rPr>
        <i/>
        <sz val="8"/>
        <color rgb="FF000000"/>
        <rFont val="Calibri"/>
        <family val="2"/>
      </rPr>
      <t>top side</t>
    </r>
    <r>
      <rPr>
        <sz val="8"/>
        <color rgb="FF000000"/>
        <rFont val="Calibri"/>
        <family val="2"/>
      </rPr>
      <t>)</t>
    </r>
  </si>
  <si>
    <r>
      <rPr>
        <i/>
        <sz val="8"/>
        <color rgb="FF000000"/>
        <rFont val="Calibri"/>
        <family val="2"/>
      </rPr>
      <t>Shall-End Milling Roughing</t>
    </r>
    <r>
      <rPr>
        <sz val="8"/>
        <color rgb="FF000000"/>
        <rFont val="Calibri"/>
        <family val="2"/>
      </rPr>
      <t xml:space="preserve"> (L=25mm, d=5mm, w=20mm) (</t>
    </r>
    <r>
      <rPr>
        <i/>
        <sz val="8"/>
        <color rgb="FF000000"/>
        <rFont val="Calibri"/>
        <family val="2"/>
      </rPr>
      <t>top side</t>
    </r>
    <r>
      <rPr>
        <sz val="8"/>
        <color rgb="FF000000"/>
        <rFont val="Calibri"/>
        <family val="2"/>
      </rPr>
      <t>) x9</t>
    </r>
  </si>
  <si>
    <r>
      <rPr>
        <i/>
        <sz val="8"/>
        <color rgb="FF000000"/>
        <rFont val="Calibri"/>
        <family val="2"/>
      </rPr>
      <t>Shall-End Milling Roughing</t>
    </r>
    <r>
      <rPr>
        <sz val="8"/>
        <color rgb="FF000000"/>
        <rFont val="Calibri"/>
        <family val="2"/>
      </rPr>
      <t xml:space="preserve"> (L=25mm, d=4mm, w=20mm) (</t>
    </r>
    <r>
      <rPr>
        <i/>
        <sz val="8"/>
        <color rgb="FF000000"/>
        <rFont val="Calibri"/>
        <family val="2"/>
      </rPr>
      <t>top side</t>
    </r>
    <r>
      <rPr>
        <sz val="8"/>
        <color rgb="FF000000"/>
        <rFont val="Calibri"/>
        <family val="2"/>
      </rPr>
      <t>)</t>
    </r>
  </si>
  <si>
    <r>
      <rPr>
        <i/>
        <sz val="8"/>
        <color rgb="FF000000"/>
        <rFont val="Calibri"/>
        <family val="2"/>
      </rPr>
      <t>Shall-End Milling Finishing</t>
    </r>
    <r>
      <rPr>
        <sz val="8"/>
        <color rgb="FF000000"/>
        <rFont val="Calibri"/>
        <family val="2"/>
      </rPr>
      <t xml:space="preserve"> (L=25mm, d=1mm, w=20mm) (</t>
    </r>
    <r>
      <rPr>
        <i/>
        <sz val="8"/>
        <color rgb="FF000000"/>
        <rFont val="Calibri"/>
        <family val="2"/>
      </rPr>
      <t>top side</t>
    </r>
    <r>
      <rPr>
        <sz val="8"/>
        <color rgb="FF000000"/>
        <rFont val="Calibri"/>
        <family val="2"/>
      </rPr>
      <t>)</t>
    </r>
  </si>
  <si>
    <r>
      <rPr>
        <i/>
        <sz val="8"/>
        <color rgb="FF000000"/>
        <rFont val="Calibri"/>
        <family val="2"/>
      </rPr>
      <t>Shall-End Milling Roughing</t>
    </r>
    <r>
      <rPr>
        <sz val="8"/>
        <color rgb="FF000000"/>
        <rFont val="Calibri"/>
        <family val="2"/>
      </rPr>
      <t xml:space="preserve"> (L=25mm, d=5mm, w=4,8mm) (</t>
    </r>
    <r>
      <rPr>
        <i/>
        <sz val="8"/>
        <color rgb="FF000000"/>
        <rFont val="Calibri"/>
        <family val="2"/>
      </rPr>
      <t>top side</t>
    </r>
    <r>
      <rPr>
        <sz val="8"/>
        <color rgb="FF000000"/>
        <rFont val="Calibri"/>
        <family val="2"/>
      </rPr>
      <t>) x9</t>
    </r>
  </si>
  <si>
    <r>
      <rPr>
        <i/>
        <sz val="8"/>
        <color rgb="FF000000"/>
        <rFont val="Calibri"/>
        <family val="2"/>
      </rPr>
      <t>Shall-End Milling Roughing</t>
    </r>
    <r>
      <rPr>
        <sz val="8"/>
        <color rgb="FF000000"/>
        <rFont val="Calibri"/>
        <family val="2"/>
      </rPr>
      <t xml:space="preserve"> (L=25mm, d=4mm, w=4,8mm) (</t>
    </r>
    <r>
      <rPr>
        <i/>
        <sz val="8"/>
        <color rgb="FF000000"/>
        <rFont val="Calibri"/>
        <family val="2"/>
      </rPr>
      <t>top side</t>
    </r>
    <r>
      <rPr>
        <sz val="8"/>
        <color rgb="FF000000"/>
        <rFont val="Calibri"/>
        <family val="2"/>
      </rPr>
      <t xml:space="preserve">) </t>
    </r>
  </si>
  <si>
    <r>
      <rPr>
        <i/>
        <sz val="8"/>
        <color rgb="FF000000"/>
        <rFont val="Calibri"/>
        <family val="2"/>
      </rPr>
      <t>Shall-End Milling Finishing</t>
    </r>
    <r>
      <rPr>
        <sz val="8"/>
        <color rgb="FF000000"/>
        <rFont val="Calibri"/>
        <family val="2"/>
      </rPr>
      <t xml:space="preserve"> (L=25mm, d=1mm, w=4,8mm) (</t>
    </r>
    <r>
      <rPr>
        <i/>
        <sz val="8"/>
        <color rgb="FF000000"/>
        <rFont val="Calibri"/>
        <family val="2"/>
      </rPr>
      <t>top side</t>
    </r>
    <r>
      <rPr>
        <sz val="8"/>
        <color rgb="FF000000"/>
        <rFont val="Calibri"/>
        <family val="2"/>
      </rPr>
      <t>)</t>
    </r>
  </si>
  <si>
    <r>
      <rPr>
        <i/>
        <sz val="8"/>
        <color rgb="FF000000"/>
        <rFont val="Calibri"/>
        <family val="2"/>
      </rPr>
      <t>Shall-End Milling Roughing</t>
    </r>
    <r>
      <rPr>
        <sz val="8"/>
        <color rgb="FF000000"/>
        <rFont val="Calibri"/>
        <family val="2"/>
      </rPr>
      <t xml:space="preserve"> (L=42mm, d=3mm, w=20mm) (</t>
    </r>
    <r>
      <rPr>
        <i/>
        <sz val="8"/>
        <color rgb="FF000000"/>
        <rFont val="Calibri"/>
        <family val="2"/>
      </rPr>
      <t>top side</t>
    </r>
    <r>
      <rPr>
        <sz val="8"/>
        <color rgb="FF000000"/>
        <rFont val="Calibri"/>
        <family val="2"/>
      </rPr>
      <t>) x2</t>
    </r>
  </si>
  <si>
    <r>
      <rPr>
        <i/>
        <sz val="8"/>
        <color rgb="FF000000"/>
        <rFont val="Calibri"/>
        <family val="2"/>
      </rPr>
      <t>Shall-End Milling Finishing</t>
    </r>
    <r>
      <rPr>
        <sz val="8"/>
        <color rgb="FF000000"/>
        <rFont val="Calibri"/>
        <family val="2"/>
      </rPr>
      <t xml:space="preserve"> (L=42mm, d=1mm, w=4,8mm) (</t>
    </r>
    <r>
      <rPr>
        <i/>
        <sz val="8"/>
        <color rgb="FF000000"/>
        <rFont val="Calibri"/>
        <family val="2"/>
      </rPr>
      <t>top side</t>
    </r>
    <r>
      <rPr>
        <sz val="8"/>
        <color rgb="FF000000"/>
        <rFont val="Calibri"/>
        <family val="2"/>
      </rPr>
      <t>)</t>
    </r>
  </si>
  <si>
    <r>
      <rPr>
        <i/>
        <sz val="8"/>
        <color rgb="FF000000"/>
        <rFont val="Calibri"/>
        <family val="2"/>
      </rPr>
      <t>Shall-End Milling Roughing</t>
    </r>
    <r>
      <rPr>
        <sz val="8"/>
        <color rgb="FF000000"/>
        <rFont val="Calibri"/>
        <family val="2"/>
      </rPr>
      <t xml:space="preserve"> (L=8mm, d=5mm, w=20mm) (</t>
    </r>
    <r>
      <rPr>
        <i/>
        <sz val="8"/>
        <color rgb="FF000000"/>
        <rFont val="Calibri"/>
        <family val="2"/>
      </rPr>
      <t>top side</t>
    </r>
    <r>
      <rPr>
        <sz val="8"/>
        <color rgb="FF000000"/>
        <rFont val="Calibri"/>
        <family val="2"/>
      </rPr>
      <t>) x9</t>
    </r>
  </si>
  <si>
    <r>
      <rPr>
        <i/>
        <sz val="8"/>
        <color rgb="FF000000"/>
        <rFont val="Calibri"/>
        <family val="2"/>
      </rPr>
      <t>Shall-End Milling Roughing</t>
    </r>
    <r>
      <rPr>
        <sz val="8"/>
        <color rgb="FF000000"/>
        <rFont val="Calibri"/>
        <family val="2"/>
      </rPr>
      <t xml:space="preserve"> (L=8mm, d=4mm, w=20mm) (</t>
    </r>
    <r>
      <rPr>
        <i/>
        <sz val="8"/>
        <color rgb="FF000000"/>
        <rFont val="Calibri"/>
        <family val="2"/>
      </rPr>
      <t>top side</t>
    </r>
    <r>
      <rPr>
        <sz val="8"/>
        <color rgb="FF000000"/>
        <rFont val="Calibri"/>
        <family val="2"/>
      </rPr>
      <t>)</t>
    </r>
  </si>
  <si>
    <r>
      <rPr>
        <i/>
        <sz val="8"/>
        <color rgb="FF000000"/>
        <rFont val="Calibri"/>
        <family val="2"/>
      </rPr>
      <t>Shall-End Milling Finishing</t>
    </r>
    <r>
      <rPr>
        <sz val="8"/>
        <color rgb="FF000000"/>
        <rFont val="Calibri"/>
        <family val="2"/>
      </rPr>
      <t xml:space="preserve"> (L=8mm, d=1mm, w=20mm) (</t>
    </r>
    <r>
      <rPr>
        <i/>
        <sz val="8"/>
        <color rgb="FF000000"/>
        <rFont val="Calibri"/>
        <family val="2"/>
      </rPr>
      <t>top side</t>
    </r>
    <r>
      <rPr>
        <sz val="8"/>
        <color rgb="FF000000"/>
        <rFont val="Calibri"/>
        <family val="2"/>
      </rPr>
      <t>)</t>
    </r>
  </si>
  <si>
    <r>
      <rPr>
        <i/>
        <sz val="8"/>
        <color rgb="FF000000"/>
        <rFont val="Calibri"/>
        <family val="2"/>
      </rPr>
      <t>Shall-End Milling Roughing</t>
    </r>
    <r>
      <rPr>
        <sz val="8"/>
        <color rgb="FF000000"/>
        <rFont val="Calibri"/>
        <family val="2"/>
      </rPr>
      <t xml:space="preserve"> (L=8mm, d=5mm, w=4,8mm) (</t>
    </r>
    <r>
      <rPr>
        <i/>
        <sz val="8"/>
        <color rgb="FF000000"/>
        <rFont val="Calibri"/>
        <family val="2"/>
      </rPr>
      <t>top side</t>
    </r>
    <r>
      <rPr>
        <sz val="8"/>
        <color rgb="FF000000"/>
        <rFont val="Calibri"/>
        <family val="2"/>
      </rPr>
      <t>) x9</t>
    </r>
  </si>
  <si>
    <r>
      <rPr>
        <i/>
        <sz val="8"/>
        <color rgb="FF000000"/>
        <rFont val="Calibri"/>
        <family val="2"/>
      </rPr>
      <t>Shall-End Milling Roughing</t>
    </r>
    <r>
      <rPr>
        <sz val="8"/>
        <color rgb="FF000000"/>
        <rFont val="Calibri"/>
        <family val="2"/>
      </rPr>
      <t xml:space="preserve"> (L=8mm, d=4mm, w=4,8mm) (</t>
    </r>
    <r>
      <rPr>
        <i/>
        <sz val="8"/>
        <color rgb="FF000000"/>
        <rFont val="Calibri"/>
        <family val="2"/>
      </rPr>
      <t>top side</t>
    </r>
    <r>
      <rPr>
        <sz val="8"/>
        <color rgb="FF000000"/>
        <rFont val="Calibri"/>
        <family val="2"/>
      </rPr>
      <t xml:space="preserve">) </t>
    </r>
  </si>
  <si>
    <r>
      <rPr>
        <i/>
        <sz val="8"/>
        <color rgb="FF000000"/>
        <rFont val="Calibri"/>
        <family val="2"/>
      </rPr>
      <t>Shall-End Milling Finishing</t>
    </r>
    <r>
      <rPr>
        <sz val="8"/>
        <color rgb="FF000000"/>
        <rFont val="Calibri"/>
        <family val="2"/>
      </rPr>
      <t xml:space="preserve"> (L=8mm, d=1mm, w=4,8mm) (</t>
    </r>
    <r>
      <rPr>
        <i/>
        <sz val="8"/>
        <color rgb="FF000000"/>
        <rFont val="Calibri"/>
        <family val="2"/>
      </rPr>
      <t>top side)</t>
    </r>
  </si>
  <si>
    <r>
      <rPr>
        <i/>
        <sz val="8"/>
        <color rgb="FF000000"/>
        <rFont val="Calibri"/>
        <family val="2"/>
      </rPr>
      <t>Shall-End Milling Roughing</t>
    </r>
    <r>
      <rPr>
        <sz val="8"/>
        <color rgb="FF000000"/>
        <rFont val="Calibri"/>
        <family val="2"/>
      </rPr>
      <t xml:space="preserve"> (L=68,8mm, d=2mm, w=4mm) (</t>
    </r>
    <r>
      <rPr>
        <i/>
        <sz val="8"/>
        <color rgb="FF000000"/>
        <rFont val="Calibri"/>
        <family val="2"/>
      </rPr>
      <t>top side</t>
    </r>
    <r>
      <rPr>
        <sz val="8"/>
        <color rgb="FF000000"/>
        <rFont val="Calibri"/>
        <family val="2"/>
      </rPr>
      <t>)</t>
    </r>
  </si>
  <si>
    <r>
      <rPr>
        <i/>
        <sz val="8"/>
        <color rgb="FF000000"/>
        <rFont val="Calibri"/>
        <family val="2"/>
      </rPr>
      <t>Shall-End Milling Finishing</t>
    </r>
    <r>
      <rPr>
        <sz val="8"/>
        <color rgb="FF000000"/>
        <rFont val="Calibri"/>
        <family val="2"/>
      </rPr>
      <t xml:space="preserve"> (L=68,8mm, d=0,75mm, w=4mm) </t>
    </r>
    <r>
      <rPr>
        <i/>
        <sz val="8"/>
        <color rgb="FF000000"/>
        <rFont val="Calibri"/>
        <family val="2"/>
      </rPr>
      <t>(top sid</t>
    </r>
    <r>
      <rPr>
        <sz val="8"/>
        <color rgb="FF000000"/>
        <rFont val="Calibri"/>
        <family val="2"/>
      </rPr>
      <t>e)</t>
    </r>
  </si>
  <si>
    <r>
      <rPr>
        <i/>
        <sz val="8"/>
        <color rgb="FF000000"/>
        <rFont val="Calibri"/>
        <family val="2"/>
      </rPr>
      <t>Shall-End Milling Roughing</t>
    </r>
    <r>
      <rPr>
        <sz val="8"/>
        <color rgb="FF000000"/>
        <rFont val="Calibri"/>
        <family val="2"/>
      </rPr>
      <t xml:space="preserve"> (L=6,2mm, d=5mm, w=4mm) (</t>
    </r>
    <r>
      <rPr>
        <i/>
        <sz val="8"/>
        <color rgb="FF000000"/>
        <rFont val="Calibri"/>
        <family val="2"/>
      </rPr>
      <t>top side</t>
    </r>
    <r>
      <rPr>
        <sz val="8"/>
        <color rgb="FF000000"/>
        <rFont val="Calibri"/>
        <family val="2"/>
      </rPr>
      <t>) x9</t>
    </r>
  </si>
  <si>
    <r>
      <rPr>
        <i/>
        <sz val="8"/>
        <color rgb="FF000000"/>
        <rFont val="Calibri"/>
        <family val="2"/>
      </rPr>
      <t>Shall-End Milling Roughing</t>
    </r>
    <r>
      <rPr>
        <sz val="8"/>
        <color rgb="FF000000"/>
        <rFont val="Calibri"/>
        <family val="2"/>
      </rPr>
      <t xml:space="preserve"> (L=6,2mm, d=4mm, w=4mm) (</t>
    </r>
    <r>
      <rPr>
        <i/>
        <sz val="8"/>
        <color rgb="FF000000"/>
        <rFont val="Calibri"/>
        <family val="2"/>
      </rPr>
      <t>top side</t>
    </r>
    <r>
      <rPr>
        <sz val="8"/>
        <color rgb="FF000000"/>
        <rFont val="Calibri"/>
        <family val="2"/>
      </rPr>
      <t>)</t>
    </r>
  </si>
  <si>
    <r>
      <rPr>
        <i/>
        <sz val="8"/>
        <color rgb="FF000000"/>
        <rFont val="Calibri"/>
        <family val="2"/>
      </rPr>
      <t>Shall-End Milling Finishing</t>
    </r>
    <r>
      <rPr>
        <sz val="8"/>
        <color rgb="FF000000"/>
        <rFont val="Calibri"/>
        <family val="2"/>
      </rPr>
      <t xml:space="preserve"> (L=6,2mm, d=1mm, w=4mm) (</t>
    </r>
    <r>
      <rPr>
        <i/>
        <sz val="8"/>
        <color rgb="FF000000"/>
        <rFont val="Calibri"/>
        <family val="2"/>
      </rPr>
      <t>top side</t>
    </r>
    <r>
      <rPr>
        <sz val="8"/>
        <color rgb="FF000000"/>
        <rFont val="Calibri"/>
        <family val="2"/>
      </rPr>
      <t>)</t>
    </r>
  </si>
  <si>
    <r>
      <rPr>
        <i/>
        <sz val="8"/>
        <color rgb="FF000000"/>
        <rFont val="Calibri"/>
        <family val="2"/>
      </rPr>
      <t>Shall-End Milling Roughing</t>
    </r>
    <r>
      <rPr>
        <sz val="8"/>
        <color rgb="FF000000"/>
        <rFont val="Calibri"/>
        <family val="2"/>
      </rPr>
      <t xml:space="preserve"> (L=67mm, d=2mm, w=10mm) (</t>
    </r>
    <r>
      <rPr>
        <i/>
        <sz val="8"/>
        <color rgb="FF000000"/>
        <rFont val="Calibri"/>
        <family val="2"/>
      </rPr>
      <t>top side</t>
    </r>
    <r>
      <rPr>
        <sz val="8"/>
        <color rgb="FF000000"/>
        <rFont val="Calibri"/>
        <family val="2"/>
      </rPr>
      <t>)</t>
    </r>
  </si>
  <si>
    <r>
      <rPr>
        <i/>
        <sz val="8"/>
        <color rgb="FF000000"/>
        <rFont val="Calibri"/>
        <family val="2"/>
      </rPr>
      <t>Shall-End Milling Finishing</t>
    </r>
    <r>
      <rPr>
        <sz val="8"/>
        <color rgb="FF000000"/>
        <rFont val="Calibri"/>
        <family val="2"/>
      </rPr>
      <t xml:space="preserve"> (L=67mm, d=0.75mm, w=10mm) (</t>
    </r>
    <r>
      <rPr>
        <i/>
        <sz val="8"/>
        <color rgb="FF000000"/>
        <rFont val="Calibri"/>
        <family val="2"/>
      </rPr>
      <t>top side</t>
    </r>
    <r>
      <rPr>
        <sz val="8"/>
        <color rgb="FF000000"/>
        <rFont val="Calibri"/>
        <family val="2"/>
      </rPr>
      <t>)</t>
    </r>
  </si>
  <si>
    <r>
      <rPr>
        <i/>
        <sz val="8"/>
        <color rgb="FF000000"/>
        <rFont val="Calibri"/>
        <family val="2"/>
      </rPr>
      <t>Shall-End Milling Roughing</t>
    </r>
    <r>
      <rPr>
        <sz val="8"/>
        <color rgb="FF000000"/>
        <rFont val="Calibri"/>
        <family val="2"/>
      </rPr>
      <t xml:space="preserve"> (L=8mm, d=5mm, w=10mm) (</t>
    </r>
    <r>
      <rPr>
        <i/>
        <sz val="8"/>
        <color rgb="FF000000"/>
        <rFont val="Calibri"/>
        <family val="2"/>
      </rPr>
      <t>top side</t>
    </r>
    <r>
      <rPr>
        <sz val="8"/>
        <color rgb="FF000000"/>
        <rFont val="Calibri"/>
        <family val="2"/>
      </rPr>
      <t>) x9</t>
    </r>
  </si>
  <si>
    <r>
      <rPr>
        <i/>
        <sz val="8"/>
        <color rgb="FF000000"/>
        <rFont val="Calibri"/>
        <family val="2"/>
      </rPr>
      <t>Shall-End Milling Roughing</t>
    </r>
    <r>
      <rPr>
        <sz val="8"/>
        <color rgb="FF000000"/>
        <rFont val="Calibri"/>
        <family val="2"/>
      </rPr>
      <t xml:space="preserve"> (L=8mm, d=4mm, w=10mm) (</t>
    </r>
    <r>
      <rPr>
        <i/>
        <sz val="8"/>
        <color rgb="FF000000"/>
        <rFont val="Calibri"/>
        <family val="2"/>
      </rPr>
      <t>top side</t>
    </r>
    <r>
      <rPr>
        <sz val="8"/>
        <color rgb="FF000000"/>
        <rFont val="Calibri"/>
        <family val="2"/>
      </rPr>
      <t>)</t>
    </r>
  </si>
  <si>
    <r>
      <rPr>
        <i/>
        <sz val="8"/>
        <color rgb="FF000000"/>
        <rFont val="Calibri"/>
        <family val="2"/>
      </rPr>
      <t xml:space="preserve">Shall-End Milling Finishing </t>
    </r>
    <r>
      <rPr>
        <sz val="8"/>
        <color rgb="FF000000"/>
        <rFont val="Calibri"/>
        <family val="2"/>
      </rPr>
      <t>(L=8mm, d=10mm, w=10mm) (</t>
    </r>
    <r>
      <rPr>
        <i/>
        <sz val="8"/>
        <color rgb="FF000000"/>
        <rFont val="Calibri"/>
        <family val="2"/>
      </rPr>
      <t>top side</t>
    </r>
    <r>
      <rPr>
        <sz val="8"/>
        <color rgb="FF000000"/>
        <rFont val="Calibri"/>
        <family val="2"/>
      </rPr>
      <t>)</t>
    </r>
  </si>
  <si>
    <r>
      <rPr>
        <i/>
        <sz val="8"/>
        <color rgb="FF000000"/>
        <rFont val="Calibri"/>
        <family val="2"/>
      </rPr>
      <t>Shall-End Milling Roughing</t>
    </r>
    <r>
      <rPr>
        <sz val="8"/>
        <color rgb="FF000000"/>
        <rFont val="Calibri"/>
        <family val="2"/>
      </rPr>
      <t xml:space="preserve"> (L=42mm, d=2mm, w=14mm) (</t>
    </r>
    <r>
      <rPr>
        <i/>
        <sz val="8"/>
        <color rgb="FF000000"/>
        <rFont val="Calibri"/>
        <family val="2"/>
      </rPr>
      <t>top side</t>
    </r>
    <r>
      <rPr>
        <sz val="8"/>
        <color rgb="FF000000"/>
        <rFont val="Calibri"/>
        <family val="2"/>
      </rPr>
      <t>)</t>
    </r>
  </si>
  <si>
    <r>
      <rPr>
        <i/>
        <sz val="8"/>
        <color rgb="FF000000"/>
        <rFont val="Calibri"/>
        <family val="2"/>
      </rPr>
      <t>Shall-End Milling Finishing</t>
    </r>
    <r>
      <rPr>
        <sz val="8"/>
        <color rgb="FF000000"/>
        <rFont val="Calibri"/>
        <family val="2"/>
      </rPr>
      <t xml:space="preserve"> (L=42mm, d=0.75mm, w=14mm) (</t>
    </r>
    <r>
      <rPr>
        <i/>
        <sz val="8"/>
        <color rgb="FF000000"/>
        <rFont val="Calibri"/>
        <family val="2"/>
      </rPr>
      <t>top side</t>
    </r>
    <r>
      <rPr>
        <sz val="8"/>
        <color rgb="FF000000"/>
        <rFont val="Calibri"/>
        <family val="2"/>
      </rPr>
      <t>)</t>
    </r>
  </si>
  <si>
    <r>
      <rPr>
        <i/>
        <sz val="8"/>
        <color rgb="FF000000"/>
        <rFont val="Calibri"/>
        <family val="2"/>
      </rPr>
      <t>Shall-End Milling Roughing</t>
    </r>
    <r>
      <rPr>
        <sz val="8"/>
        <color rgb="FF000000"/>
        <rFont val="Calibri"/>
        <family val="2"/>
      </rPr>
      <t xml:space="preserve"> (L=33mm, d=5mm, w=19mm) (</t>
    </r>
    <r>
      <rPr>
        <i/>
        <sz val="8"/>
        <color rgb="FF000000"/>
        <rFont val="Calibri"/>
        <family val="2"/>
      </rPr>
      <t>top side</t>
    </r>
    <r>
      <rPr>
        <sz val="8"/>
        <color rgb="FF000000"/>
        <rFont val="Calibri"/>
        <family val="2"/>
      </rPr>
      <t>) x9</t>
    </r>
  </si>
  <si>
    <r>
      <rPr>
        <i/>
        <sz val="8"/>
        <color rgb="FF000000"/>
        <rFont val="Calibri"/>
        <family val="2"/>
      </rPr>
      <t>Shall-End Milling Roughing</t>
    </r>
    <r>
      <rPr>
        <sz val="8"/>
        <color rgb="FF000000"/>
        <rFont val="Calibri"/>
        <family val="2"/>
      </rPr>
      <t xml:space="preserve"> (L=33mm, d=4mm, w=19mm) (</t>
    </r>
    <r>
      <rPr>
        <i/>
        <sz val="8"/>
        <color rgb="FF000000"/>
        <rFont val="Calibri"/>
        <family val="2"/>
      </rPr>
      <t>top side</t>
    </r>
    <r>
      <rPr>
        <sz val="8"/>
        <color rgb="FF000000"/>
        <rFont val="Calibri"/>
        <family val="2"/>
      </rPr>
      <t>)</t>
    </r>
  </si>
  <si>
    <r>
      <rPr>
        <i/>
        <sz val="8"/>
        <color rgb="FF000000"/>
        <rFont val="Calibri"/>
        <family val="2"/>
      </rPr>
      <t>Shall-End Milling Finishing</t>
    </r>
    <r>
      <rPr>
        <sz val="8"/>
        <color rgb="FF000000"/>
        <rFont val="Calibri"/>
        <family val="2"/>
      </rPr>
      <t xml:space="preserve"> (L=33mm, d=1mm, w=19mm) (</t>
    </r>
    <r>
      <rPr>
        <i/>
        <sz val="8"/>
        <color rgb="FF000000"/>
        <rFont val="Calibri"/>
        <family val="2"/>
      </rPr>
      <t>top side)</t>
    </r>
  </si>
  <si>
    <r>
      <rPr>
        <i/>
        <sz val="8"/>
        <color rgb="FF000000"/>
        <rFont val="Calibri"/>
        <family val="2"/>
      </rPr>
      <t>Shall-End Milling Roughing</t>
    </r>
    <r>
      <rPr>
        <sz val="8"/>
        <color rgb="FF000000"/>
        <rFont val="Calibri"/>
        <family val="2"/>
      </rPr>
      <t xml:space="preserve"> (L=23mm, d=5mm, w=5mm) (</t>
    </r>
    <r>
      <rPr>
        <i/>
        <sz val="8"/>
        <color rgb="FF000000"/>
        <rFont val="Calibri"/>
        <family val="2"/>
      </rPr>
      <t>top side</t>
    </r>
    <r>
      <rPr>
        <sz val="8"/>
        <color rgb="FF000000"/>
        <rFont val="Calibri"/>
        <family val="2"/>
      </rPr>
      <t>) x9</t>
    </r>
  </si>
  <si>
    <r>
      <rPr>
        <i/>
        <sz val="8"/>
        <color rgb="FF000000"/>
        <rFont val="Calibri"/>
        <family val="2"/>
      </rPr>
      <t>Shall-End Milling Roughing</t>
    </r>
    <r>
      <rPr>
        <sz val="8"/>
        <color rgb="FF000000"/>
        <rFont val="Calibri"/>
        <family val="2"/>
      </rPr>
      <t xml:space="preserve"> (L=23mm, d=4mm, w=5mm) (</t>
    </r>
    <r>
      <rPr>
        <i/>
        <sz val="8"/>
        <color rgb="FF000000"/>
        <rFont val="Calibri"/>
        <family val="2"/>
      </rPr>
      <t>top side</t>
    </r>
    <r>
      <rPr>
        <sz val="8"/>
        <color rgb="FF000000"/>
        <rFont val="Calibri"/>
        <family val="2"/>
      </rPr>
      <t>)</t>
    </r>
  </si>
  <si>
    <r>
      <rPr>
        <i/>
        <sz val="8"/>
        <color rgb="FF000000"/>
        <rFont val="Calibri"/>
        <family val="2"/>
      </rPr>
      <t xml:space="preserve">Shall-End Milling Finishing </t>
    </r>
    <r>
      <rPr>
        <sz val="8"/>
        <color rgb="FF000000"/>
        <rFont val="Calibri"/>
        <family val="2"/>
      </rPr>
      <t>(L=23mm, d=1mm, w=5mm) (</t>
    </r>
    <r>
      <rPr>
        <i/>
        <sz val="8"/>
        <color rgb="FF000000"/>
        <rFont val="Calibri"/>
        <family val="2"/>
      </rPr>
      <t>top side</t>
    </r>
    <r>
      <rPr>
        <sz val="8"/>
        <color rgb="FF000000"/>
        <rFont val="Calibri"/>
        <family val="2"/>
      </rPr>
      <t>)</t>
    </r>
  </si>
  <si>
    <r>
      <rPr>
        <i/>
        <sz val="8"/>
        <color rgb="FF000000"/>
        <rFont val="Calibri"/>
        <family val="2"/>
      </rPr>
      <t>Shall-End Milling Roughing</t>
    </r>
    <r>
      <rPr>
        <sz val="8"/>
        <color rgb="FF000000"/>
        <rFont val="Calibri"/>
        <family val="2"/>
      </rPr>
      <t xml:space="preserve"> (L=19mm, d=2mm, w=5mm) (</t>
    </r>
    <r>
      <rPr>
        <i/>
        <sz val="8"/>
        <color rgb="FF000000"/>
        <rFont val="Calibri"/>
        <family val="2"/>
      </rPr>
      <t>top side</t>
    </r>
    <r>
      <rPr>
        <sz val="8"/>
        <color rgb="FF000000"/>
        <rFont val="Calibri"/>
        <family val="2"/>
      </rPr>
      <t>)</t>
    </r>
  </si>
  <si>
    <r>
      <rPr>
        <i/>
        <sz val="8"/>
        <color rgb="FF000000"/>
        <rFont val="Calibri"/>
        <family val="2"/>
      </rPr>
      <t>Shall-End Milling Finishing</t>
    </r>
    <r>
      <rPr>
        <sz val="8"/>
        <color rgb="FF000000"/>
        <rFont val="Calibri"/>
        <family val="2"/>
      </rPr>
      <t xml:space="preserve"> (L=19mm, d=0.75mm, w=5mm) (</t>
    </r>
    <r>
      <rPr>
        <i/>
        <sz val="8"/>
        <color rgb="FF000000"/>
        <rFont val="Calibri"/>
        <family val="2"/>
      </rPr>
      <t>top side</t>
    </r>
    <r>
      <rPr>
        <sz val="8"/>
        <color rgb="FF000000"/>
        <rFont val="Calibri"/>
        <family val="2"/>
      </rPr>
      <t>)</t>
    </r>
  </si>
  <si>
    <r>
      <rPr>
        <i/>
        <sz val="8"/>
        <color rgb="FF000000"/>
        <rFont val="Calibri"/>
        <family val="2"/>
      </rPr>
      <t xml:space="preserve">Shall-End Milling Roughing </t>
    </r>
    <r>
      <rPr>
        <sz val="8"/>
        <color rgb="FF000000"/>
        <rFont val="Calibri"/>
        <family val="2"/>
      </rPr>
      <t>(L=19mm, d=2mm, w=5mm) (</t>
    </r>
    <r>
      <rPr>
        <i/>
        <sz val="8"/>
        <color rgb="FF000000"/>
        <rFont val="Calibri"/>
        <family val="2"/>
      </rPr>
      <t>bottom side</t>
    </r>
    <r>
      <rPr>
        <sz val="8"/>
        <color rgb="FF000000"/>
        <rFont val="Calibri"/>
        <family val="2"/>
      </rPr>
      <t>)</t>
    </r>
  </si>
  <si>
    <r>
      <rPr>
        <i/>
        <sz val="8"/>
        <color rgb="FF000000"/>
        <rFont val="Calibri"/>
        <family val="2"/>
      </rPr>
      <t>Shall-End Milling Finishing</t>
    </r>
    <r>
      <rPr>
        <sz val="8"/>
        <color rgb="FF000000"/>
        <rFont val="Calibri"/>
        <family val="2"/>
      </rPr>
      <t xml:space="preserve"> (L=19mm, d=0.75mm, w=5mm) (</t>
    </r>
    <r>
      <rPr>
        <i/>
        <sz val="8"/>
        <color rgb="FF000000"/>
        <rFont val="Calibri"/>
        <family val="2"/>
      </rPr>
      <t>bottom side</t>
    </r>
    <r>
      <rPr>
        <sz val="8"/>
        <color rgb="FF000000"/>
        <rFont val="Calibri"/>
        <family val="2"/>
      </rPr>
      <t>)</t>
    </r>
  </si>
  <si>
    <r>
      <rPr>
        <i/>
        <sz val="8"/>
        <color rgb="FF000000"/>
        <rFont val="Calibri"/>
        <family val="2"/>
      </rPr>
      <t>Shall-End Milling Roughing</t>
    </r>
    <r>
      <rPr>
        <sz val="8"/>
        <color rgb="FF000000"/>
        <rFont val="Calibri"/>
        <family val="2"/>
      </rPr>
      <t xml:space="preserve"> (L=42mm, d=2mm, w=14mm) (</t>
    </r>
    <r>
      <rPr>
        <i/>
        <sz val="8"/>
        <color rgb="FF000000"/>
        <rFont val="Calibri"/>
        <family val="2"/>
      </rPr>
      <t>bottom side</t>
    </r>
    <r>
      <rPr>
        <sz val="8"/>
        <color rgb="FF000000"/>
        <rFont val="Calibri"/>
        <family val="2"/>
      </rPr>
      <t>)</t>
    </r>
  </si>
  <si>
    <r>
      <rPr>
        <i/>
        <sz val="8"/>
        <color rgb="FF000000"/>
        <rFont val="Calibri"/>
        <family val="2"/>
      </rPr>
      <t>Shall-End Milling Finishing</t>
    </r>
    <r>
      <rPr>
        <sz val="8"/>
        <color rgb="FF000000"/>
        <rFont val="Calibri"/>
        <family val="2"/>
      </rPr>
      <t xml:space="preserve"> (L=42mm, d=0.75mm, w=14mm) (</t>
    </r>
    <r>
      <rPr>
        <i/>
        <sz val="8"/>
        <color rgb="FF000000"/>
        <rFont val="Calibri"/>
        <family val="2"/>
      </rPr>
      <t>bottom side</t>
    </r>
    <r>
      <rPr>
        <sz val="8"/>
        <color rgb="FF000000"/>
        <rFont val="Calibri"/>
        <family val="2"/>
      </rPr>
      <t>)</t>
    </r>
  </si>
  <si>
    <r>
      <rPr>
        <i/>
        <sz val="8"/>
        <color rgb="FF000000"/>
        <rFont val="Calibri"/>
        <family val="2"/>
      </rPr>
      <t>Shall-End Milling Roughing</t>
    </r>
    <r>
      <rPr>
        <sz val="8"/>
        <color rgb="FF000000"/>
        <rFont val="Calibri"/>
        <family val="2"/>
      </rPr>
      <t xml:space="preserve"> (L=67mm, d=2mm, w=10mm) </t>
    </r>
    <r>
      <rPr>
        <i/>
        <sz val="8"/>
        <color rgb="FF000000"/>
        <rFont val="Calibri"/>
        <family val="2"/>
      </rPr>
      <t>(bottom sid</t>
    </r>
    <r>
      <rPr>
        <sz val="8"/>
        <color rgb="FF000000"/>
        <rFont val="Calibri"/>
        <family val="2"/>
      </rPr>
      <t>e)</t>
    </r>
  </si>
  <si>
    <r>
      <rPr>
        <i/>
        <sz val="8"/>
        <color rgb="FF000000"/>
        <rFont val="Calibri"/>
        <family val="2"/>
      </rPr>
      <t xml:space="preserve">Shall-End Milling Finishing </t>
    </r>
    <r>
      <rPr>
        <sz val="8"/>
        <color rgb="FF000000"/>
        <rFont val="Calibri"/>
        <family val="2"/>
      </rPr>
      <t>(L=67mm, d=0.75mm, w=10mm) (</t>
    </r>
    <r>
      <rPr>
        <i/>
        <sz val="8"/>
        <color rgb="FF000000"/>
        <rFont val="Calibri"/>
        <family val="2"/>
      </rPr>
      <t>bottom side</t>
    </r>
    <r>
      <rPr>
        <sz val="8"/>
        <color rgb="FF000000"/>
        <rFont val="Calibri"/>
        <family val="2"/>
      </rPr>
      <t>)</t>
    </r>
  </si>
  <si>
    <r>
      <rPr>
        <i/>
        <sz val="8"/>
        <color rgb="FF000000"/>
        <rFont val="Calibri"/>
        <family val="2"/>
      </rPr>
      <t xml:space="preserve">Shall-End Milling Roughing </t>
    </r>
    <r>
      <rPr>
        <sz val="8"/>
        <color rgb="FF000000"/>
        <rFont val="Calibri"/>
        <family val="2"/>
      </rPr>
      <t>(L=68,8mm, d=2mm, w=4mm) (</t>
    </r>
    <r>
      <rPr>
        <i/>
        <sz val="8"/>
        <color rgb="FF000000"/>
        <rFont val="Calibri"/>
        <family val="2"/>
      </rPr>
      <t>bottom side</t>
    </r>
    <r>
      <rPr>
        <sz val="8"/>
        <color rgb="FF000000"/>
        <rFont val="Calibri"/>
        <family val="2"/>
      </rPr>
      <t>)</t>
    </r>
  </si>
  <si>
    <r>
      <rPr>
        <i/>
        <sz val="8"/>
        <color rgb="FF000000"/>
        <rFont val="Calibri"/>
        <family val="2"/>
      </rPr>
      <t>Shall-End Milling Finishing</t>
    </r>
    <r>
      <rPr>
        <sz val="8"/>
        <color rgb="FF000000"/>
        <rFont val="Calibri"/>
        <family val="2"/>
      </rPr>
      <t xml:space="preserve"> (L=68,8mm, d=0,75mm, w=4mm) (</t>
    </r>
    <r>
      <rPr>
        <i/>
        <sz val="8"/>
        <color rgb="FF000000"/>
        <rFont val="Calibri"/>
        <family val="2"/>
      </rPr>
      <t>bottom side</t>
    </r>
    <r>
      <rPr>
        <sz val="8"/>
        <color rgb="FF000000"/>
        <rFont val="Calibri"/>
        <family val="2"/>
      </rPr>
      <t>)</t>
    </r>
  </si>
  <si>
    <r>
      <rPr>
        <i/>
        <sz val="8"/>
        <color rgb="FF000000"/>
        <rFont val="Calibri"/>
        <family val="2"/>
      </rPr>
      <t>Shall-End Milling Roughing</t>
    </r>
    <r>
      <rPr>
        <sz val="8"/>
        <color rgb="FF000000"/>
        <rFont val="Calibri"/>
        <family val="2"/>
      </rPr>
      <t xml:space="preserve"> (L=42mm, d=3mm, w=20mm) (</t>
    </r>
    <r>
      <rPr>
        <i/>
        <sz val="8"/>
        <color rgb="FF000000"/>
        <rFont val="Calibri"/>
        <family val="2"/>
      </rPr>
      <t>bottom side</t>
    </r>
    <r>
      <rPr>
        <sz val="8"/>
        <color rgb="FF000000"/>
        <rFont val="Calibri"/>
        <family val="2"/>
      </rPr>
      <t>) x2</t>
    </r>
  </si>
  <si>
    <r>
      <rPr>
        <i/>
        <sz val="8"/>
        <color rgb="FF000000"/>
        <rFont val="Calibri"/>
        <family val="2"/>
      </rPr>
      <t>Shall-End Milling Finishing</t>
    </r>
    <r>
      <rPr>
        <sz val="8"/>
        <color rgb="FF000000"/>
        <rFont val="Calibri"/>
        <family val="2"/>
      </rPr>
      <t xml:space="preserve"> (L=42mm, d=1mm, w=4,8mm) (</t>
    </r>
    <r>
      <rPr>
        <i/>
        <sz val="8"/>
        <color rgb="FF000000"/>
        <rFont val="Calibri"/>
        <family val="2"/>
      </rPr>
      <t>bottom side</t>
    </r>
    <r>
      <rPr>
        <sz val="8"/>
        <color rgb="FF000000"/>
        <rFont val="Calibri"/>
        <family val="2"/>
      </rPr>
      <t>)</t>
    </r>
  </si>
  <si>
    <r>
      <rPr>
        <i/>
        <sz val="8"/>
        <color rgb="FF000000"/>
        <rFont val="Calibri"/>
        <family val="2"/>
      </rPr>
      <t>Shall-End Milling Roughing</t>
    </r>
    <r>
      <rPr>
        <sz val="8"/>
        <color rgb="FF000000"/>
        <rFont val="Calibri"/>
        <family val="2"/>
      </rPr>
      <t xml:space="preserve"> (L=34,54mm, d=5mm, w=2,5mm) (</t>
    </r>
    <r>
      <rPr>
        <i/>
        <sz val="8"/>
        <color rgb="FF000000"/>
        <rFont val="Calibri"/>
        <family val="2"/>
      </rPr>
      <t>bottom side</t>
    </r>
    <r>
      <rPr>
        <sz val="8"/>
        <color rgb="FF000000"/>
        <rFont val="Calibri"/>
        <family val="2"/>
      </rPr>
      <t>) x9</t>
    </r>
  </si>
  <si>
    <r>
      <rPr>
        <i/>
        <sz val="8"/>
        <color rgb="FF000000"/>
        <rFont val="Calibri"/>
        <family val="2"/>
      </rPr>
      <t>Shall-End Milling Roughing</t>
    </r>
    <r>
      <rPr>
        <sz val="8"/>
        <color rgb="FF000000"/>
        <rFont val="Calibri"/>
        <family val="2"/>
      </rPr>
      <t xml:space="preserve"> (L=34,54mm, d=4mm, w=2,5mm) (</t>
    </r>
    <r>
      <rPr>
        <i/>
        <sz val="8"/>
        <color rgb="FF000000"/>
        <rFont val="Calibri"/>
        <family val="2"/>
      </rPr>
      <t>bottom side</t>
    </r>
    <r>
      <rPr>
        <sz val="8"/>
        <color rgb="FF000000"/>
        <rFont val="Calibri"/>
        <family val="2"/>
      </rPr>
      <t>)</t>
    </r>
  </si>
  <si>
    <r>
      <rPr>
        <i/>
        <sz val="8"/>
        <color rgb="FF000000"/>
        <rFont val="Calibri"/>
        <family val="2"/>
      </rPr>
      <t>Shall-End Milling Finishing</t>
    </r>
    <r>
      <rPr>
        <sz val="8"/>
        <color rgb="FF000000"/>
        <rFont val="Calibri"/>
        <family val="2"/>
      </rPr>
      <t xml:space="preserve"> (L=34,54mm, d=1mm, w=2,5mm) (</t>
    </r>
    <r>
      <rPr>
        <i/>
        <sz val="8"/>
        <color rgb="FF000000"/>
        <rFont val="Calibri"/>
        <family val="2"/>
      </rPr>
      <t>bottom side</t>
    </r>
    <r>
      <rPr>
        <sz val="8"/>
        <color rgb="FF000000"/>
        <rFont val="Calibri"/>
        <family val="2"/>
      </rPr>
      <t>)</t>
    </r>
  </si>
  <si>
    <r>
      <rPr>
        <i/>
        <sz val="8"/>
        <color rgb="FF000000"/>
        <rFont val="Calibri"/>
        <family val="2"/>
      </rPr>
      <t>Drilling</t>
    </r>
    <r>
      <rPr>
        <sz val="8"/>
        <color rgb="FF000000"/>
        <rFont val="Calibri"/>
        <family val="2"/>
      </rPr>
      <t xml:space="preserve"> (D=8,5mm, d=65mm) (</t>
    </r>
    <r>
      <rPr>
        <i/>
        <sz val="8"/>
        <color rgb="FF000000"/>
        <rFont val="Calibri"/>
        <family val="2"/>
      </rPr>
      <t>bottom side</t>
    </r>
    <r>
      <rPr>
        <sz val="8"/>
        <color rgb="FF000000"/>
        <rFont val="Calibri"/>
        <family val="2"/>
      </rPr>
      <t>)</t>
    </r>
  </si>
  <si>
    <t>HSS Drilling Tool D=8,5 mm</t>
  </si>
  <si>
    <r>
      <rPr>
        <i/>
        <sz val="8"/>
        <color rgb="FF000000"/>
        <rFont val="Calibri"/>
        <family val="2"/>
      </rPr>
      <t>Drilling</t>
    </r>
    <r>
      <rPr>
        <sz val="8"/>
        <color rgb="FF000000"/>
        <rFont val="Calibri"/>
        <family val="2"/>
      </rPr>
      <t xml:space="preserve"> (D=8,5mm, d=15mm) (</t>
    </r>
    <r>
      <rPr>
        <i/>
        <sz val="8"/>
        <color rgb="FF000000"/>
        <rFont val="Calibri"/>
        <family val="2"/>
      </rPr>
      <t>front side</t>
    </r>
    <r>
      <rPr>
        <sz val="8"/>
        <color rgb="FF000000"/>
        <rFont val="Calibri"/>
        <family val="2"/>
      </rPr>
      <t>)</t>
    </r>
  </si>
  <si>
    <r>
      <rPr>
        <i/>
        <sz val="8"/>
        <color rgb="FF000000"/>
        <rFont val="Calibri"/>
        <family val="2"/>
      </rPr>
      <t>Shall-End Milling Roughing</t>
    </r>
    <r>
      <rPr>
        <sz val="8"/>
        <color rgb="FF000000"/>
        <rFont val="Calibri"/>
        <family val="2"/>
      </rPr>
      <t xml:space="preserve"> (L=31,4mm, d=5mm, w=1,5mm) (</t>
    </r>
    <r>
      <rPr>
        <i/>
        <sz val="8"/>
        <color rgb="FF000000"/>
        <rFont val="Calibri"/>
        <family val="2"/>
      </rPr>
      <t>bottom side</t>
    </r>
    <r>
      <rPr>
        <sz val="8"/>
        <color rgb="FF000000"/>
        <rFont val="Calibri"/>
        <family val="2"/>
      </rPr>
      <t>) x2</t>
    </r>
  </si>
  <si>
    <r>
      <rPr>
        <i/>
        <sz val="8"/>
        <color rgb="FF000000"/>
        <rFont val="Calibri"/>
        <family val="2"/>
      </rPr>
      <t>Shall-End Milling Roughing</t>
    </r>
    <r>
      <rPr>
        <sz val="8"/>
        <color rgb="FF000000"/>
        <rFont val="Calibri"/>
        <family val="2"/>
      </rPr>
      <t xml:space="preserve"> (L=31,4mm, d=4mm, w=1,5mm) (</t>
    </r>
    <r>
      <rPr>
        <i/>
        <sz val="8"/>
        <color rgb="FF000000"/>
        <rFont val="Calibri"/>
        <family val="2"/>
      </rPr>
      <t>bottom side</t>
    </r>
    <r>
      <rPr>
        <sz val="8"/>
        <color rgb="FF000000"/>
        <rFont val="Calibri"/>
        <family val="2"/>
      </rPr>
      <t>)</t>
    </r>
  </si>
  <si>
    <r>
      <rPr>
        <i/>
        <sz val="8"/>
        <color rgb="FF000000"/>
        <rFont val="Calibri"/>
        <family val="2"/>
      </rPr>
      <t>Shall-End Milling Finishing</t>
    </r>
    <r>
      <rPr>
        <sz val="8"/>
        <color rgb="FF000000"/>
        <rFont val="Calibri"/>
        <family val="2"/>
      </rPr>
      <t xml:space="preserve"> (L=31,4mm, d=1mm, w=1,5mm) (</t>
    </r>
    <r>
      <rPr>
        <i/>
        <sz val="8"/>
        <color rgb="FF000000"/>
        <rFont val="Calibri"/>
        <family val="2"/>
      </rPr>
      <t>bottom side</t>
    </r>
    <r>
      <rPr>
        <sz val="8"/>
        <color rgb="FF000000"/>
        <rFont val="Calibri"/>
        <family val="2"/>
      </rPr>
      <t>)</t>
    </r>
  </si>
  <si>
    <r>
      <rPr>
        <i/>
        <sz val="11"/>
        <color rgb="FF000000"/>
        <rFont val="Calibri"/>
        <family val="2"/>
      </rPr>
      <t>Shall-End Milling Roughing</t>
    </r>
    <r>
      <rPr>
        <sz val="11"/>
        <color rgb="FF000000"/>
        <rFont val="Calibri"/>
        <family val="2"/>
      </rPr>
      <t xml:space="preserve"> (L=75mm, d=5mm, w=7,12mm) (</t>
    </r>
    <r>
      <rPr>
        <i/>
        <sz val="11"/>
        <color rgb="FF000000"/>
        <rFont val="Calibri"/>
        <family val="2"/>
      </rPr>
      <t>top side</t>
    </r>
    <r>
      <rPr>
        <sz val="11"/>
        <color rgb="FF000000"/>
        <rFont val="Calibri"/>
        <family val="2"/>
      </rPr>
      <t>) x9</t>
    </r>
  </si>
  <si>
    <r>
      <rPr>
        <i/>
        <sz val="11"/>
        <color rgb="FF000000"/>
        <rFont val="Calibri"/>
        <family val="2"/>
      </rPr>
      <t>Shall-End Milling Roughing</t>
    </r>
    <r>
      <rPr>
        <sz val="11"/>
        <color rgb="FF000000"/>
        <rFont val="Calibri"/>
        <family val="2"/>
      </rPr>
      <t xml:space="preserve"> (L=75mm, d=4mm, w=7,12mm) (</t>
    </r>
    <r>
      <rPr>
        <i/>
        <sz val="11"/>
        <color rgb="FF000000"/>
        <rFont val="Calibri"/>
        <family val="2"/>
      </rPr>
      <t>top side</t>
    </r>
    <r>
      <rPr>
        <sz val="11"/>
        <color rgb="FF000000"/>
        <rFont val="Calibri"/>
        <family val="2"/>
      </rPr>
      <t>)</t>
    </r>
  </si>
  <si>
    <r>
      <rPr>
        <i/>
        <sz val="11"/>
        <color rgb="FF000000"/>
        <rFont val="Calibri"/>
        <family val="2"/>
      </rPr>
      <t>Shall-End Milling Finishing</t>
    </r>
    <r>
      <rPr>
        <sz val="11"/>
        <color rgb="FF000000"/>
        <rFont val="Calibri"/>
        <family val="2"/>
      </rPr>
      <t xml:space="preserve"> (L=75mm, d=1mm, w=7,12mm) (</t>
    </r>
    <r>
      <rPr>
        <i/>
        <sz val="11"/>
        <color rgb="FF000000"/>
        <rFont val="Calibri"/>
        <family val="2"/>
      </rPr>
      <t>top side</t>
    </r>
    <r>
      <rPr>
        <sz val="11"/>
        <color rgb="FF000000"/>
        <rFont val="Calibri"/>
        <family val="2"/>
      </rPr>
      <t>)</t>
    </r>
  </si>
  <si>
    <r>
      <rPr>
        <i/>
        <sz val="11"/>
        <color rgb="FF000000"/>
        <rFont val="Calibri"/>
        <family val="2"/>
      </rPr>
      <t>Shall-End Milling Roughing</t>
    </r>
    <r>
      <rPr>
        <sz val="11"/>
        <color rgb="FF000000"/>
        <rFont val="Calibri"/>
        <family val="2"/>
      </rPr>
      <t xml:space="preserve"> (L=25mm, d=5mm, w=20mm) (</t>
    </r>
    <r>
      <rPr>
        <i/>
        <sz val="11"/>
        <color rgb="FF000000"/>
        <rFont val="Calibri"/>
        <family val="2"/>
      </rPr>
      <t>top side</t>
    </r>
    <r>
      <rPr>
        <sz val="11"/>
        <color rgb="FF000000"/>
        <rFont val="Calibri"/>
        <family val="2"/>
      </rPr>
      <t>) x9</t>
    </r>
  </si>
  <si>
    <r>
      <rPr>
        <i/>
        <sz val="11"/>
        <color rgb="FF000000"/>
        <rFont val="Calibri"/>
        <family val="2"/>
      </rPr>
      <t>Shall-End Milling Roughing</t>
    </r>
    <r>
      <rPr>
        <sz val="11"/>
        <color rgb="FF000000"/>
        <rFont val="Calibri"/>
        <family val="2"/>
      </rPr>
      <t xml:space="preserve"> (L=25mm, d=4mm, w=20mm) (</t>
    </r>
    <r>
      <rPr>
        <i/>
        <sz val="11"/>
        <color rgb="FF000000"/>
        <rFont val="Calibri"/>
        <family val="2"/>
      </rPr>
      <t>top side</t>
    </r>
    <r>
      <rPr>
        <sz val="11"/>
        <color rgb="FF000000"/>
        <rFont val="Calibri"/>
        <family val="2"/>
      </rPr>
      <t>)</t>
    </r>
  </si>
  <si>
    <r>
      <rPr>
        <i/>
        <sz val="11"/>
        <color rgb="FF000000"/>
        <rFont val="Calibri"/>
        <family val="2"/>
      </rPr>
      <t>Shall-End Milling Finishing</t>
    </r>
    <r>
      <rPr>
        <sz val="11"/>
        <color rgb="FF000000"/>
        <rFont val="Calibri"/>
        <family val="2"/>
      </rPr>
      <t xml:space="preserve"> (L=25mm, d=1mm, w=20mm) (</t>
    </r>
    <r>
      <rPr>
        <i/>
        <sz val="11"/>
        <color rgb="FF000000"/>
        <rFont val="Calibri"/>
        <family val="2"/>
      </rPr>
      <t>top side</t>
    </r>
    <r>
      <rPr>
        <sz val="11"/>
        <color rgb="FF000000"/>
        <rFont val="Calibri"/>
        <family val="2"/>
      </rPr>
      <t>)</t>
    </r>
  </si>
  <si>
    <r>
      <rPr>
        <i/>
        <sz val="11"/>
        <color rgb="FF000000"/>
        <rFont val="Calibri"/>
        <family val="2"/>
      </rPr>
      <t>Shall-End Milling Roughing</t>
    </r>
    <r>
      <rPr>
        <sz val="11"/>
        <color rgb="FF000000"/>
        <rFont val="Calibri"/>
        <family val="2"/>
      </rPr>
      <t xml:space="preserve"> (L=25mm, d=5mm, w=4,8mm) (</t>
    </r>
    <r>
      <rPr>
        <i/>
        <sz val="11"/>
        <color rgb="FF000000"/>
        <rFont val="Calibri"/>
        <family val="2"/>
      </rPr>
      <t>top side</t>
    </r>
    <r>
      <rPr>
        <sz val="11"/>
        <color rgb="FF000000"/>
        <rFont val="Calibri"/>
        <family val="2"/>
      </rPr>
      <t>) x9</t>
    </r>
  </si>
  <si>
    <r>
      <rPr>
        <i/>
        <sz val="11"/>
        <color rgb="FF000000"/>
        <rFont val="Calibri"/>
        <family val="2"/>
      </rPr>
      <t>Shall-End Milling Roughing</t>
    </r>
    <r>
      <rPr>
        <sz val="11"/>
        <color rgb="FF000000"/>
        <rFont val="Calibri"/>
        <family val="2"/>
      </rPr>
      <t xml:space="preserve"> (L=25mm, d=4mm, w=4,8mm) (</t>
    </r>
    <r>
      <rPr>
        <i/>
        <sz val="11"/>
        <color rgb="FF000000"/>
        <rFont val="Calibri"/>
        <family val="2"/>
      </rPr>
      <t>top side</t>
    </r>
    <r>
      <rPr>
        <sz val="11"/>
        <color rgb="FF000000"/>
        <rFont val="Calibri"/>
        <family val="2"/>
      </rPr>
      <t xml:space="preserve">) </t>
    </r>
  </si>
  <si>
    <r>
      <rPr>
        <i/>
        <sz val="11"/>
        <color rgb="FF000000"/>
        <rFont val="Calibri"/>
        <family val="2"/>
      </rPr>
      <t>Shall-End Milling Finishing</t>
    </r>
    <r>
      <rPr>
        <sz val="11"/>
        <color rgb="FF000000"/>
        <rFont val="Calibri"/>
        <family val="2"/>
      </rPr>
      <t xml:space="preserve"> (L=25mm, d=1mm, w=4,8mm) (</t>
    </r>
    <r>
      <rPr>
        <i/>
        <sz val="11"/>
        <color rgb="FF000000"/>
        <rFont val="Calibri"/>
        <family val="2"/>
      </rPr>
      <t>top side</t>
    </r>
    <r>
      <rPr>
        <sz val="11"/>
        <color rgb="FF000000"/>
        <rFont val="Calibri"/>
        <family val="2"/>
      </rPr>
      <t>)</t>
    </r>
  </si>
  <si>
    <r>
      <rPr>
        <i/>
        <sz val="11"/>
        <color rgb="FF000000"/>
        <rFont val="Calibri"/>
        <family val="2"/>
      </rPr>
      <t>Shall-End Milling Roughing</t>
    </r>
    <r>
      <rPr>
        <sz val="11"/>
        <color rgb="FF000000"/>
        <rFont val="Calibri"/>
        <family val="2"/>
      </rPr>
      <t xml:space="preserve"> (L=42mm, d=3mm, w=20mm) (</t>
    </r>
    <r>
      <rPr>
        <i/>
        <sz val="11"/>
        <color rgb="FF000000"/>
        <rFont val="Calibri"/>
        <family val="2"/>
      </rPr>
      <t>top side</t>
    </r>
    <r>
      <rPr>
        <sz val="11"/>
        <color rgb="FF000000"/>
        <rFont val="Calibri"/>
        <family val="2"/>
      </rPr>
      <t>) x2</t>
    </r>
  </si>
  <si>
    <r>
      <rPr>
        <i/>
        <sz val="11"/>
        <color rgb="FF000000"/>
        <rFont val="Calibri"/>
        <family val="2"/>
      </rPr>
      <t>Shall-End Milling Finishing</t>
    </r>
    <r>
      <rPr>
        <sz val="11"/>
        <color rgb="FF000000"/>
        <rFont val="Calibri"/>
        <family val="2"/>
      </rPr>
      <t xml:space="preserve"> (L=42mm, d=1mm, w=4,8mm) (</t>
    </r>
    <r>
      <rPr>
        <i/>
        <sz val="11"/>
        <color rgb="FF000000"/>
        <rFont val="Calibri"/>
        <family val="2"/>
      </rPr>
      <t>top side</t>
    </r>
    <r>
      <rPr>
        <sz val="11"/>
        <color rgb="FF000000"/>
        <rFont val="Calibri"/>
        <family val="2"/>
      </rPr>
      <t>)</t>
    </r>
  </si>
  <si>
    <r>
      <rPr>
        <i/>
        <sz val="11"/>
        <color rgb="FF000000"/>
        <rFont val="Calibri"/>
        <family val="2"/>
      </rPr>
      <t>Shall-End Milling Roughing</t>
    </r>
    <r>
      <rPr>
        <sz val="11"/>
        <color rgb="FF000000"/>
        <rFont val="Calibri"/>
        <family val="2"/>
      </rPr>
      <t xml:space="preserve"> (L=8mm, d=5mm, w=20mm) (</t>
    </r>
    <r>
      <rPr>
        <i/>
        <sz val="11"/>
        <color rgb="FF000000"/>
        <rFont val="Calibri"/>
        <family val="2"/>
      </rPr>
      <t>top side</t>
    </r>
    <r>
      <rPr>
        <sz val="11"/>
        <color rgb="FF000000"/>
        <rFont val="Calibri"/>
        <family val="2"/>
      </rPr>
      <t>) x9</t>
    </r>
  </si>
  <si>
    <r>
      <rPr>
        <i/>
        <sz val="11"/>
        <color rgb="FF000000"/>
        <rFont val="Calibri"/>
        <family val="2"/>
      </rPr>
      <t>Shall-End Milling Roughing</t>
    </r>
    <r>
      <rPr>
        <sz val="11"/>
        <color rgb="FF000000"/>
        <rFont val="Calibri"/>
        <family val="2"/>
      </rPr>
      <t xml:space="preserve"> (L=8mm, d=4mm, w=20mm) (</t>
    </r>
    <r>
      <rPr>
        <i/>
        <sz val="11"/>
        <color rgb="FF000000"/>
        <rFont val="Calibri"/>
        <family val="2"/>
      </rPr>
      <t>top side</t>
    </r>
    <r>
      <rPr>
        <sz val="11"/>
        <color rgb="FF000000"/>
        <rFont val="Calibri"/>
        <family val="2"/>
      </rPr>
      <t>)</t>
    </r>
  </si>
  <si>
    <r>
      <rPr>
        <i/>
        <sz val="11"/>
        <color rgb="FF000000"/>
        <rFont val="Calibri"/>
        <family val="2"/>
      </rPr>
      <t>Shall-End Milling Finishing</t>
    </r>
    <r>
      <rPr>
        <sz val="11"/>
        <color rgb="FF000000"/>
        <rFont val="Calibri"/>
        <family val="2"/>
      </rPr>
      <t xml:space="preserve"> (L=8mm, d=1mm, w=20mm) (</t>
    </r>
    <r>
      <rPr>
        <i/>
        <sz val="11"/>
        <color rgb="FF000000"/>
        <rFont val="Calibri"/>
        <family val="2"/>
      </rPr>
      <t>top side</t>
    </r>
    <r>
      <rPr>
        <sz val="11"/>
        <color rgb="FF000000"/>
        <rFont val="Calibri"/>
        <family val="2"/>
      </rPr>
      <t>)</t>
    </r>
  </si>
  <si>
    <r>
      <rPr>
        <i/>
        <sz val="11"/>
        <color rgb="FF000000"/>
        <rFont val="Calibri"/>
        <family val="2"/>
      </rPr>
      <t>Shall-End Milling Roughing</t>
    </r>
    <r>
      <rPr>
        <sz val="11"/>
        <color rgb="FF000000"/>
        <rFont val="Calibri"/>
        <family val="2"/>
      </rPr>
      <t xml:space="preserve"> (L=8mm, d=5mm, w=4,8mm) (</t>
    </r>
    <r>
      <rPr>
        <i/>
        <sz val="11"/>
        <color rgb="FF000000"/>
        <rFont val="Calibri"/>
        <family val="2"/>
      </rPr>
      <t>top side</t>
    </r>
    <r>
      <rPr>
        <sz val="11"/>
        <color rgb="FF000000"/>
        <rFont val="Calibri"/>
        <family val="2"/>
      </rPr>
      <t>) x9</t>
    </r>
  </si>
  <si>
    <r>
      <rPr>
        <i/>
        <sz val="11"/>
        <color rgb="FF000000"/>
        <rFont val="Calibri"/>
        <family val="2"/>
      </rPr>
      <t>Shall-End Milling Roughing</t>
    </r>
    <r>
      <rPr>
        <sz val="11"/>
        <color rgb="FF000000"/>
        <rFont val="Calibri"/>
        <family val="2"/>
      </rPr>
      <t xml:space="preserve"> (L=8mm, d=4mm, w=4,8mm) (</t>
    </r>
    <r>
      <rPr>
        <i/>
        <sz val="11"/>
        <color rgb="FF000000"/>
        <rFont val="Calibri"/>
        <family val="2"/>
      </rPr>
      <t>top side</t>
    </r>
    <r>
      <rPr>
        <sz val="11"/>
        <color rgb="FF000000"/>
        <rFont val="Calibri"/>
        <family val="2"/>
      </rPr>
      <t xml:space="preserve">) </t>
    </r>
  </si>
  <si>
    <r>
      <rPr>
        <i/>
        <sz val="11"/>
        <color rgb="FF000000"/>
        <rFont val="Calibri"/>
        <family val="2"/>
      </rPr>
      <t>Shall-End Milling Finishing</t>
    </r>
    <r>
      <rPr>
        <sz val="11"/>
        <color rgb="FF000000"/>
        <rFont val="Calibri"/>
        <family val="2"/>
      </rPr>
      <t xml:space="preserve"> (L=8mm, d=1mm, w=4,8mm) (</t>
    </r>
    <r>
      <rPr>
        <i/>
        <sz val="11"/>
        <color rgb="FF000000"/>
        <rFont val="Calibri"/>
        <family val="2"/>
      </rPr>
      <t>top side)</t>
    </r>
  </si>
  <si>
    <r>
      <rPr>
        <i/>
        <sz val="11"/>
        <color rgb="FF000000"/>
        <rFont val="Calibri"/>
        <family val="2"/>
      </rPr>
      <t>Shall-End Milling Roughing</t>
    </r>
    <r>
      <rPr>
        <sz val="11"/>
        <color rgb="FF000000"/>
        <rFont val="Calibri"/>
        <family val="2"/>
      </rPr>
      <t xml:space="preserve"> (L=68,8mm, d=2mm, w=4mm) (</t>
    </r>
    <r>
      <rPr>
        <i/>
        <sz val="11"/>
        <color rgb="FF000000"/>
        <rFont val="Calibri"/>
        <family val="2"/>
      </rPr>
      <t>top side</t>
    </r>
    <r>
      <rPr>
        <sz val="11"/>
        <color rgb="FF000000"/>
        <rFont val="Calibri"/>
        <family val="2"/>
      </rPr>
      <t>)</t>
    </r>
  </si>
  <si>
    <r>
      <rPr>
        <i/>
        <sz val="11"/>
        <color rgb="FF000000"/>
        <rFont val="Calibri"/>
        <family val="2"/>
      </rPr>
      <t>Shall-End Milling Finishing</t>
    </r>
    <r>
      <rPr>
        <sz val="11"/>
        <color rgb="FF000000"/>
        <rFont val="Calibri"/>
        <family val="2"/>
      </rPr>
      <t xml:space="preserve"> (L=68,8mm, d=0,75mm, w=4mm) </t>
    </r>
    <r>
      <rPr>
        <i/>
        <sz val="11"/>
        <color rgb="FF000000"/>
        <rFont val="Calibri"/>
        <family val="2"/>
      </rPr>
      <t>(top sid</t>
    </r>
    <r>
      <rPr>
        <sz val="11"/>
        <color rgb="FF000000"/>
        <rFont val="Calibri"/>
        <family val="2"/>
      </rPr>
      <t>e)</t>
    </r>
  </si>
  <si>
    <r>
      <rPr>
        <i/>
        <sz val="11"/>
        <color rgb="FF000000"/>
        <rFont val="Calibri"/>
        <family val="2"/>
      </rPr>
      <t>Shall-End Milling Roughing</t>
    </r>
    <r>
      <rPr>
        <sz val="11"/>
        <color rgb="FF000000"/>
        <rFont val="Calibri"/>
        <family val="2"/>
      </rPr>
      <t xml:space="preserve"> (L=6,2mm, d=5mm, w=4mm) (</t>
    </r>
    <r>
      <rPr>
        <i/>
        <sz val="11"/>
        <color rgb="FF000000"/>
        <rFont val="Calibri"/>
        <family val="2"/>
      </rPr>
      <t>top side</t>
    </r>
    <r>
      <rPr>
        <sz val="11"/>
        <color rgb="FF000000"/>
        <rFont val="Calibri"/>
        <family val="2"/>
      </rPr>
      <t>) x9</t>
    </r>
  </si>
  <si>
    <r>
      <rPr>
        <i/>
        <sz val="11"/>
        <color rgb="FF000000"/>
        <rFont val="Calibri"/>
        <family val="2"/>
      </rPr>
      <t>Shall-End Milling Roughing</t>
    </r>
    <r>
      <rPr>
        <sz val="11"/>
        <color rgb="FF000000"/>
        <rFont val="Calibri"/>
        <family val="2"/>
      </rPr>
      <t xml:space="preserve"> (L=6,2mm, d=4mm, w=4mm) (</t>
    </r>
    <r>
      <rPr>
        <i/>
        <sz val="11"/>
        <color rgb="FF000000"/>
        <rFont val="Calibri"/>
        <family val="2"/>
      </rPr>
      <t>top side</t>
    </r>
    <r>
      <rPr>
        <sz val="11"/>
        <color rgb="FF000000"/>
        <rFont val="Calibri"/>
        <family val="2"/>
      </rPr>
      <t>)</t>
    </r>
  </si>
  <si>
    <r>
      <rPr>
        <i/>
        <sz val="11"/>
        <color rgb="FF000000"/>
        <rFont val="Calibri"/>
        <family val="2"/>
      </rPr>
      <t>Shall-End Milling Finishing</t>
    </r>
    <r>
      <rPr>
        <sz val="11"/>
        <color rgb="FF000000"/>
        <rFont val="Calibri"/>
        <family val="2"/>
      </rPr>
      <t xml:space="preserve"> (L=6,2mm, d=1mm, w=4mm) (</t>
    </r>
    <r>
      <rPr>
        <i/>
        <sz val="11"/>
        <color rgb="FF000000"/>
        <rFont val="Calibri"/>
        <family val="2"/>
      </rPr>
      <t>top side</t>
    </r>
    <r>
      <rPr>
        <sz val="11"/>
        <color rgb="FF000000"/>
        <rFont val="Calibri"/>
        <family val="2"/>
      </rPr>
      <t>)</t>
    </r>
  </si>
  <si>
    <r>
      <rPr>
        <i/>
        <sz val="11"/>
        <color rgb="FF000000"/>
        <rFont val="Calibri"/>
        <family val="2"/>
      </rPr>
      <t>Shall-End Milling Roughing</t>
    </r>
    <r>
      <rPr>
        <sz val="11"/>
        <color rgb="FF000000"/>
        <rFont val="Calibri"/>
        <family val="2"/>
      </rPr>
      <t xml:space="preserve"> (L=67mm, d=2mm, w=10mm) (</t>
    </r>
    <r>
      <rPr>
        <i/>
        <sz val="11"/>
        <color rgb="FF000000"/>
        <rFont val="Calibri"/>
        <family val="2"/>
      </rPr>
      <t>top side</t>
    </r>
    <r>
      <rPr>
        <sz val="11"/>
        <color rgb="FF000000"/>
        <rFont val="Calibri"/>
        <family val="2"/>
      </rPr>
      <t>)</t>
    </r>
  </si>
  <si>
    <r>
      <rPr>
        <i/>
        <sz val="11"/>
        <color rgb="FF000000"/>
        <rFont val="Calibri"/>
        <family val="2"/>
      </rPr>
      <t>Shall-End Milling Finishing</t>
    </r>
    <r>
      <rPr>
        <sz val="11"/>
        <color rgb="FF000000"/>
        <rFont val="Calibri"/>
        <family val="2"/>
      </rPr>
      <t xml:space="preserve"> (L=67mm, d=0.75mm, w=10mm) (</t>
    </r>
    <r>
      <rPr>
        <i/>
        <sz val="11"/>
        <color rgb="FF000000"/>
        <rFont val="Calibri"/>
        <family val="2"/>
      </rPr>
      <t>top side</t>
    </r>
    <r>
      <rPr>
        <sz val="11"/>
        <color rgb="FF000000"/>
        <rFont val="Calibri"/>
        <family val="2"/>
      </rPr>
      <t>)</t>
    </r>
  </si>
  <si>
    <r>
      <rPr>
        <i/>
        <sz val="11"/>
        <color rgb="FF000000"/>
        <rFont val="Calibri"/>
        <family val="2"/>
      </rPr>
      <t>Shall-End Milling Roughing</t>
    </r>
    <r>
      <rPr>
        <sz val="11"/>
        <color rgb="FF000000"/>
        <rFont val="Calibri"/>
        <family val="2"/>
      </rPr>
      <t xml:space="preserve"> (L=8mm, d=5mm, w=10mm) (</t>
    </r>
    <r>
      <rPr>
        <i/>
        <sz val="11"/>
        <color rgb="FF000000"/>
        <rFont val="Calibri"/>
        <family val="2"/>
      </rPr>
      <t>top side</t>
    </r>
    <r>
      <rPr>
        <sz val="11"/>
        <color rgb="FF000000"/>
        <rFont val="Calibri"/>
        <family val="2"/>
      </rPr>
      <t>) x9</t>
    </r>
  </si>
  <si>
    <r>
      <rPr>
        <i/>
        <sz val="11"/>
        <color rgb="FF000000"/>
        <rFont val="Calibri"/>
        <family val="2"/>
      </rPr>
      <t>Shall-End Milling Roughing</t>
    </r>
    <r>
      <rPr>
        <sz val="11"/>
        <color rgb="FF000000"/>
        <rFont val="Calibri"/>
        <family val="2"/>
      </rPr>
      <t xml:space="preserve"> (L=8mm, d=4mm, w=10mm) (</t>
    </r>
    <r>
      <rPr>
        <i/>
        <sz val="11"/>
        <color rgb="FF000000"/>
        <rFont val="Calibri"/>
        <family val="2"/>
      </rPr>
      <t>top side</t>
    </r>
    <r>
      <rPr>
        <sz val="11"/>
        <color rgb="FF000000"/>
        <rFont val="Calibri"/>
        <family val="2"/>
      </rPr>
      <t>)</t>
    </r>
  </si>
  <si>
    <r>
      <rPr>
        <i/>
        <sz val="11"/>
        <color rgb="FF000000"/>
        <rFont val="Calibri"/>
        <family val="2"/>
      </rPr>
      <t xml:space="preserve">Shall-End Milling Finishing </t>
    </r>
    <r>
      <rPr>
        <sz val="11"/>
        <color rgb="FF000000"/>
        <rFont val="Calibri"/>
        <family val="2"/>
      </rPr>
      <t>(L=8mm, d=10mm, w=10mm) (</t>
    </r>
    <r>
      <rPr>
        <i/>
        <sz val="11"/>
        <color rgb="FF000000"/>
        <rFont val="Calibri"/>
        <family val="2"/>
      </rPr>
      <t>top side</t>
    </r>
    <r>
      <rPr>
        <sz val="11"/>
        <color rgb="FF000000"/>
        <rFont val="Calibri"/>
        <family val="2"/>
      </rPr>
      <t>)</t>
    </r>
  </si>
  <si>
    <r>
      <rPr>
        <i/>
        <sz val="11"/>
        <color rgb="FF000000"/>
        <rFont val="Calibri"/>
        <family val="2"/>
      </rPr>
      <t>Shall-End Milling Roughing</t>
    </r>
    <r>
      <rPr>
        <sz val="11"/>
        <color rgb="FF000000"/>
        <rFont val="Calibri"/>
        <family val="2"/>
      </rPr>
      <t xml:space="preserve"> (L=42mm, d=2mm, w=14mm) (</t>
    </r>
    <r>
      <rPr>
        <i/>
        <sz val="11"/>
        <color rgb="FF000000"/>
        <rFont val="Calibri"/>
        <family val="2"/>
      </rPr>
      <t>top side</t>
    </r>
    <r>
      <rPr>
        <sz val="11"/>
        <color rgb="FF000000"/>
        <rFont val="Calibri"/>
        <family val="2"/>
      </rPr>
      <t>)</t>
    </r>
  </si>
  <si>
    <r>
      <rPr>
        <i/>
        <sz val="11"/>
        <color rgb="FF000000"/>
        <rFont val="Calibri"/>
        <family val="2"/>
      </rPr>
      <t>Shall-End Milling Finishing</t>
    </r>
    <r>
      <rPr>
        <sz val="11"/>
        <color rgb="FF000000"/>
        <rFont val="Calibri"/>
        <family val="2"/>
      </rPr>
      <t xml:space="preserve"> (L=42mm, d=0.75mm, w=14mm) (</t>
    </r>
    <r>
      <rPr>
        <i/>
        <sz val="11"/>
        <color rgb="FF000000"/>
        <rFont val="Calibri"/>
        <family val="2"/>
      </rPr>
      <t>top side</t>
    </r>
    <r>
      <rPr>
        <sz val="11"/>
        <color rgb="FF000000"/>
        <rFont val="Calibri"/>
        <family val="2"/>
      </rPr>
      <t>)</t>
    </r>
  </si>
  <si>
    <r>
      <rPr>
        <i/>
        <sz val="11"/>
        <color rgb="FF000000"/>
        <rFont val="Calibri"/>
        <family val="2"/>
      </rPr>
      <t>Shall-End Milling Roughing</t>
    </r>
    <r>
      <rPr>
        <sz val="11"/>
        <color rgb="FF000000"/>
        <rFont val="Calibri"/>
        <family val="2"/>
      </rPr>
      <t xml:space="preserve"> (L=33mm, d=5mm, w=19mm) (</t>
    </r>
    <r>
      <rPr>
        <i/>
        <sz val="11"/>
        <color rgb="FF000000"/>
        <rFont val="Calibri"/>
        <family val="2"/>
      </rPr>
      <t>top side</t>
    </r>
    <r>
      <rPr>
        <sz val="11"/>
        <color rgb="FF000000"/>
        <rFont val="Calibri"/>
        <family val="2"/>
      </rPr>
      <t>) x9</t>
    </r>
  </si>
  <si>
    <r>
      <rPr>
        <i/>
        <sz val="11"/>
        <color rgb="FF000000"/>
        <rFont val="Calibri"/>
        <family val="2"/>
      </rPr>
      <t>Shall-End Milling Roughing</t>
    </r>
    <r>
      <rPr>
        <sz val="11"/>
        <color rgb="FF000000"/>
        <rFont val="Calibri"/>
        <family val="2"/>
      </rPr>
      <t xml:space="preserve"> (L=33mm, d=4mm, w=19mm) (</t>
    </r>
    <r>
      <rPr>
        <i/>
        <sz val="11"/>
        <color rgb="FF000000"/>
        <rFont val="Calibri"/>
        <family val="2"/>
      </rPr>
      <t>top side</t>
    </r>
    <r>
      <rPr>
        <sz val="11"/>
        <color rgb="FF000000"/>
        <rFont val="Calibri"/>
        <family val="2"/>
      </rPr>
      <t>)</t>
    </r>
  </si>
  <si>
    <r>
      <rPr>
        <i/>
        <sz val="11"/>
        <color rgb="FF000000"/>
        <rFont val="Calibri"/>
        <family val="2"/>
      </rPr>
      <t>Shall-End Milling Finishing</t>
    </r>
    <r>
      <rPr>
        <sz val="11"/>
        <color rgb="FF000000"/>
        <rFont val="Calibri"/>
        <family val="2"/>
      </rPr>
      <t xml:space="preserve"> (L=33mm, d=1mm, w=19mm) (</t>
    </r>
    <r>
      <rPr>
        <i/>
        <sz val="11"/>
        <color rgb="FF000000"/>
        <rFont val="Calibri"/>
        <family val="2"/>
      </rPr>
      <t>top side)</t>
    </r>
  </si>
  <si>
    <r>
      <rPr>
        <i/>
        <sz val="11"/>
        <color rgb="FF000000"/>
        <rFont val="Calibri"/>
        <family val="2"/>
      </rPr>
      <t>Shall-End Milling Roughing</t>
    </r>
    <r>
      <rPr>
        <sz val="11"/>
        <color rgb="FF000000"/>
        <rFont val="Calibri"/>
        <family val="2"/>
      </rPr>
      <t xml:space="preserve"> (L=23mm, d=5mm, w=5mm) (</t>
    </r>
    <r>
      <rPr>
        <i/>
        <sz val="11"/>
        <color rgb="FF000000"/>
        <rFont val="Calibri"/>
        <family val="2"/>
      </rPr>
      <t>top side</t>
    </r>
    <r>
      <rPr>
        <sz val="11"/>
        <color rgb="FF000000"/>
        <rFont val="Calibri"/>
        <family val="2"/>
      </rPr>
      <t>) x9</t>
    </r>
  </si>
  <si>
    <r>
      <rPr>
        <i/>
        <sz val="11"/>
        <color rgb="FF000000"/>
        <rFont val="Calibri"/>
        <family val="2"/>
      </rPr>
      <t>Shall-End Milling Roughing</t>
    </r>
    <r>
      <rPr>
        <sz val="11"/>
        <color rgb="FF000000"/>
        <rFont val="Calibri"/>
        <family val="2"/>
      </rPr>
      <t xml:space="preserve"> (L=23mm, d=4mm, w=5mm) (</t>
    </r>
    <r>
      <rPr>
        <i/>
        <sz val="11"/>
        <color rgb="FF000000"/>
        <rFont val="Calibri"/>
        <family val="2"/>
      </rPr>
      <t>top side</t>
    </r>
    <r>
      <rPr>
        <sz val="11"/>
        <color rgb="FF000000"/>
        <rFont val="Calibri"/>
        <family val="2"/>
      </rPr>
      <t>)</t>
    </r>
  </si>
  <si>
    <r>
      <rPr>
        <i/>
        <sz val="11"/>
        <color rgb="FF000000"/>
        <rFont val="Calibri"/>
        <family val="2"/>
      </rPr>
      <t xml:space="preserve">Shall-End Milling Finishing </t>
    </r>
    <r>
      <rPr>
        <sz val="11"/>
        <color rgb="FF000000"/>
        <rFont val="Calibri"/>
        <family val="2"/>
      </rPr>
      <t>(L=23mm, d=1mm, w=5mm) (</t>
    </r>
    <r>
      <rPr>
        <i/>
        <sz val="11"/>
        <color rgb="FF000000"/>
        <rFont val="Calibri"/>
        <family val="2"/>
      </rPr>
      <t>top side</t>
    </r>
    <r>
      <rPr>
        <sz val="11"/>
        <color rgb="FF000000"/>
        <rFont val="Calibri"/>
        <family val="2"/>
      </rPr>
      <t>)</t>
    </r>
  </si>
  <si>
    <r>
      <rPr>
        <i/>
        <sz val="11"/>
        <color rgb="FF000000"/>
        <rFont val="Calibri"/>
        <family val="2"/>
      </rPr>
      <t>Shall-End Milling Roughing</t>
    </r>
    <r>
      <rPr>
        <sz val="11"/>
        <color rgb="FF000000"/>
        <rFont val="Calibri"/>
        <family val="2"/>
      </rPr>
      <t xml:space="preserve"> (L=19mm, d=2mm, w=5mm) (</t>
    </r>
    <r>
      <rPr>
        <i/>
        <sz val="11"/>
        <color rgb="FF000000"/>
        <rFont val="Calibri"/>
        <family val="2"/>
      </rPr>
      <t>top side</t>
    </r>
    <r>
      <rPr>
        <sz val="11"/>
        <color rgb="FF000000"/>
        <rFont val="Calibri"/>
        <family val="2"/>
      </rPr>
      <t>)</t>
    </r>
  </si>
  <si>
    <r>
      <rPr>
        <i/>
        <sz val="11"/>
        <color rgb="FF000000"/>
        <rFont val="Calibri"/>
        <family val="2"/>
      </rPr>
      <t>Shall-End Milling Finishing</t>
    </r>
    <r>
      <rPr>
        <sz val="11"/>
        <color rgb="FF000000"/>
        <rFont val="Calibri"/>
        <family val="2"/>
      </rPr>
      <t xml:space="preserve"> (L=19mm, d=0.75mm, w=5mm) (</t>
    </r>
    <r>
      <rPr>
        <i/>
        <sz val="11"/>
        <color rgb="FF000000"/>
        <rFont val="Calibri"/>
        <family val="2"/>
      </rPr>
      <t>top side</t>
    </r>
    <r>
      <rPr>
        <sz val="11"/>
        <color rgb="FF000000"/>
        <rFont val="Calibri"/>
        <family val="2"/>
      </rPr>
      <t>)</t>
    </r>
  </si>
  <si>
    <r>
      <rPr>
        <i/>
        <sz val="11"/>
        <color rgb="FF000000"/>
        <rFont val="Calibri"/>
        <family val="2"/>
      </rPr>
      <t xml:space="preserve">Shall-End Milling Roughing </t>
    </r>
    <r>
      <rPr>
        <sz val="11"/>
        <color rgb="FF000000"/>
        <rFont val="Calibri"/>
        <family val="2"/>
      </rPr>
      <t>(L=19mm, d=2mm, w=5mm) (</t>
    </r>
    <r>
      <rPr>
        <i/>
        <sz val="11"/>
        <color rgb="FF000000"/>
        <rFont val="Calibri"/>
        <family val="2"/>
      </rPr>
      <t>bottom side</t>
    </r>
    <r>
      <rPr>
        <sz val="11"/>
        <color rgb="FF000000"/>
        <rFont val="Calibri"/>
        <family val="2"/>
      </rPr>
      <t>)</t>
    </r>
  </si>
  <si>
    <r>
      <rPr>
        <i/>
        <sz val="11"/>
        <color rgb="FF000000"/>
        <rFont val="Calibri"/>
        <family val="2"/>
      </rPr>
      <t>Shall-End Milling Finishing</t>
    </r>
    <r>
      <rPr>
        <sz val="11"/>
        <color rgb="FF000000"/>
        <rFont val="Calibri"/>
        <family val="2"/>
      </rPr>
      <t xml:space="preserve"> (L=19mm, d=0.75mm, w=5mm) (</t>
    </r>
    <r>
      <rPr>
        <i/>
        <sz val="11"/>
        <color rgb="FF000000"/>
        <rFont val="Calibri"/>
        <family val="2"/>
      </rPr>
      <t>bottom side</t>
    </r>
    <r>
      <rPr>
        <sz val="11"/>
        <color rgb="FF000000"/>
        <rFont val="Calibri"/>
        <family val="2"/>
      </rPr>
      <t>)</t>
    </r>
  </si>
  <si>
    <r>
      <rPr>
        <i/>
        <sz val="11"/>
        <color rgb="FF000000"/>
        <rFont val="Calibri"/>
        <family val="2"/>
      </rPr>
      <t>Shall-End Milling Roughing</t>
    </r>
    <r>
      <rPr>
        <sz val="11"/>
        <color rgb="FF000000"/>
        <rFont val="Calibri"/>
        <family val="2"/>
      </rPr>
      <t xml:space="preserve"> (L=42mm, d=2mm, w=14mm) (</t>
    </r>
    <r>
      <rPr>
        <i/>
        <sz val="11"/>
        <color rgb="FF000000"/>
        <rFont val="Calibri"/>
        <family val="2"/>
      </rPr>
      <t>bottom side</t>
    </r>
    <r>
      <rPr>
        <sz val="11"/>
        <color rgb="FF000000"/>
        <rFont val="Calibri"/>
        <family val="2"/>
      </rPr>
      <t>)</t>
    </r>
  </si>
  <si>
    <r>
      <rPr>
        <i/>
        <sz val="11"/>
        <color rgb="FF000000"/>
        <rFont val="Calibri"/>
        <family val="2"/>
      </rPr>
      <t>Shall-End Milling Finishing</t>
    </r>
    <r>
      <rPr>
        <sz val="11"/>
        <color rgb="FF000000"/>
        <rFont val="Calibri"/>
        <family val="2"/>
      </rPr>
      <t xml:space="preserve"> (L=42mm, d=0.75mm, w=14mm) (</t>
    </r>
    <r>
      <rPr>
        <i/>
        <sz val="11"/>
        <color rgb="FF000000"/>
        <rFont val="Calibri"/>
        <family val="2"/>
      </rPr>
      <t>bottom side</t>
    </r>
    <r>
      <rPr>
        <sz val="11"/>
        <color rgb="FF000000"/>
        <rFont val="Calibri"/>
        <family val="2"/>
      </rPr>
      <t>)</t>
    </r>
  </si>
  <si>
    <r>
      <rPr>
        <i/>
        <sz val="11"/>
        <color rgb="FF000000"/>
        <rFont val="Calibri"/>
        <family val="2"/>
      </rPr>
      <t>Shall-End Milling Roughing</t>
    </r>
    <r>
      <rPr>
        <sz val="11"/>
        <color rgb="FF000000"/>
        <rFont val="Calibri"/>
        <family val="2"/>
      </rPr>
      <t xml:space="preserve"> (L=67mm, d=2mm, w=10mm) </t>
    </r>
    <r>
      <rPr>
        <i/>
        <sz val="11"/>
        <color rgb="FF000000"/>
        <rFont val="Calibri"/>
        <family val="2"/>
      </rPr>
      <t>(bottom sid</t>
    </r>
    <r>
      <rPr>
        <sz val="11"/>
        <color rgb="FF000000"/>
        <rFont val="Calibri"/>
        <family val="2"/>
      </rPr>
      <t>e)</t>
    </r>
  </si>
  <si>
    <r>
      <rPr>
        <i/>
        <sz val="11"/>
        <color rgb="FF000000"/>
        <rFont val="Calibri"/>
        <family val="2"/>
      </rPr>
      <t xml:space="preserve">Shall-End Milling Finishing </t>
    </r>
    <r>
      <rPr>
        <sz val="11"/>
        <color rgb="FF000000"/>
        <rFont val="Calibri"/>
        <family val="2"/>
      </rPr>
      <t>(L=67mm, d=0.75mm, w=10mm) (</t>
    </r>
    <r>
      <rPr>
        <i/>
        <sz val="11"/>
        <color rgb="FF000000"/>
        <rFont val="Calibri"/>
        <family val="2"/>
      </rPr>
      <t>bottom side</t>
    </r>
    <r>
      <rPr>
        <sz val="11"/>
        <color rgb="FF000000"/>
        <rFont val="Calibri"/>
        <family val="2"/>
      </rPr>
      <t>)</t>
    </r>
  </si>
  <si>
    <r>
      <rPr>
        <i/>
        <sz val="11"/>
        <color rgb="FF000000"/>
        <rFont val="Calibri"/>
        <family val="2"/>
      </rPr>
      <t xml:space="preserve">Shall-End Milling Roughing </t>
    </r>
    <r>
      <rPr>
        <sz val="11"/>
        <color rgb="FF000000"/>
        <rFont val="Calibri"/>
        <family val="2"/>
      </rPr>
      <t>(L=68,8mm, d=2mm, w=4mm) (</t>
    </r>
    <r>
      <rPr>
        <i/>
        <sz val="11"/>
        <color rgb="FF000000"/>
        <rFont val="Calibri"/>
        <family val="2"/>
      </rPr>
      <t>bottom side</t>
    </r>
    <r>
      <rPr>
        <sz val="11"/>
        <color rgb="FF000000"/>
        <rFont val="Calibri"/>
        <family val="2"/>
      </rPr>
      <t>)</t>
    </r>
  </si>
  <si>
    <r>
      <rPr>
        <i/>
        <sz val="11"/>
        <color rgb="FF000000"/>
        <rFont val="Calibri"/>
        <family val="2"/>
      </rPr>
      <t>Shall-End Milling Finishing</t>
    </r>
    <r>
      <rPr>
        <sz val="11"/>
        <color rgb="FF000000"/>
        <rFont val="Calibri"/>
        <family val="2"/>
      </rPr>
      <t xml:space="preserve"> (L=68,8mm, d=0,75mm, w=4mm) (</t>
    </r>
    <r>
      <rPr>
        <i/>
        <sz val="11"/>
        <color rgb="FF000000"/>
        <rFont val="Calibri"/>
        <family val="2"/>
      </rPr>
      <t>bottom side</t>
    </r>
    <r>
      <rPr>
        <sz val="11"/>
        <color rgb="FF000000"/>
        <rFont val="Calibri"/>
        <family val="2"/>
      </rPr>
      <t>)</t>
    </r>
  </si>
  <si>
    <r>
      <rPr>
        <i/>
        <sz val="11"/>
        <color rgb="FF000000"/>
        <rFont val="Calibri"/>
        <family val="2"/>
      </rPr>
      <t>Shall-End Milling Roughing</t>
    </r>
    <r>
      <rPr>
        <sz val="11"/>
        <color rgb="FF000000"/>
        <rFont val="Calibri"/>
        <family val="2"/>
      </rPr>
      <t xml:space="preserve"> (L=42mm, d=3mm, w=20mm) (</t>
    </r>
    <r>
      <rPr>
        <i/>
        <sz val="11"/>
        <color rgb="FF000000"/>
        <rFont val="Calibri"/>
        <family val="2"/>
      </rPr>
      <t>bottom side</t>
    </r>
    <r>
      <rPr>
        <sz val="11"/>
        <color rgb="FF000000"/>
        <rFont val="Calibri"/>
        <family val="2"/>
      </rPr>
      <t>) x2</t>
    </r>
  </si>
  <si>
    <r>
      <rPr>
        <i/>
        <sz val="11"/>
        <color rgb="FF000000"/>
        <rFont val="Calibri"/>
        <family val="2"/>
      </rPr>
      <t>Shall-End Milling Finishing</t>
    </r>
    <r>
      <rPr>
        <sz val="11"/>
        <color rgb="FF000000"/>
        <rFont val="Calibri"/>
        <family val="2"/>
      </rPr>
      <t xml:space="preserve"> (L=42mm, d=1mm, w=4,8mm) (</t>
    </r>
    <r>
      <rPr>
        <i/>
        <sz val="11"/>
        <color rgb="FF000000"/>
        <rFont val="Calibri"/>
        <family val="2"/>
      </rPr>
      <t>bottom side</t>
    </r>
    <r>
      <rPr>
        <sz val="11"/>
        <color rgb="FF000000"/>
        <rFont val="Calibri"/>
        <family val="2"/>
      </rPr>
      <t>)</t>
    </r>
  </si>
  <si>
    <r>
      <rPr>
        <i/>
        <sz val="11"/>
        <color rgb="FF000000"/>
        <rFont val="Calibri"/>
        <family val="2"/>
      </rPr>
      <t>Shall-End Milling Roughing</t>
    </r>
    <r>
      <rPr>
        <sz val="11"/>
        <color rgb="FF000000"/>
        <rFont val="Calibri"/>
        <family val="2"/>
      </rPr>
      <t xml:space="preserve"> (L=34,54mm, d=5mm, w=2,5mm) (</t>
    </r>
    <r>
      <rPr>
        <i/>
        <sz val="11"/>
        <color rgb="FF000000"/>
        <rFont val="Calibri"/>
        <family val="2"/>
      </rPr>
      <t>bottom side</t>
    </r>
    <r>
      <rPr>
        <sz val="11"/>
        <color rgb="FF000000"/>
        <rFont val="Calibri"/>
        <family val="2"/>
      </rPr>
      <t>) x9</t>
    </r>
  </si>
  <si>
    <r>
      <rPr>
        <i/>
        <sz val="11"/>
        <color rgb="FF000000"/>
        <rFont val="Calibri"/>
        <family val="2"/>
      </rPr>
      <t>Shall-End Milling Roughing</t>
    </r>
    <r>
      <rPr>
        <sz val="11"/>
        <color rgb="FF000000"/>
        <rFont val="Calibri"/>
        <family val="2"/>
      </rPr>
      <t xml:space="preserve"> (L=34,54mm, d=4mm, w=2,5mm) (</t>
    </r>
    <r>
      <rPr>
        <i/>
        <sz val="11"/>
        <color rgb="FF000000"/>
        <rFont val="Calibri"/>
        <family val="2"/>
      </rPr>
      <t>bottom side</t>
    </r>
    <r>
      <rPr>
        <sz val="11"/>
        <color rgb="FF000000"/>
        <rFont val="Calibri"/>
        <family val="2"/>
      </rPr>
      <t>)</t>
    </r>
  </si>
  <si>
    <r>
      <rPr>
        <i/>
        <sz val="11"/>
        <color rgb="FF000000"/>
        <rFont val="Calibri"/>
        <family val="2"/>
      </rPr>
      <t>Shall-End Milling Finishing</t>
    </r>
    <r>
      <rPr>
        <sz val="11"/>
        <color rgb="FF000000"/>
        <rFont val="Calibri"/>
        <family val="2"/>
      </rPr>
      <t xml:space="preserve"> (L=34,54mm, d=1mm, w=2,5mm) (</t>
    </r>
    <r>
      <rPr>
        <i/>
        <sz val="11"/>
        <color rgb="FF000000"/>
        <rFont val="Calibri"/>
        <family val="2"/>
      </rPr>
      <t>bottom side</t>
    </r>
    <r>
      <rPr>
        <sz val="11"/>
        <color rgb="FF000000"/>
        <rFont val="Calibri"/>
        <family val="2"/>
      </rPr>
      <t>)</t>
    </r>
  </si>
  <si>
    <r>
      <rPr>
        <i/>
        <sz val="11"/>
        <color rgb="FF000000"/>
        <rFont val="Calibri"/>
        <family val="2"/>
      </rPr>
      <t>Shall-End Milling Roughing</t>
    </r>
    <r>
      <rPr>
        <sz val="11"/>
        <color rgb="FF000000"/>
        <rFont val="Calibri"/>
        <family val="2"/>
      </rPr>
      <t xml:space="preserve"> (L=31,4mm, d=5mm, w=1,5mm) (</t>
    </r>
    <r>
      <rPr>
        <i/>
        <sz val="11"/>
        <color rgb="FF000000"/>
        <rFont val="Calibri"/>
        <family val="2"/>
      </rPr>
      <t>bottom side</t>
    </r>
    <r>
      <rPr>
        <sz val="11"/>
        <color rgb="FF000000"/>
        <rFont val="Calibri"/>
        <family val="2"/>
      </rPr>
      <t>) x2</t>
    </r>
  </si>
  <si>
    <r>
      <rPr>
        <i/>
        <sz val="11"/>
        <color rgb="FF000000"/>
        <rFont val="Calibri"/>
        <family val="2"/>
      </rPr>
      <t>Shall-End Milling Roughing</t>
    </r>
    <r>
      <rPr>
        <sz val="11"/>
        <color rgb="FF000000"/>
        <rFont val="Calibri"/>
        <family val="2"/>
      </rPr>
      <t xml:space="preserve"> (L=31,4mm, d=4mm, w=1,5mm) (</t>
    </r>
    <r>
      <rPr>
        <i/>
        <sz val="11"/>
        <color rgb="FF000000"/>
        <rFont val="Calibri"/>
        <family val="2"/>
      </rPr>
      <t>bottom side</t>
    </r>
    <r>
      <rPr>
        <sz val="11"/>
        <color rgb="FF000000"/>
        <rFont val="Calibri"/>
        <family val="2"/>
      </rPr>
      <t>)</t>
    </r>
  </si>
  <si>
    <r>
      <rPr>
        <i/>
        <sz val="11"/>
        <color rgb="FF000000"/>
        <rFont val="Calibri"/>
        <family val="2"/>
      </rPr>
      <t>Shall-End Milling Finishing</t>
    </r>
    <r>
      <rPr>
        <sz val="11"/>
        <color rgb="FF000000"/>
        <rFont val="Calibri"/>
        <family val="2"/>
      </rPr>
      <t xml:space="preserve"> (L=31,4mm, d=1mm, w=1,5mm) (</t>
    </r>
    <r>
      <rPr>
        <i/>
        <sz val="11"/>
        <color rgb="FF000000"/>
        <rFont val="Calibri"/>
        <family val="2"/>
      </rPr>
      <t>bottom side</t>
    </r>
    <r>
      <rPr>
        <sz val="11"/>
        <color rgb="FF000000"/>
        <rFont val="Calibri"/>
        <family val="2"/>
      </rPr>
      <t>)</t>
    </r>
  </si>
  <si>
    <r>
      <rPr>
        <i/>
        <sz val="11"/>
        <color rgb="FF000000"/>
        <rFont val="Calibri"/>
        <family val="2"/>
      </rPr>
      <t>Drilling</t>
    </r>
    <r>
      <rPr>
        <sz val="11"/>
        <color rgb="FF000000"/>
        <rFont val="Calibri"/>
        <family val="2"/>
      </rPr>
      <t xml:space="preserve"> (D=8,5mm, d=65mm) (</t>
    </r>
    <r>
      <rPr>
        <i/>
        <sz val="11"/>
        <color rgb="FF000000"/>
        <rFont val="Calibri"/>
        <family val="2"/>
      </rPr>
      <t>bottom side</t>
    </r>
    <r>
      <rPr>
        <sz val="11"/>
        <color rgb="FF000000"/>
        <rFont val="Calibri"/>
        <family val="2"/>
      </rPr>
      <t>)</t>
    </r>
  </si>
  <si>
    <r>
      <rPr>
        <i/>
        <sz val="11"/>
        <color rgb="FF000000"/>
        <rFont val="Calibri"/>
        <family val="2"/>
      </rPr>
      <t>Drilling</t>
    </r>
    <r>
      <rPr>
        <sz val="11"/>
        <color rgb="FF000000"/>
        <rFont val="Calibri"/>
        <family val="2"/>
      </rPr>
      <t xml:space="preserve"> (D=8,5mm, d=15mm) (</t>
    </r>
    <r>
      <rPr>
        <i/>
        <sz val="11"/>
        <color rgb="FF000000"/>
        <rFont val="Calibri"/>
        <family val="2"/>
      </rPr>
      <t>front side</t>
    </r>
    <r>
      <rPr>
        <sz val="11"/>
        <color rgb="FF000000"/>
        <rFont val="Calibri"/>
        <family val="2"/>
      </rPr>
      <t>)</t>
    </r>
  </si>
  <si>
    <t>Tripod-R-11-Tilt</t>
  </si>
  <si>
    <t>Tilt</t>
  </si>
  <si>
    <t>ABS (Acrylonitrile Butadiene Styrene)</t>
  </si>
  <si>
    <t>Volume</t>
  </si>
  <si>
    <t>mm^3</t>
  </si>
  <si>
    <t>Mass</t>
  </si>
  <si>
    <t>g</t>
  </si>
  <si>
    <t>Injection Molding</t>
  </si>
  <si>
    <t>Mesin Injection Molding</t>
  </si>
  <si>
    <t>Clamping Unit</t>
  </si>
  <si>
    <t>Mold</t>
  </si>
  <si>
    <t>INJECTION MOLDING</t>
  </si>
  <si>
    <t>Vprod (m^3)</t>
  </si>
  <si>
    <t>Vs (m^3)</t>
  </si>
  <si>
    <t>P (W)</t>
  </si>
  <si>
    <t>p (N/m^2)</t>
  </si>
  <si>
    <t>hmax (mm)</t>
  </si>
  <si>
    <t>alpha</t>
  </si>
  <si>
    <t>Ti</t>
  </si>
  <si>
    <t>Tx</t>
  </si>
  <si>
    <t>Tm</t>
  </si>
  <si>
    <t>tc</t>
  </si>
  <si>
    <t>tf</t>
  </si>
  <si>
    <t>Total Cycle Time (s)</t>
  </si>
  <si>
    <t>HSS Drill 5 mm</t>
  </si>
  <si>
    <t>Bush</t>
  </si>
  <si>
    <t>4 Maret 2026</t>
  </si>
  <si>
    <t>Rib</t>
  </si>
  <si>
    <t>Center Drill (D=4,5 mm, d=3,689 mm) (center)</t>
  </si>
  <si>
    <t>Drilling (D=4,5 mm, d=15 mm) (center)</t>
  </si>
  <si>
    <r>
      <t xml:space="preserve">Spot Drill (D=10 mm, d=3 mm, ϑ= 90°) </t>
    </r>
    <r>
      <rPr>
        <sz val="8"/>
        <color rgb="FF000000"/>
        <rFont val="Calibri"/>
        <family val="2"/>
      </rPr>
      <t>(</t>
    </r>
    <r>
      <rPr>
        <i/>
        <sz val="8"/>
        <color rgb="FF000000"/>
        <rFont val="Calibri"/>
        <family val="2"/>
      </rPr>
      <t xml:space="preserve">top side) </t>
    </r>
    <r>
      <rPr>
        <sz val="8"/>
        <color rgb="FF000000"/>
        <rFont val="Calibri"/>
        <family val="2"/>
      </rPr>
      <t>2x</t>
    </r>
  </si>
  <si>
    <r>
      <t xml:space="preserve">Drill (D=7 mm, d=5 mm) (top side) </t>
    </r>
    <r>
      <rPr>
        <sz val="8"/>
        <color rgb="FF000000"/>
        <rFont val="Calibri"/>
        <family val="2"/>
      </rPr>
      <t>2x</t>
    </r>
  </si>
  <si>
    <r>
      <t xml:space="preserve">Spot Drill (D=10 mm, d=6 mm, ϑ= 90°) (top side) </t>
    </r>
    <r>
      <rPr>
        <sz val="8"/>
        <color rgb="FF000000"/>
        <rFont val="Calibri"/>
        <family val="2"/>
      </rPr>
      <t>2x</t>
    </r>
  </si>
  <si>
    <r>
      <t xml:space="preserve">Drill (D=7 mm, d=7 mm) (top side) </t>
    </r>
    <r>
      <rPr>
        <sz val="8"/>
        <color rgb="FF000000"/>
        <rFont val="Calibri"/>
        <family val="2"/>
      </rPr>
      <t>2x</t>
    </r>
  </si>
  <si>
    <t>Pivot Holder</t>
  </si>
  <si>
    <t>bik</t>
  </si>
  <si>
    <t>End Mill Pocket Roughing (L=75 mm, d=2,7 mm, w=6 mm) (top side) 10x</t>
  </si>
  <si>
    <t xml:space="preserve">End Mill Circular Pocket Roughing (L=22.6 mm, d=1 mm, w=6 mm) (top side) </t>
  </si>
  <si>
    <t xml:space="preserve">End Mill Circular Pocket Finishing (L=22.6 mm, d=0,5 mm, w=6 mm) (top side) </t>
  </si>
  <si>
    <t>End Mill Pocket Finishing (L=75 mm, d=0,5 mm, w=6 mm) (top side)</t>
  </si>
  <si>
    <t>End Mill Contour Roughing (L=44 mm, d=2.75 mm, w=6 mm) (top side) 9x</t>
  </si>
  <si>
    <t>HSS Milling Tool 6 mm</t>
  </si>
  <si>
    <t xml:space="preserve">End Mill Contour Finishing (L=44 mm, d=2.75 mm, w=6 mm) (top side) </t>
  </si>
  <si>
    <t>Guide male</t>
  </si>
  <si>
    <t>Face Turning (L=160 mm, Do=16 mm, Df=14 mm)</t>
  </si>
  <si>
    <t>Face Turning (L=30 mm, Do=14 mm, Df=10 mm)</t>
  </si>
  <si>
    <t>Chamfering (d=2 mm, ϑ= 45°)</t>
  </si>
  <si>
    <t>Thread Turning (L=25 mm, M10 x 1.5)</t>
  </si>
  <si>
    <t>Chamfering (d=1 mm, ϑ= 45°)</t>
  </si>
  <si>
    <t>Filetting (R=5 mm)</t>
  </si>
  <si>
    <t>Shell End Milling Roughing (L=90 mm, d=3 mm, w=5 mm) 2x</t>
  </si>
  <si>
    <t>Shell End Milling Finishing (L=90 mm, d=0.5 mm, w=5 mm) 2x</t>
  </si>
  <si>
    <t>HSS Center Drill 5 mm</t>
  </si>
  <si>
    <t>Bottom Base 1</t>
  </si>
  <si>
    <t>Face Turning (L=70 mm, Do=70 mm, Df=70 mm) (right side)</t>
  </si>
  <si>
    <t>Face Turning (L=39 mm, Do=70 mm, Df=66 mm) (right side)</t>
  </si>
  <si>
    <t>Face Turning (L=39 mm, Do=66 mm, Df=62 mm) (right side)</t>
  </si>
  <si>
    <t>Face Turning (L=39 mm, Do=62 mm, Df=60 mm) (right side)</t>
  </si>
  <si>
    <t>Chamfer Turning (L=10 mm, Do=60 mm, Df=40 mm, θ=40°) (right side)</t>
  </si>
  <si>
    <t>Drilling (D=10 mm, d=15 mm) (center)</t>
  </si>
  <si>
    <t>Boring (L=26 mm, Do=10 mm, Df=38 mm) (left side)</t>
  </si>
  <si>
    <t>HSS  Boring Tool</t>
  </si>
  <si>
    <t>Drilling (D=8,5 mm, d=15 mm) (center)</t>
  </si>
  <si>
    <t>HSS Drill 8,5 mm</t>
  </si>
  <si>
    <t>Tapping (M10, d=15 mm) (center)</t>
  </si>
  <si>
    <t>Tap M10</t>
  </si>
  <si>
    <t>Shell-end Milling Roughing (L=26 mm, d=5 mm, w=17 mm) (left side) 3x</t>
  </si>
  <si>
    <t>HSS Endmill 17 mm</t>
  </si>
  <si>
    <t>Shell-end Milling Finishing (L=26 mm, d=1 mm, w=13 mm) (left side) 3x</t>
  </si>
  <si>
    <t>Shell-end Milling Roughing (L=17 mm, d=4 mm, w=8 mm) (left side) 3x</t>
  </si>
  <si>
    <t>HSS Endmill 8 mm</t>
  </si>
  <si>
    <t>Shell-end Milling Finishing (L=17 mm, d=0,5 mm, w=8 mm) (left side) 3x</t>
  </si>
  <si>
    <t>Chamfer Turning (L=10 mm, Do=40 mm, Df=40 mm, θ=40°) (right side)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</si>
</sst>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00%"/>
    <numFmt numFmtId="165" formatCode="0.000000000"/>
  </numFmts>
  <fonts count="29"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font>
    <font>
      <sz val="11"/>
      <name val="Calibri"/>
      <family val="2"/>
    </font>
    <font>
      <b/>
      <sz val="11"/>
      <color theme="1"/>
      <name val="Calibri"/>
      <family val="2"/>
    </font>
    <font>
      <sz val="11"/>
      <color theme="1"/>
      <name val="Arial"/>
      <family val="2"/>
    </font>
    <font>
      <b/>
      <sz val="12"/>
      <color rgb="FF000000"/>
      <name val="Calibri"/>
      <family val="2"/>
    </font>
    <font>
      <sz val="8"/>
      <color rgb="FF000000"/>
      <name val="Calibri"/>
      <family val="2"/>
    </font>
    <font>
      <b/>
      <sz val="8"/>
      <color rgb="FF000000"/>
      <name val="Calibri"/>
      <family val="2"/>
    </font>
    <font>
      <i/>
      <sz val="8"/>
      <color rgb="FF000000"/>
      <name val="Calibri"/>
      <family val="2"/>
    </font>
    <font>
      <sz val="8"/>
      <color theme="1"/>
      <name val="Calibri"/>
      <family val="2"/>
    </font>
    <font>
      <b/>
      <sz val="20"/>
      <color theme="1"/>
      <name val="Calibri"/>
      <family val="2"/>
    </font>
    <font>
      <b/>
      <sz val="18"/>
      <color theme="1"/>
      <name val="Calibri"/>
      <family val="2"/>
    </font>
    <font>
      <i/>
      <sz val="11"/>
      <color theme="1"/>
      <name val="Calibri"/>
      <family val="2"/>
    </font>
    <font>
      <vertAlign val="superscript"/>
      <sz val="11"/>
      <color theme="1"/>
      <name val="Calibri"/>
      <family val="2"/>
    </font>
    <font>
      <b/>
      <sz val="11"/>
      <color theme="1"/>
      <name val="Calibri"/>
      <family val="2"/>
      <scheme val="minor"/>
    </font>
    <font>
      <sz val="9"/>
      <color indexed="81"/>
      <name val="Tahoma"/>
      <family val="2"/>
    </font>
    <font>
      <sz val="11"/>
      <color rgb="FF000000"/>
      <name val="Calibri"/>
      <family val="2"/>
    </font>
    <font>
      <i/>
      <sz val="11"/>
      <color rgb="FF000000"/>
      <name val="Calibri"/>
      <family val="2"/>
    </font>
    <font>
      <sz val="8"/>
      <color rgb="FF000000"/>
      <name val="Calibri"/>
      <family val="2"/>
      <scheme val="minor"/>
    </font>
    <font>
      <sz val="8"/>
      <color theme="1"/>
      <name val="Calibri"/>
      <family val="2"/>
      <scheme val="minor"/>
    </font>
    <font>
      <sz val="8"/>
      <color rgb="FF000000"/>
      <name val="Aptos Narrow"/>
      <family val="2"/>
    </font>
    <font>
      <b/>
      <sz val="9"/>
      <color indexed="81"/>
      <name val="Tahoma"/>
      <family val="2"/>
    </font>
    <font>
      <sz val="11"/>
      <color theme="1"/>
      <name val="Calibri"/>
      <family val="2"/>
      <scheme val="minor"/>
    </font>
    <font>
      <sz val="11"/>
      <name val="Arial"/>
      <family val="2"/>
    </font>
    <font>
      <sz val="11"/>
      <color theme="1"/>
      <name val="Calibri"/>
      <family val="2"/>
      <scheme val="minor"/>
    </font>
    <font>
      <i/>
      <sz val="8"/>
      <color theme="1"/>
      <name val="Calibri"/>
      <family val="2"/>
    </font>
  </fonts>
  <fills count="4">
    <fill>
      <patternFill patternType="none"/>
    </fill>
    <fill>
      <patternFill patternType="gray125"/>
    </fill>
    <fill>
      <patternFill patternType="solid">
        <fgColor rgb="FFD9E2F3"/>
        <bgColor rgb="FFD9E2F3"/>
      </patternFill>
    </fill>
    <fill>
      <patternFill patternType="solid">
        <fgColor theme="0"/>
        <bgColor theme="0"/>
      </patternFill>
    </fill>
  </fills>
  <borders count="26">
    <border>
      <left/>
      <right/>
      <top/>
      <bottom/>
      <diagonal/>
    </border>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bottom/>
      <diagonal/>
    </border>
    <border>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s>
  <cellStyleXfs count="7">
    <xf numFmtId="0" fontId="0" fillId="0" borderId="0"/>
    <xf numFmtId="0" fontId="3" fillId="0" borderId="1"/>
    <xf numFmtId="0" fontId="2" fillId="0" borderId="1"/>
    <xf numFmtId="0" fontId="25" fillId="0" borderId="1"/>
    <xf numFmtId="9" fontId="27" fillId="0" borderId="0" applyFont="0" applyFill="0" applyBorder="0" applyAlignment="0" applyProtection="0"/>
    <xf numFmtId="0" fontId="1" fillId="0" borderId="1"/>
    <xf numFmtId="0" fontId="1" fillId="0" borderId="1"/>
  </cellStyleXfs>
  <cellXfs count="367">
    <xf numFmtId="0" fontId="0" fillId="0" borderId="0" xfId="0"/>
    <xf numFmtId="0" fontId="4" fillId="0" borderId="5" xfId="0" applyFont="1" applyBorder="1"/>
    <xf numFmtId="0" fontId="4" fillId="0" borderId="0" xfId="0" applyFont="1"/>
    <xf numFmtId="0" fontId="4" fillId="0" borderId="6" xfId="0" applyFont="1" applyBorder="1"/>
    <xf numFmtId="0" fontId="9" fillId="0" borderId="7" xfId="0" applyFont="1" applyBorder="1" applyAlignment="1">
      <alignment vertical="center"/>
    </xf>
    <xf numFmtId="0" fontId="9" fillId="0" borderId="4" xfId="0" applyFont="1" applyBorder="1" applyAlignment="1">
      <alignment vertical="center"/>
    </xf>
    <xf numFmtId="0" fontId="4" fillId="0" borderId="10" xfId="0" applyFont="1" applyBorder="1"/>
    <xf numFmtId="0" fontId="4" fillId="0" borderId="11" xfId="0" applyFont="1" applyBorder="1"/>
    <xf numFmtId="0" fontId="9" fillId="0" borderId="7" xfId="0" applyFont="1" applyBorder="1" applyAlignment="1">
      <alignment horizontal="center" vertical="center"/>
    </xf>
    <xf numFmtId="2" fontId="12" fillId="3" borderId="12" xfId="0" applyNumberFormat="1" applyFont="1" applyFill="1" applyBorder="1" applyAlignment="1">
      <alignment horizontal="center" vertical="center" wrapText="1"/>
    </xf>
    <xf numFmtId="2" fontId="12" fillId="0" borderId="13" xfId="0" applyNumberFormat="1" applyFont="1" applyBorder="1" applyAlignment="1">
      <alignment horizontal="center" vertical="center"/>
    </xf>
    <xf numFmtId="0" fontId="9" fillId="0" borderId="13" xfId="0" applyFont="1" applyBorder="1" applyAlignment="1">
      <alignment vertical="center"/>
    </xf>
    <xf numFmtId="0" fontId="12" fillId="0" borderId="13" xfId="0" applyFont="1" applyBorder="1" applyAlignment="1">
      <alignment vertical="center"/>
    </xf>
    <xf numFmtId="0" fontId="4" fillId="0" borderId="13" xfId="0" applyFont="1" applyBorder="1" applyAlignment="1">
      <alignment vertical="center"/>
    </xf>
    <xf numFmtId="2" fontId="4" fillId="0" borderId="13" xfId="0" applyNumberFormat="1" applyFont="1" applyBorder="1" applyAlignment="1">
      <alignment vertical="center"/>
    </xf>
    <xf numFmtId="0" fontId="9" fillId="0" borderId="7" xfId="0" applyFont="1" applyBorder="1" applyAlignment="1">
      <alignment horizontal="left" vertical="center"/>
    </xf>
    <xf numFmtId="2" fontId="9" fillId="0" borderId="7" xfId="0" applyNumberFormat="1" applyFont="1" applyBorder="1" applyAlignment="1">
      <alignment horizontal="center" vertical="center"/>
    </xf>
    <xf numFmtId="0" fontId="9" fillId="0" borderId="16" xfId="0" applyFont="1" applyBorder="1" applyAlignment="1">
      <alignment horizontal="center" vertical="center"/>
    </xf>
    <xf numFmtId="0" fontId="9" fillId="0" borderId="16" xfId="0" applyFont="1" applyBorder="1" applyAlignment="1">
      <alignment vertical="center"/>
    </xf>
    <xf numFmtId="0" fontId="14" fillId="0" borderId="0" xfId="0" applyFont="1" applyAlignment="1">
      <alignment horizontal="center" vertical="center"/>
    </xf>
    <xf numFmtId="0" fontId="6" fillId="2" borderId="16" xfId="0" applyFont="1" applyFill="1" applyBorder="1" applyAlignment="1">
      <alignment horizontal="center" vertical="center"/>
    </xf>
    <xf numFmtId="0" fontId="4" fillId="2" borderId="16" xfId="0" applyFont="1" applyFill="1" applyBorder="1" applyAlignment="1">
      <alignment horizontal="center" vertical="center"/>
    </xf>
    <xf numFmtId="0" fontId="4" fillId="0" borderId="16" xfId="0" applyFont="1" applyBorder="1" applyAlignment="1">
      <alignment horizontal="center"/>
    </xf>
    <xf numFmtId="0" fontId="7" fillId="0" borderId="16" xfId="0" applyFont="1" applyBorder="1" applyAlignment="1">
      <alignment horizontal="center"/>
    </xf>
    <xf numFmtId="0" fontId="6" fillId="0" borderId="0" xfId="0" applyFont="1" applyAlignment="1">
      <alignment horizontal="center"/>
    </xf>
    <xf numFmtId="0" fontId="4" fillId="0" borderId="0" xfId="0" applyFont="1" applyAlignment="1">
      <alignment horizontal="center"/>
    </xf>
    <xf numFmtId="0" fontId="6" fillId="0" borderId="16" xfId="0" applyFont="1" applyBorder="1" applyAlignment="1">
      <alignment horizontal="center"/>
    </xf>
    <xf numFmtId="0" fontId="4" fillId="0" borderId="16" xfId="0" applyFont="1" applyBorder="1" applyAlignment="1">
      <alignment horizontal="center" vertical="center"/>
    </xf>
    <xf numFmtId="0" fontId="12" fillId="0" borderId="16" xfId="0" applyFont="1" applyBorder="1" applyAlignment="1">
      <alignment horizontal="left" vertical="center"/>
    </xf>
    <xf numFmtId="0" fontId="4" fillId="0" borderId="15" xfId="0" applyFont="1" applyBorder="1" applyAlignment="1">
      <alignment horizontal="center" vertical="center"/>
    </xf>
    <xf numFmtId="164" fontId="4" fillId="0" borderId="16" xfId="0" applyNumberFormat="1" applyFont="1" applyBorder="1" applyAlignment="1">
      <alignment horizontal="center" vertical="center"/>
    </xf>
    <xf numFmtId="0" fontId="4" fillId="0" borderId="18" xfId="0" applyFont="1" applyBorder="1" applyAlignment="1">
      <alignment horizontal="center"/>
    </xf>
    <xf numFmtId="0" fontId="6" fillId="0" borderId="18" xfId="0" applyFont="1" applyBorder="1" applyAlignment="1">
      <alignment horizontal="center"/>
    </xf>
    <xf numFmtId="0" fontId="9" fillId="0" borderId="0" xfId="0" applyFont="1" applyAlignment="1">
      <alignment horizontal="center" vertical="center"/>
    </xf>
    <xf numFmtId="0" fontId="9" fillId="0" borderId="0" xfId="0" applyFont="1" applyAlignment="1">
      <alignment vertical="center"/>
    </xf>
    <xf numFmtId="0" fontId="4" fillId="0" borderId="0" xfId="0" applyFont="1" applyAlignment="1">
      <alignment horizontal="center" vertical="center"/>
    </xf>
    <xf numFmtId="164" fontId="4" fillId="0" borderId="0" xfId="0" applyNumberFormat="1" applyFont="1" applyAlignment="1">
      <alignment horizontal="center" vertical="center"/>
    </xf>
    <xf numFmtId="0" fontId="6" fillId="0" borderId="0" xfId="0" applyFont="1"/>
    <xf numFmtId="16" fontId="4" fillId="0" borderId="0" xfId="0" applyNumberFormat="1" applyFont="1"/>
    <xf numFmtId="0" fontId="14" fillId="0" borderId="0" xfId="0" applyFont="1" applyAlignment="1">
      <alignment vertical="center"/>
    </xf>
    <xf numFmtId="0" fontId="9" fillId="0" borderId="12" xfId="0" applyFont="1" applyBorder="1" applyAlignment="1">
      <alignment horizontal="center" vertical="center"/>
    </xf>
    <xf numFmtId="0" fontId="9" fillId="0" borderId="12" xfId="0" applyFont="1" applyBorder="1" applyAlignment="1">
      <alignment vertical="center"/>
    </xf>
    <xf numFmtId="0" fontId="4" fillId="0" borderId="12" xfId="0" applyFont="1" applyBorder="1"/>
    <xf numFmtId="0" fontId="12" fillId="0" borderId="12" xfId="0" applyFont="1" applyBorder="1" applyAlignment="1">
      <alignment horizontal="center" vertical="center"/>
    </xf>
    <xf numFmtId="2" fontId="9" fillId="0" borderId="12" xfId="0" applyNumberFormat="1" applyFont="1" applyBorder="1" applyAlignment="1">
      <alignment horizontal="center" vertical="center" wrapText="1"/>
    </xf>
    <xf numFmtId="2" fontId="9" fillId="0" borderId="12" xfId="0" applyNumberFormat="1" applyFont="1" applyBorder="1" applyAlignment="1">
      <alignment horizontal="center" vertical="center"/>
    </xf>
    <xf numFmtId="0" fontId="9" fillId="0" borderId="12" xfId="0" applyFont="1" applyBorder="1" applyAlignment="1">
      <alignment horizontal="center" vertical="center" wrapText="1"/>
    </xf>
    <xf numFmtId="2" fontId="12" fillId="0" borderId="12" xfId="0" applyNumberFormat="1" applyFont="1" applyBorder="1" applyAlignment="1">
      <alignment horizontal="center" vertical="center"/>
    </xf>
    <xf numFmtId="0" fontId="8" fillId="0" borderId="2" xfId="0" applyFont="1" applyBorder="1" applyAlignment="1">
      <alignment horizontal="center" vertical="center"/>
    </xf>
    <xf numFmtId="0" fontId="5" fillId="0" borderId="3" xfId="0" applyFont="1" applyBorder="1"/>
    <xf numFmtId="0" fontId="5" fillId="0" borderId="4" xfId="0" applyFont="1" applyBorder="1"/>
    <xf numFmtId="0" fontId="4" fillId="0" borderId="17" xfId="0" applyFont="1" applyBorder="1" applyAlignment="1">
      <alignment horizontal="center"/>
    </xf>
    <xf numFmtId="0" fontId="4" fillId="0" borderId="17" xfId="0" applyFont="1" applyBorder="1" applyAlignment="1">
      <alignment horizontal="center" vertical="center"/>
    </xf>
    <xf numFmtId="0" fontId="0" fillId="0" borderId="1" xfId="0" applyBorder="1"/>
    <xf numFmtId="0" fontId="4" fillId="0" borderId="25" xfId="0" applyFont="1" applyBorder="1" applyAlignment="1">
      <alignment horizontal="center"/>
    </xf>
    <xf numFmtId="0" fontId="4" fillId="0" borderId="25" xfId="0" applyFont="1" applyBorder="1" applyAlignment="1">
      <alignment horizontal="center" vertical="center"/>
    </xf>
    <xf numFmtId="0" fontId="0" fillId="0" borderId="25" xfId="0" applyBorder="1"/>
    <xf numFmtId="0" fontId="3" fillId="0" borderId="1" xfId="1"/>
    <xf numFmtId="0" fontId="4" fillId="0" borderId="5" xfId="1" applyFont="1" applyBorder="1"/>
    <xf numFmtId="0" fontId="4" fillId="0" borderId="1" xfId="1" applyFont="1"/>
    <xf numFmtId="0" fontId="4" fillId="0" borderId="6" xfId="1" applyFont="1" applyBorder="1"/>
    <xf numFmtId="0" fontId="9" fillId="0" borderId="7" xfId="1" applyFont="1" applyBorder="1" applyAlignment="1">
      <alignment vertical="center"/>
    </xf>
    <xf numFmtId="0" fontId="9" fillId="0" borderId="12" xfId="1" applyFont="1" applyBorder="1" applyAlignment="1">
      <alignment horizontal="center" vertical="center"/>
    </xf>
    <xf numFmtId="0" fontId="9" fillId="0" borderId="12" xfId="1" applyFont="1" applyBorder="1" applyAlignment="1">
      <alignment vertical="center"/>
    </xf>
    <xf numFmtId="0" fontId="9" fillId="0" borderId="4" xfId="1" applyFont="1" applyBorder="1" applyAlignment="1">
      <alignment vertical="center"/>
    </xf>
    <xf numFmtId="0" fontId="4" fillId="0" borderId="10" xfId="1" applyFont="1" applyBorder="1"/>
    <xf numFmtId="0" fontId="4" fillId="0" borderId="11" xfId="1" applyFont="1" applyBorder="1"/>
    <xf numFmtId="0" fontId="4" fillId="0" borderId="12" xfId="1" applyFont="1" applyBorder="1"/>
    <xf numFmtId="0" fontId="9" fillId="0" borderId="7" xfId="1" applyFont="1" applyBorder="1" applyAlignment="1">
      <alignment horizontal="center" vertical="center"/>
    </xf>
    <xf numFmtId="0" fontId="12" fillId="0" borderId="12" xfId="1" applyFont="1" applyBorder="1" applyAlignment="1">
      <alignment horizontal="center" vertical="center"/>
    </xf>
    <xf numFmtId="2" fontId="9" fillId="0" borderId="12" xfId="1" applyNumberFormat="1" applyFont="1" applyBorder="1" applyAlignment="1">
      <alignment horizontal="center" vertical="center" wrapText="1"/>
    </xf>
    <xf numFmtId="2" fontId="9" fillId="0" borderId="12" xfId="1" applyNumberFormat="1" applyFont="1" applyBorder="1" applyAlignment="1">
      <alignment horizontal="center" vertical="center"/>
    </xf>
    <xf numFmtId="0" fontId="9" fillId="0" borderId="12" xfId="1" applyFont="1" applyBorder="1" applyAlignment="1">
      <alignment horizontal="center" vertical="center" wrapText="1"/>
    </xf>
    <xf numFmtId="2" fontId="9" fillId="0" borderId="7" xfId="1" applyNumberFormat="1" applyFont="1" applyBorder="1" applyAlignment="1">
      <alignment horizontal="center" vertical="center"/>
    </xf>
    <xf numFmtId="0" fontId="9" fillId="0" borderId="7" xfId="1" applyFont="1" applyBorder="1" applyAlignment="1">
      <alignment horizontal="left" vertical="center"/>
    </xf>
    <xf numFmtId="0" fontId="14" fillId="0" borderId="1" xfId="1" applyFont="1" applyAlignment="1">
      <alignment horizontal="center" vertical="center"/>
    </xf>
    <xf numFmtId="0" fontId="6" fillId="2" borderId="17" xfId="1" applyFont="1" applyFill="1" applyBorder="1" applyAlignment="1">
      <alignment horizontal="center" vertical="center"/>
    </xf>
    <xf numFmtId="0" fontId="4" fillId="2" borderId="17" xfId="1" applyFont="1" applyFill="1" applyBorder="1" applyAlignment="1">
      <alignment horizontal="center" vertical="center"/>
    </xf>
    <xf numFmtId="0" fontId="4" fillId="0" borderId="16" xfId="1" applyFont="1" applyBorder="1" applyAlignment="1">
      <alignment horizontal="center"/>
    </xf>
    <xf numFmtId="0" fontId="6" fillId="0" borderId="1" xfId="1" applyFont="1" applyAlignment="1">
      <alignment horizontal="center"/>
    </xf>
    <xf numFmtId="0" fontId="4" fillId="0" borderId="1" xfId="1" applyFont="1" applyAlignment="1">
      <alignment horizontal="center"/>
    </xf>
    <xf numFmtId="0" fontId="4" fillId="2" borderId="16" xfId="1" applyFont="1" applyFill="1" applyBorder="1" applyAlignment="1">
      <alignment horizontal="center" vertical="center"/>
    </xf>
    <xf numFmtId="0" fontId="9" fillId="0" borderId="16" xfId="1" applyFont="1" applyBorder="1" applyAlignment="1">
      <alignment vertical="center"/>
    </xf>
    <xf numFmtId="0" fontId="4" fillId="0" borderId="15" xfId="1" applyFont="1" applyBorder="1" applyAlignment="1">
      <alignment horizontal="center" vertical="center"/>
    </xf>
    <xf numFmtId="0" fontId="4" fillId="0" borderId="16" xfId="1" applyFont="1" applyBorder="1" applyAlignment="1">
      <alignment horizontal="center" vertical="center"/>
    </xf>
    <xf numFmtId="0" fontId="9" fillId="0" borderId="1" xfId="1" applyFont="1" applyAlignment="1">
      <alignment horizontal="center" vertical="center"/>
    </xf>
    <xf numFmtId="0" fontId="9" fillId="0" borderId="1" xfId="1" applyFont="1" applyAlignment="1">
      <alignment vertical="center"/>
    </xf>
    <xf numFmtId="0" fontId="4" fillId="0" borderId="1" xfId="1" applyFont="1" applyAlignment="1">
      <alignment horizontal="center" vertical="center"/>
    </xf>
    <xf numFmtId="164" fontId="4" fillId="0" borderId="1" xfId="1" applyNumberFormat="1" applyFont="1" applyAlignment="1">
      <alignment horizontal="center" vertical="center"/>
    </xf>
    <xf numFmtId="0" fontId="6" fillId="0" borderId="1" xfId="1" applyFont="1"/>
    <xf numFmtId="16" fontId="4" fillId="0" borderId="1" xfId="1" applyNumberFormat="1" applyFont="1"/>
    <xf numFmtId="0" fontId="14" fillId="0" borderId="1" xfId="1" applyFont="1" applyAlignment="1">
      <alignment vertical="center"/>
    </xf>
    <xf numFmtId="2" fontId="12" fillId="3" borderId="12" xfId="1" applyNumberFormat="1" applyFont="1" applyFill="1" applyBorder="1" applyAlignment="1">
      <alignment horizontal="center" vertical="center" wrapText="1"/>
    </xf>
    <xf numFmtId="0" fontId="9" fillId="0" borderId="6" xfId="1" applyFont="1" applyBorder="1" applyAlignment="1">
      <alignment vertical="center"/>
    </xf>
    <xf numFmtId="0" fontId="9" fillId="0" borderId="10" xfId="1" applyFont="1" applyBorder="1" applyAlignment="1">
      <alignment horizontal="center" vertical="center"/>
    </xf>
    <xf numFmtId="0" fontId="9" fillId="0" borderId="13" xfId="1" applyFont="1" applyBorder="1" applyAlignment="1">
      <alignment vertical="center"/>
    </xf>
    <xf numFmtId="0" fontId="9" fillId="0" borderId="11" xfId="1" applyFont="1" applyBorder="1" applyAlignment="1">
      <alignment horizontal="center" vertical="center" wrapText="1"/>
    </xf>
    <xf numFmtId="0" fontId="19" fillId="0" borderId="16" xfId="1" applyFont="1" applyBorder="1" applyAlignment="1">
      <alignment horizontal="center" vertical="center"/>
    </xf>
    <xf numFmtId="0" fontId="19" fillId="0" borderId="16" xfId="1" applyFont="1" applyBorder="1" applyAlignment="1">
      <alignment vertical="center"/>
    </xf>
    <xf numFmtId="0" fontId="3" fillId="0" borderId="16" xfId="1" applyBorder="1" applyAlignment="1">
      <alignment horizontal="center"/>
    </xf>
    <xf numFmtId="0" fontId="6" fillId="2" borderId="16" xfId="1" applyFont="1" applyFill="1" applyBorder="1" applyAlignment="1">
      <alignment horizontal="center" vertical="center"/>
    </xf>
    <xf numFmtId="0" fontId="6" fillId="0" borderId="16" xfId="1" applyFont="1" applyBorder="1" applyAlignment="1">
      <alignment horizontal="center"/>
    </xf>
    <xf numFmtId="0" fontId="9" fillId="0" borderId="16" xfId="1" applyFont="1" applyBorder="1" applyAlignment="1">
      <alignment horizontal="center" vertical="center"/>
    </xf>
    <xf numFmtId="0" fontId="12" fillId="0" borderId="16" xfId="1" applyFont="1" applyBorder="1" applyAlignment="1">
      <alignment horizontal="left" vertical="center"/>
    </xf>
    <xf numFmtId="164" fontId="4" fillId="0" borderId="16" xfId="1" applyNumberFormat="1" applyFont="1" applyBorder="1" applyAlignment="1">
      <alignment horizontal="center" vertical="center"/>
    </xf>
    <xf numFmtId="0" fontId="4" fillId="0" borderId="18" xfId="1" applyFont="1" applyBorder="1" applyAlignment="1">
      <alignment horizontal="center"/>
    </xf>
    <xf numFmtId="0" fontId="6" fillId="0" borderId="18" xfId="1" applyFont="1" applyBorder="1" applyAlignment="1">
      <alignment horizontal="center"/>
    </xf>
    <xf numFmtId="0" fontId="21" fillId="0" borderId="12" xfId="1" applyFont="1" applyBorder="1" applyAlignment="1">
      <alignment vertical="center"/>
    </xf>
    <xf numFmtId="0" fontId="21" fillId="0" borderId="12" xfId="1" applyFont="1" applyBorder="1" applyAlignment="1">
      <alignment horizontal="center" vertical="center"/>
    </xf>
    <xf numFmtId="0" fontId="22" fillId="0" borderId="12" xfId="1" applyFont="1" applyBorder="1" applyAlignment="1">
      <alignment horizontal="center" vertical="center"/>
    </xf>
    <xf numFmtId="2" fontId="21" fillId="0" borderId="12" xfId="1" applyNumberFormat="1" applyFont="1" applyBorder="1" applyAlignment="1">
      <alignment horizontal="center" vertical="center" wrapText="1"/>
    </xf>
    <xf numFmtId="2" fontId="21" fillId="0" borderId="12" xfId="1" applyNumberFormat="1" applyFont="1" applyBorder="1" applyAlignment="1">
      <alignment horizontal="center" vertical="center"/>
    </xf>
    <xf numFmtId="0" fontId="21" fillId="0" borderId="7" xfId="1" applyFont="1" applyBorder="1" applyAlignment="1">
      <alignment horizontal="left" vertical="center"/>
    </xf>
    <xf numFmtId="0" fontId="21" fillId="0" borderId="7" xfId="1" applyFont="1" applyBorder="1" applyAlignment="1">
      <alignment horizontal="center" vertical="center"/>
    </xf>
    <xf numFmtId="2" fontId="21" fillId="0" borderId="7" xfId="1" applyNumberFormat="1" applyFont="1" applyBorder="1" applyAlignment="1">
      <alignment horizontal="center" vertical="center"/>
    </xf>
    <xf numFmtId="0" fontId="9" fillId="0" borderId="25" xfId="1" applyFont="1" applyBorder="1" applyAlignment="1">
      <alignment horizontal="center" vertical="center"/>
    </xf>
    <xf numFmtId="0" fontId="21" fillId="0" borderId="25" xfId="1" applyFont="1" applyBorder="1" applyAlignment="1">
      <alignment vertical="center"/>
    </xf>
    <xf numFmtId="0" fontId="4" fillId="0" borderId="25" xfId="1" applyFont="1" applyBorder="1" applyAlignment="1">
      <alignment horizontal="center"/>
    </xf>
    <xf numFmtId="0" fontId="7" fillId="0" borderId="15" xfId="1" applyFont="1" applyBorder="1" applyAlignment="1">
      <alignment horizontal="center"/>
    </xf>
    <xf numFmtId="0" fontId="7" fillId="0" borderId="16" xfId="1" applyFont="1" applyBorder="1" applyAlignment="1">
      <alignment horizontal="center"/>
    </xf>
    <xf numFmtId="0" fontId="4" fillId="0" borderId="25" xfId="1" applyFont="1" applyBorder="1" applyAlignment="1">
      <alignment horizontal="center" vertical="center"/>
    </xf>
    <xf numFmtId="0" fontId="4" fillId="2" borderId="14" xfId="1" applyFont="1" applyFill="1" applyBorder="1" applyAlignment="1">
      <alignment horizontal="center" vertical="center"/>
    </xf>
    <xf numFmtId="0" fontId="4" fillId="2" borderId="25" xfId="1" applyFont="1" applyFill="1" applyBorder="1" applyAlignment="1">
      <alignment horizontal="center" vertical="center"/>
    </xf>
    <xf numFmtId="0" fontId="4" fillId="2" borderId="15" xfId="1" applyFont="1" applyFill="1" applyBorder="1" applyAlignment="1">
      <alignment horizontal="center" vertical="center"/>
    </xf>
    <xf numFmtId="0" fontId="4" fillId="0" borderId="14" xfId="1" applyFont="1" applyBorder="1" applyAlignment="1">
      <alignment horizontal="center" vertical="center"/>
    </xf>
    <xf numFmtId="0" fontId="3" fillId="0" borderId="25" xfId="1" applyBorder="1" applyAlignment="1">
      <alignment horizontal="center"/>
    </xf>
    <xf numFmtId="0" fontId="17" fillId="0" borderId="25" xfId="1" applyFont="1" applyBorder="1" applyAlignment="1">
      <alignment horizontal="center"/>
    </xf>
    <xf numFmtId="0" fontId="2" fillId="0" borderId="1" xfId="2"/>
    <xf numFmtId="0" fontId="4" fillId="0" borderId="1" xfId="2" applyFont="1"/>
    <xf numFmtId="0" fontId="11" fillId="0" borderId="12" xfId="0" applyFont="1" applyBorder="1" applyAlignment="1">
      <alignment horizontal="center" vertical="center"/>
    </xf>
    <xf numFmtId="0" fontId="11" fillId="0" borderId="12" xfId="0" applyFont="1" applyBorder="1" applyAlignment="1">
      <alignment vertical="center"/>
    </xf>
    <xf numFmtId="0" fontId="11" fillId="0" borderId="12" xfId="0" applyFont="1" applyBorder="1" applyAlignment="1">
      <alignment horizontal="center" vertical="center" wrapText="1"/>
    </xf>
    <xf numFmtId="0" fontId="11" fillId="0" borderId="7" xfId="0" applyFont="1" applyBorder="1" applyAlignment="1">
      <alignment horizontal="center" vertical="center"/>
    </xf>
    <xf numFmtId="0" fontId="14" fillId="0" borderId="1" xfId="2" applyFont="1" applyAlignment="1">
      <alignment horizontal="center" vertical="center"/>
    </xf>
    <xf numFmtId="0" fontId="6" fillId="2" borderId="17" xfId="2" applyFont="1" applyFill="1" applyBorder="1" applyAlignment="1">
      <alignment horizontal="center" vertical="center"/>
    </xf>
    <xf numFmtId="0" fontId="4" fillId="2" borderId="16" xfId="2" applyFont="1" applyFill="1" applyBorder="1" applyAlignment="1">
      <alignment horizontal="center" vertical="center"/>
    </xf>
    <xf numFmtId="0" fontId="4" fillId="0" borderId="16" xfId="2" applyFont="1" applyBorder="1" applyAlignment="1">
      <alignment horizontal="center"/>
    </xf>
    <xf numFmtId="0" fontId="2" fillId="0" borderId="16" xfId="2" applyBorder="1" applyAlignment="1">
      <alignment horizontal="center"/>
    </xf>
    <xf numFmtId="0" fontId="6" fillId="0" borderId="1" xfId="2" applyFont="1" applyAlignment="1">
      <alignment horizontal="center"/>
    </xf>
    <xf numFmtId="0" fontId="4" fillId="0" borderId="1" xfId="2" applyFont="1" applyAlignment="1">
      <alignment horizontal="center"/>
    </xf>
    <xf numFmtId="0" fontId="4" fillId="0" borderId="16" xfId="2" applyFont="1" applyBorder="1" applyAlignment="1">
      <alignment horizontal="center" vertical="center"/>
    </xf>
    <xf numFmtId="0" fontId="4" fillId="0" borderId="15" xfId="2" applyFont="1" applyBorder="1" applyAlignment="1">
      <alignment horizontal="center" vertical="center"/>
    </xf>
    <xf numFmtId="0" fontId="9" fillId="0" borderId="1" xfId="2" applyFont="1" applyAlignment="1">
      <alignment horizontal="center" vertical="center"/>
    </xf>
    <xf numFmtId="0" fontId="11" fillId="0" borderId="1" xfId="2" applyFont="1" applyAlignment="1">
      <alignment vertical="center"/>
    </xf>
    <xf numFmtId="0" fontId="4" fillId="0" borderId="1" xfId="2" applyFont="1" applyAlignment="1">
      <alignment horizontal="center" vertical="center"/>
    </xf>
    <xf numFmtId="0" fontId="9" fillId="0" borderId="1" xfId="2" applyFont="1" applyAlignment="1">
      <alignment vertical="center"/>
    </xf>
    <xf numFmtId="164" fontId="4" fillId="0" borderId="1" xfId="2" applyNumberFormat="1" applyFont="1" applyAlignment="1">
      <alignment horizontal="center" vertical="center"/>
    </xf>
    <xf numFmtId="0" fontId="6" fillId="0" borderId="1" xfId="2" applyFont="1"/>
    <xf numFmtId="16" fontId="4" fillId="0" borderId="1" xfId="2" applyNumberFormat="1" applyFont="1"/>
    <xf numFmtId="0" fontId="14" fillId="0" borderId="1" xfId="2" applyFont="1" applyAlignment="1">
      <alignment vertical="center"/>
    </xf>
    <xf numFmtId="0" fontId="4" fillId="0" borderId="15" xfId="2" applyFont="1" applyBorder="1" applyAlignment="1">
      <alignment horizontal="center"/>
    </xf>
    <xf numFmtId="0" fontId="9" fillId="0" borderId="25" xfId="2" applyFont="1" applyBorder="1" applyAlignment="1">
      <alignment horizontal="center" vertical="center"/>
    </xf>
    <xf numFmtId="0" fontId="11" fillId="0" borderId="25" xfId="2" applyFont="1" applyBorder="1" applyAlignment="1">
      <alignment vertical="center"/>
    </xf>
    <xf numFmtId="0" fontId="0" fillId="0" borderId="0" xfId="1" applyFont="1" applyBorder="1"/>
    <xf numFmtId="0" fontId="11" fillId="0" borderId="12" xfId="1" applyFont="1" applyBorder="1" applyAlignment="1">
      <alignment vertical="center"/>
    </xf>
    <xf numFmtId="0" fontId="11" fillId="0" borderId="7" xfId="0" applyFont="1" applyBorder="1" applyAlignment="1">
      <alignment horizontal="left" vertical="center"/>
    </xf>
    <xf numFmtId="0" fontId="25" fillId="0" borderId="1" xfId="3"/>
    <xf numFmtId="0" fontId="14" fillId="0" borderId="1" xfId="3" applyFont="1" applyAlignment="1">
      <alignment horizontal="center" vertical="center"/>
    </xf>
    <xf numFmtId="0" fontId="6" fillId="2" borderId="16" xfId="3" applyFont="1" applyFill="1" applyBorder="1" applyAlignment="1">
      <alignment horizontal="center" vertical="center"/>
    </xf>
    <xf numFmtId="0" fontId="4" fillId="2" borderId="16" xfId="3" applyFont="1" applyFill="1" applyBorder="1" applyAlignment="1">
      <alignment horizontal="center" vertical="center"/>
    </xf>
    <xf numFmtId="0" fontId="4" fillId="0" borderId="16" xfId="3" applyFont="1" applyBorder="1" applyAlignment="1">
      <alignment horizontal="center"/>
    </xf>
    <xf numFmtId="0" fontId="4" fillId="0" borderId="16" xfId="3" applyFont="1" applyBorder="1" applyAlignment="1">
      <alignment horizontal="center" wrapText="1"/>
    </xf>
    <xf numFmtId="0" fontId="6" fillId="0" borderId="1" xfId="3" applyFont="1" applyAlignment="1">
      <alignment horizontal="center"/>
    </xf>
    <xf numFmtId="0" fontId="4" fillId="0" borderId="1" xfId="3" applyFont="1" applyAlignment="1">
      <alignment horizontal="center"/>
    </xf>
    <xf numFmtId="0" fontId="6" fillId="0" borderId="16" xfId="3" applyFont="1" applyBorder="1" applyAlignment="1">
      <alignment horizontal="center"/>
    </xf>
    <xf numFmtId="0" fontId="4" fillId="0" borderId="16" xfId="3" applyFont="1" applyBorder="1" applyAlignment="1">
      <alignment horizontal="center" vertical="center"/>
    </xf>
    <xf numFmtId="0" fontId="4" fillId="0" borderId="18" xfId="3" applyFont="1" applyBorder="1" applyAlignment="1">
      <alignment horizontal="center" vertical="center"/>
    </xf>
    <xf numFmtId="0" fontId="19" fillId="0" borderId="16" xfId="3" applyFont="1" applyBorder="1" applyAlignment="1">
      <alignment horizontal="center" vertical="center"/>
    </xf>
    <xf numFmtId="0" fontId="4" fillId="0" borderId="16" xfId="3" applyFont="1" applyBorder="1" applyAlignment="1">
      <alignment horizontal="left" vertical="center"/>
    </xf>
    <xf numFmtId="0" fontId="4" fillId="0" borderId="15" xfId="3" applyFont="1" applyBorder="1" applyAlignment="1">
      <alignment horizontal="center" vertical="center"/>
    </xf>
    <xf numFmtId="164" fontId="4" fillId="0" borderId="16" xfId="3" applyNumberFormat="1" applyFont="1" applyBorder="1" applyAlignment="1">
      <alignment horizontal="center" vertical="center"/>
    </xf>
    <xf numFmtId="0" fontId="4" fillId="0" borderId="18" xfId="3" applyFont="1" applyBorder="1" applyAlignment="1">
      <alignment horizontal="center"/>
    </xf>
    <xf numFmtId="0" fontId="6" fillId="0" borderId="18" xfId="3" applyFont="1" applyBorder="1" applyAlignment="1">
      <alignment horizontal="center"/>
    </xf>
    <xf numFmtId="0" fontId="19" fillId="0" borderId="16" xfId="3" applyFont="1" applyBorder="1" applyAlignment="1">
      <alignment vertical="center"/>
    </xf>
    <xf numFmtId="9" fontId="4" fillId="0" borderId="16" xfId="3" applyNumberFormat="1" applyFont="1" applyBorder="1" applyAlignment="1">
      <alignment horizontal="center" vertical="center"/>
    </xf>
    <xf numFmtId="0" fontId="19" fillId="0" borderId="1" xfId="3" applyFont="1" applyAlignment="1">
      <alignment horizontal="center" vertical="center"/>
    </xf>
    <xf numFmtId="0" fontId="19" fillId="0" borderId="1" xfId="3" applyFont="1" applyAlignment="1">
      <alignment vertical="center"/>
    </xf>
    <xf numFmtId="0" fontId="4" fillId="0" borderId="1" xfId="3" applyFont="1" applyAlignment="1">
      <alignment horizontal="center" vertical="center"/>
    </xf>
    <xf numFmtId="9" fontId="4" fillId="0" borderId="1" xfId="3" applyNumberFormat="1" applyFont="1" applyAlignment="1">
      <alignment horizontal="center" vertical="center"/>
    </xf>
    <xf numFmtId="0" fontId="4" fillId="0" borderId="17" xfId="3" applyFont="1" applyBorder="1" applyAlignment="1">
      <alignment horizontal="center" wrapText="1"/>
    </xf>
    <xf numFmtId="0" fontId="4" fillId="0" borderId="14" xfId="3" applyFont="1" applyBorder="1" applyAlignment="1">
      <alignment horizontal="center"/>
    </xf>
    <xf numFmtId="0" fontId="4" fillId="0" borderId="25" xfId="3" applyFont="1" applyBorder="1" applyAlignment="1">
      <alignment horizontal="center"/>
    </xf>
    <xf numFmtId="0" fontId="25" fillId="0" borderId="25" xfId="3" applyBorder="1"/>
    <xf numFmtId="0" fontId="4" fillId="0" borderId="15" xfId="3" applyFont="1" applyBorder="1" applyAlignment="1">
      <alignment horizontal="center"/>
    </xf>
    <xf numFmtId="0" fontId="9" fillId="0" borderId="1" xfId="3" applyFont="1" applyAlignment="1">
      <alignment horizontal="center" vertical="center"/>
    </xf>
    <xf numFmtId="0" fontId="9" fillId="0" borderId="1" xfId="3" applyFont="1" applyAlignment="1">
      <alignment vertical="center"/>
    </xf>
    <xf numFmtId="164" fontId="4" fillId="0" borderId="1" xfId="3" applyNumberFormat="1" applyFont="1" applyAlignment="1">
      <alignment horizontal="center" vertical="center"/>
    </xf>
    <xf numFmtId="0" fontId="4" fillId="0" borderId="1" xfId="3" applyFont="1"/>
    <xf numFmtId="0" fontId="6" fillId="0" borderId="1" xfId="3" applyFont="1"/>
    <xf numFmtId="16" fontId="4" fillId="0" borderId="1" xfId="3" applyNumberFormat="1" applyFont="1"/>
    <xf numFmtId="0" fontId="14" fillId="0" borderId="1" xfId="3" applyFont="1" applyAlignment="1">
      <alignment vertical="center"/>
    </xf>
    <xf numFmtId="0" fontId="9" fillId="0" borderId="1" xfId="0" applyFont="1" applyBorder="1" applyAlignment="1">
      <alignment horizontal="center" vertical="center"/>
    </xf>
    <xf numFmtId="0" fontId="11" fillId="0" borderId="1" xfId="0" applyFont="1" applyBorder="1" applyAlignment="1">
      <alignment vertical="center"/>
    </xf>
    <xf numFmtId="0" fontId="4" fillId="0" borderId="1" xfId="0" applyFont="1" applyBorder="1" applyAlignment="1">
      <alignment horizontal="center" vertical="center"/>
    </xf>
    <xf numFmtId="0" fontId="2" fillId="0" borderId="25" xfId="0" applyFont="1" applyBorder="1"/>
    <xf numFmtId="0" fontId="0" fillId="0" borderId="1" xfId="1" applyFont="1"/>
    <xf numFmtId="164" fontId="4" fillId="0" borderId="25" xfId="1" applyNumberFormat="1" applyFont="1" applyBorder="1" applyAlignment="1">
      <alignment horizontal="center" vertical="center"/>
    </xf>
    <xf numFmtId="0" fontId="9" fillId="0" borderId="25" xfId="1" applyFont="1" applyBorder="1" applyAlignment="1">
      <alignment vertical="center"/>
    </xf>
    <xf numFmtId="0" fontId="3" fillId="0" borderId="25" xfId="1" applyBorder="1"/>
    <xf numFmtId="0" fontId="3" fillId="0" borderId="25" xfId="1" applyBorder="1" applyAlignment="1">
      <alignment horizontal="center" vertical="center"/>
    </xf>
    <xf numFmtId="165" fontId="4" fillId="0" borderId="16" xfId="4" applyNumberFormat="1" applyFont="1" applyBorder="1" applyAlignment="1">
      <alignment horizontal="center" vertical="center"/>
    </xf>
    <xf numFmtId="0" fontId="9" fillId="0" borderId="2" xfId="1" applyFont="1" applyBorder="1" applyAlignment="1">
      <alignment horizontal="center" vertical="center"/>
    </xf>
    <xf numFmtId="0" fontId="5" fillId="0" borderId="3" xfId="1" applyFont="1" applyBorder="1"/>
    <xf numFmtId="0" fontId="5" fillId="0" borderId="4" xfId="1" applyFont="1" applyBorder="1"/>
    <xf numFmtId="0" fontId="10" fillId="0" borderId="8" xfId="1" applyFont="1" applyBorder="1" applyAlignment="1">
      <alignment horizontal="center" vertical="center"/>
    </xf>
    <xf numFmtId="0" fontId="5" fillId="0" borderId="7" xfId="1" applyFont="1" applyBorder="1"/>
    <xf numFmtId="0" fontId="9" fillId="0" borderId="8" xfId="1" applyFont="1" applyBorder="1" applyAlignment="1">
      <alignment horizontal="center" vertical="center"/>
    </xf>
    <xf numFmtId="0" fontId="11" fillId="0" borderId="2" xfId="1" applyFont="1" applyBorder="1" applyAlignment="1">
      <alignment horizontal="center" vertical="center"/>
    </xf>
    <xf numFmtId="0" fontId="11" fillId="0" borderId="8" xfId="1" applyFont="1" applyBorder="1" applyAlignment="1">
      <alignment horizontal="center" vertical="center"/>
    </xf>
    <xf numFmtId="0" fontId="9" fillId="0" borderId="8" xfId="1" applyFont="1" applyBorder="1" applyAlignment="1">
      <alignment horizontal="center" vertical="center" wrapText="1"/>
    </xf>
    <xf numFmtId="0" fontId="9" fillId="0" borderId="2" xfId="1" applyFont="1" applyBorder="1" applyAlignment="1">
      <alignment vertical="center"/>
    </xf>
    <xf numFmtId="0" fontId="5" fillId="0" borderId="9" xfId="1" applyFont="1" applyBorder="1"/>
    <xf numFmtId="15" fontId="9" fillId="0" borderId="2" xfId="1" applyNumberFormat="1" applyFont="1" applyBorder="1" applyAlignment="1">
      <alignment horizontal="left" vertical="center"/>
    </xf>
    <xf numFmtId="0" fontId="9" fillId="0" borderId="2" xfId="1" applyFont="1" applyBorder="1" applyAlignment="1">
      <alignment horizontal="left" vertical="center"/>
    </xf>
    <xf numFmtId="0" fontId="8" fillId="0" borderId="2" xfId="1" applyFont="1" applyBorder="1" applyAlignment="1">
      <alignment horizontal="center" vertical="center"/>
    </xf>
    <xf numFmtId="0" fontId="8" fillId="0" borderId="3" xfId="1" applyFont="1" applyBorder="1" applyAlignment="1">
      <alignment horizontal="center" vertical="center"/>
    </xf>
    <xf numFmtId="0" fontId="8" fillId="0" borderId="4" xfId="1" applyFont="1" applyBorder="1" applyAlignment="1">
      <alignment horizontal="center" vertical="center"/>
    </xf>
    <xf numFmtId="0" fontId="6" fillId="0" borderId="2" xfId="1" applyFont="1" applyBorder="1" applyAlignment="1">
      <alignment horizontal="center"/>
    </xf>
    <xf numFmtId="0" fontId="11" fillId="0" borderId="2" xfId="0" applyFont="1" applyBorder="1" applyAlignment="1">
      <alignment horizontal="center" vertical="center"/>
    </xf>
    <xf numFmtId="0" fontId="5" fillId="0" borderId="4" xfId="0" applyFont="1" applyBorder="1"/>
    <xf numFmtId="0" fontId="11" fillId="0" borderId="8" xfId="0" applyFont="1" applyBorder="1" applyAlignment="1">
      <alignment horizontal="center" vertical="center"/>
    </xf>
    <xf numFmtId="0" fontId="5" fillId="0" borderId="7" xfId="0" applyFont="1" applyBorder="1"/>
    <xf numFmtId="0" fontId="9" fillId="0" borderId="8" xfId="0" applyFont="1" applyBorder="1" applyAlignment="1">
      <alignment horizontal="center" vertical="center" wrapText="1"/>
    </xf>
    <xf numFmtId="0" fontId="9" fillId="0" borderId="2" xfId="0" applyFont="1" applyBorder="1" applyAlignment="1">
      <alignment vertical="center"/>
    </xf>
    <xf numFmtId="0" fontId="5" fillId="0" borderId="3" xfId="0" applyFont="1" applyBorder="1"/>
    <xf numFmtId="0" fontId="9" fillId="0" borderId="8" xfId="0" applyFont="1" applyBorder="1" applyAlignment="1">
      <alignment horizontal="center" vertical="center"/>
    </xf>
    <xf numFmtId="0" fontId="5" fillId="0" borderId="9" xfId="0" applyFont="1" applyBorder="1"/>
    <xf numFmtId="0" fontId="9" fillId="0" borderId="2" xfId="0" applyFont="1" applyBorder="1" applyAlignment="1">
      <alignment horizontal="center" vertical="center"/>
    </xf>
    <xf numFmtId="15" fontId="9" fillId="0" borderId="2" xfId="0" applyNumberFormat="1" applyFont="1" applyBorder="1" applyAlignment="1">
      <alignment horizontal="left" vertical="center"/>
    </xf>
    <xf numFmtId="0" fontId="10" fillId="0" borderId="8" xfId="0" applyFont="1" applyBorder="1" applyAlignment="1">
      <alignment horizontal="center" vertical="center"/>
    </xf>
    <xf numFmtId="0" fontId="6" fillId="0" borderId="2" xfId="0" applyFont="1" applyBorder="1" applyAlignment="1">
      <alignment horizontal="center"/>
    </xf>
    <xf numFmtId="0" fontId="9" fillId="0" borderId="2" xfId="0" applyFont="1" applyBorder="1" applyAlignment="1">
      <alignment horizontal="left" vertical="center"/>
    </xf>
    <xf numFmtId="0" fontId="13" fillId="0" borderId="0" xfId="0" applyFont="1" applyAlignment="1">
      <alignment horizontal="center" vertical="center"/>
    </xf>
    <xf numFmtId="0" fontId="0" fillId="0" borderId="0" xfId="0"/>
    <xf numFmtId="0" fontId="14" fillId="0" borderId="0" xfId="0" applyFont="1" applyAlignment="1">
      <alignment horizontal="center" vertical="center"/>
    </xf>
    <xf numFmtId="0" fontId="13" fillId="2" borderId="19" xfId="0" applyFont="1" applyFill="1" applyBorder="1" applyAlignment="1">
      <alignment horizontal="center" vertical="center"/>
    </xf>
    <xf numFmtId="0" fontId="5" fillId="0" borderId="20" xfId="0" applyFont="1" applyBorder="1"/>
    <xf numFmtId="0" fontId="5" fillId="0" borderId="21" xfId="0" applyFont="1" applyBorder="1"/>
    <xf numFmtId="0" fontId="5" fillId="0" borderId="22" xfId="0" applyFont="1" applyBorder="1"/>
    <xf numFmtId="0" fontId="5" fillId="0" borderId="23" xfId="0" applyFont="1" applyBorder="1"/>
    <xf numFmtId="0" fontId="5" fillId="0" borderId="24" xfId="0" applyFont="1" applyBorder="1"/>
    <xf numFmtId="0" fontId="6" fillId="2" borderId="14" xfId="0" applyFont="1" applyFill="1" applyBorder="1" applyAlignment="1">
      <alignment horizontal="center"/>
    </xf>
    <xf numFmtId="0" fontId="5" fillId="0" borderId="15" xfId="0" applyFont="1" applyBorder="1"/>
    <xf numFmtId="0" fontId="6" fillId="2" borderId="22" xfId="0" applyFont="1" applyFill="1" applyBorder="1" applyAlignment="1">
      <alignment horizontal="center" wrapText="1"/>
    </xf>
    <xf numFmtId="0" fontId="6" fillId="2" borderId="14" xfId="0" applyFont="1" applyFill="1" applyBorder="1" applyAlignment="1">
      <alignment horizontal="center" wrapText="1"/>
    </xf>
    <xf numFmtId="0" fontId="6" fillId="2" borderId="14" xfId="1" applyFont="1" applyFill="1" applyBorder="1" applyAlignment="1">
      <alignment horizontal="center" wrapText="1"/>
    </xf>
    <xf numFmtId="0" fontId="5" fillId="0" borderId="15" xfId="1" applyFont="1" applyBorder="1"/>
    <xf numFmtId="0" fontId="13" fillId="2" borderId="19" xfId="1" applyFont="1" applyFill="1" applyBorder="1" applyAlignment="1">
      <alignment horizontal="center" vertical="center"/>
    </xf>
    <xf numFmtId="0" fontId="5" fillId="0" borderId="20" xfId="1" applyFont="1" applyBorder="1"/>
    <xf numFmtId="0" fontId="5" fillId="0" borderId="21" xfId="1" applyFont="1" applyBorder="1"/>
    <xf numFmtId="0" fontId="5" fillId="0" borderId="22" xfId="1" applyFont="1" applyBorder="1"/>
    <xf numFmtId="0" fontId="5" fillId="0" borderId="23" xfId="1" applyFont="1" applyBorder="1"/>
    <xf numFmtId="0" fontId="5" fillId="0" borderId="24" xfId="1" applyFont="1" applyBorder="1"/>
    <xf numFmtId="0" fontId="14" fillId="0" borderId="1" xfId="1" applyFont="1" applyAlignment="1">
      <alignment horizontal="center" vertical="center"/>
    </xf>
    <xf numFmtId="0" fontId="3" fillId="0" borderId="1" xfId="1"/>
    <xf numFmtId="0" fontId="6" fillId="2" borderId="14" xfId="1" applyFont="1" applyFill="1" applyBorder="1" applyAlignment="1">
      <alignment horizontal="center"/>
    </xf>
    <xf numFmtId="0" fontId="6" fillId="2" borderId="22" xfId="1" applyFont="1" applyFill="1" applyBorder="1" applyAlignment="1">
      <alignment horizontal="center" wrapText="1"/>
    </xf>
    <xf numFmtId="0" fontId="6" fillId="2" borderId="24" xfId="1" applyFont="1" applyFill="1" applyBorder="1" applyAlignment="1">
      <alignment horizontal="center" wrapText="1"/>
    </xf>
    <xf numFmtId="0" fontId="13" fillId="0" borderId="1" xfId="1" applyFont="1" applyAlignment="1">
      <alignment horizontal="center" vertical="center"/>
    </xf>
    <xf numFmtId="0" fontId="17" fillId="0" borderId="25" xfId="1" applyFont="1" applyBorder="1" applyAlignment="1">
      <alignment horizontal="center"/>
    </xf>
    <xf numFmtId="0" fontId="8" fillId="0" borderId="2" xfId="0" applyFont="1" applyBorder="1" applyAlignment="1">
      <alignment horizontal="center" vertical="center"/>
    </xf>
    <xf numFmtId="0" fontId="14" fillId="0" borderId="1" xfId="2" applyFont="1" applyAlignment="1">
      <alignment horizontal="center" vertical="center"/>
    </xf>
    <xf numFmtId="0" fontId="2" fillId="0" borderId="1" xfId="2"/>
    <xf numFmtId="0" fontId="13" fillId="2" borderId="19" xfId="2" applyFont="1" applyFill="1" applyBorder="1" applyAlignment="1">
      <alignment horizontal="center" vertical="center"/>
    </xf>
    <xf numFmtId="0" fontId="5" fillId="0" borderId="20" xfId="2" applyFont="1" applyBorder="1"/>
    <xf numFmtId="0" fontId="5" fillId="0" borderId="21" xfId="2" applyFont="1" applyBorder="1"/>
    <xf numFmtId="0" fontId="5" fillId="0" borderId="22" xfId="2" applyFont="1" applyBorder="1"/>
    <xf numFmtId="0" fontId="5" fillId="0" borderId="23" xfId="2" applyFont="1" applyBorder="1"/>
    <xf numFmtId="0" fontId="5" fillId="0" borderId="24" xfId="2" applyFont="1" applyBorder="1"/>
    <xf numFmtId="0" fontId="6" fillId="2" borderId="14" xfId="2" applyFont="1" applyFill="1" applyBorder="1" applyAlignment="1">
      <alignment horizontal="center"/>
    </xf>
    <xf numFmtId="0" fontId="5" fillId="0" borderId="15" xfId="2" applyFont="1" applyBorder="1"/>
    <xf numFmtId="0" fontId="13" fillId="0" borderId="1" xfId="2" applyFont="1" applyAlignment="1">
      <alignment horizontal="center" vertical="center"/>
    </xf>
    <xf numFmtId="0" fontId="6" fillId="2" borderId="14" xfId="2" applyFont="1" applyFill="1" applyBorder="1" applyAlignment="1">
      <alignment horizontal="center" wrapText="1"/>
    </xf>
    <xf numFmtId="0" fontId="13" fillId="0" borderId="1" xfId="3" applyFont="1" applyAlignment="1">
      <alignment horizontal="center" vertical="center"/>
    </xf>
    <xf numFmtId="0" fontId="25" fillId="0" borderId="1" xfId="3"/>
    <xf numFmtId="0" fontId="6" fillId="2" borderId="14" xfId="3" applyFont="1" applyFill="1" applyBorder="1" applyAlignment="1">
      <alignment horizontal="center" wrapText="1"/>
    </xf>
    <xf numFmtId="0" fontId="26" fillId="0" borderId="15" xfId="3" applyFont="1" applyBorder="1"/>
    <xf numFmtId="0" fontId="14" fillId="0" borderId="1" xfId="3" applyFont="1" applyAlignment="1">
      <alignment horizontal="center" vertical="center"/>
    </xf>
    <xf numFmtId="0" fontId="6" fillId="2" borderId="14" xfId="3" applyFont="1" applyFill="1" applyBorder="1" applyAlignment="1">
      <alignment horizontal="center"/>
    </xf>
    <xf numFmtId="0" fontId="13" fillId="2" borderId="19" xfId="3" applyFont="1" applyFill="1" applyBorder="1" applyAlignment="1">
      <alignment horizontal="center" vertical="center"/>
    </xf>
    <xf numFmtId="0" fontId="26" fillId="0" borderId="20" xfId="3" applyFont="1" applyBorder="1"/>
    <xf numFmtId="0" fontId="26" fillId="0" borderId="21" xfId="3" applyFont="1" applyBorder="1"/>
    <xf numFmtId="0" fontId="26" fillId="0" borderId="22" xfId="3" applyFont="1" applyBorder="1"/>
    <xf numFmtId="0" fontId="26" fillId="0" borderId="23" xfId="3" applyFont="1" applyBorder="1"/>
    <xf numFmtId="0" fontId="26" fillId="0" borderId="24" xfId="3" applyFont="1" applyBorder="1"/>
    <xf numFmtId="0" fontId="8" fillId="0" borderId="2" xfId="5" applyFont="1" applyBorder="1" applyAlignment="1">
      <alignment horizontal="center" vertical="center"/>
    </xf>
    <xf numFmtId="0" fontId="5" fillId="0" borderId="3" xfId="5" applyFont="1" applyBorder="1"/>
    <xf numFmtId="0" fontId="5" fillId="0" borderId="4" xfId="5" applyFont="1" applyBorder="1"/>
    <xf numFmtId="0" fontId="1" fillId="0" borderId="1" xfId="5"/>
    <xf numFmtId="0" fontId="6" fillId="0" borderId="2" xfId="5" applyFont="1" applyBorder="1" applyAlignment="1">
      <alignment horizontal="center"/>
    </xf>
    <xf numFmtId="0" fontId="5" fillId="0" borderId="3" xfId="5" applyFont="1" applyBorder="1"/>
    <xf numFmtId="0" fontId="5" fillId="0" borderId="4" xfId="5" applyFont="1" applyBorder="1"/>
    <xf numFmtId="0" fontId="9" fillId="0" borderId="2" xfId="5" applyFont="1" applyBorder="1" applyAlignment="1">
      <alignment horizontal="center" vertical="center"/>
    </xf>
    <xf numFmtId="0" fontId="4" fillId="0" borderId="5" xfId="5" applyFont="1" applyBorder="1"/>
    <xf numFmtId="0" fontId="4" fillId="0" borderId="1" xfId="5" applyFont="1"/>
    <xf numFmtId="0" fontId="4" fillId="0" borderId="6" xfId="5" applyFont="1" applyBorder="1"/>
    <xf numFmtId="0" fontId="9" fillId="0" borderId="7" xfId="5" applyFont="1" applyBorder="1" applyAlignment="1">
      <alignment vertical="center"/>
    </xf>
    <xf numFmtId="0" fontId="9" fillId="0" borderId="2" xfId="5" applyFont="1" applyBorder="1" applyAlignment="1">
      <alignment horizontal="left" vertical="center"/>
    </xf>
    <xf numFmtId="0" fontId="9" fillId="0" borderId="12" xfId="5" applyFont="1" applyBorder="1" applyAlignment="1">
      <alignment horizontal="center" vertical="center"/>
    </xf>
    <xf numFmtId="0" fontId="9" fillId="0" borderId="2" xfId="5" applyFont="1" applyBorder="1" applyAlignment="1">
      <alignment vertical="center"/>
    </xf>
    <xf numFmtId="0" fontId="9" fillId="0" borderId="2" xfId="6" applyFont="1" applyBorder="1" applyAlignment="1">
      <alignment vertical="center"/>
    </xf>
    <xf numFmtId="0" fontId="5" fillId="0" borderId="3" xfId="6" applyFont="1" applyBorder="1"/>
    <xf numFmtId="0" fontId="5" fillId="0" borderId="4" xfId="6" applyFont="1" applyBorder="1"/>
    <xf numFmtId="0" fontId="9" fillId="0" borderId="8" xfId="5" applyFont="1" applyBorder="1" applyAlignment="1">
      <alignment horizontal="center" vertical="center"/>
    </xf>
    <xf numFmtId="0" fontId="9" fillId="0" borderId="12" xfId="5" applyFont="1" applyBorder="1" applyAlignment="1">
      <alignment vertical="center"/>
    </xf>
    <xf numFmtId="0" fontId="9" fillId="0" borderId="4" xfId="5" applyFont="1" applyBorder="1" applyAlignment="1">
      <alignment vertical="center"/>
    </xf>
    <xf numFmtId="0" fontId="5" fillId="0" borderId="9" xfId="5" applyFont="1" applyBorder="1"/>
    <xf numFmtId="15" fontId="9" fillId="0" borderId="2" xfId="5" applyNumberFormat="1" applyFont="1" applyBorder="1" applyAlignment="1">
      <alignment horizontal="left" vertical="center"/>
    </xf>
    <xf numFmtId="0" fontId="5" fillId="0" borderId="7" xfId="5" applyFont="1" applyBorder="1"/>
    <xf numFmtId="0" fontId="4" fillId="0" borderId="10" xfId="5" applyFont="1" applyBorder="1"/>
    <xf numFmtId="0" fontId="4" fillId="0" borderId="11" xfId="5" applyFont="1" applyBorder="1"/>
    <xf numFmtId="0" fontId="4" fillId="0" borderId="12" xfId="5" applyFont="1" applyBorder="1"/>
    <xf numFmtId="0" fontId="10" fillId="0" borderId="8" xfId="5" applyFont="1" applyBorder="1" applyAlignment="1">
      <alignment horizontal="center" vertical="center"/>
    </xf>
    <xf numFmtId="0" fontId="11" fillId="0" borderId="2" xfId="5" applyFont="1" applyBorder="1" applyAlignment="1">
      <alignment horizontal="center" vertical="center"/>
    </xf>
    <xf numFmtId="0" fontId="11" fillId="0" borderId="8" xfId="5" applyFont="1" applyBorder="1" applyAlignment="1">
      <alignment horizontal="center" vertical="center"/>
    </xf>
    <xf numFmtId="0" fontId="9" fillId="0" borderId="8" xfId="5" applyFont="1" applyBorder="1" applyAlignment="1">
      <alignment horizontal="center" vertical="center" wrapText="1"/>
    </xf>
    <xf numFmtId="0" fontId="9" fillId="0" borderId="7" xfId="5" applyFont="1" applyBorder="1" applyAlignment="1">
      <alignment horizontal="center" vertical="center"/>
    </xf>
    <xf numFmtId="0" fontId="9" fillId="0" borderId="12" xfId="6" applyFont="1" applyBorder="1" applyAlignment="1">
      <alignment horizontal="center" vertical="center"/>
    </xf>
    <xf numFmtId="0" fontId="12" fillId="0" borderId="12" xfId="6" applyFont="1" applyBorder="1" applyAlignment="1">
      <alignment horizontal="center" vertical="center"/>
    </xf>
    <xf numFmtId="2" fontId="9" fillId="0" borderId="12" xfId="6" applyNumberFormat="1" applyFont="1" applyBorder="1" applyAlignment="1">
      <alignment horizontal="center" vertical="center" wrapText="1"/>
    </xf>
    <xf numFmtId="2" fontId="9" fillId="0" borderId="12" xfId="6" applyNumberFormat="1" applyFont="1" applyBorder="1" applyAlignment="1">
      <alignment horizontal="center" vertical="center"/>
    </xf>
    <xf numFmtId="0" fontId="11" fillId="0" borderId="12" xfId="5" applyFont="1" applyBorder="1" applyAlignment="1">
      <alignment vertical="center"/>
    </xf>
    <xf numFmtId="0" fontId="9" fillId="0" borderId="12" xfId="5" applyFont="1" applyBorder="1" applyAlignment="1">
      <alignment horizontal="center" vertical="center" wrapText="1"/>
    </xf>
    <xf numFmtId="0" fontId="11" fillId="0" borderId="12" xfId="5" applyFont="1" applyBorder="1" applyAlignment="1">
      <alignment horizontal="center" vertical="center"/>
    </xf>
    <xf numFmtId="2" fontId="9" fillId="0" borderId="12" xfId="5" applyNumberFormat="1" applyFont="1" applyBorder="1" applyAlignment="1">
      <alignment horizontal="center" vertical="center" wrapText="1"/>
    </xf>
    <xf numFmtId="2" fontId="9" fillId="0" borderId="12" xfId="5" applyNumberFormat="1" applyFont="1" applyBorder="1" applyAlignment="1">
      <alignment horizontal="center" vertical="center"/>
    </xf>
    <xf numFmtId="0" fontId="11" fillId="0" borderId="13" xfId="5" applyFont="1" applyBorder="1" applyAlignment="1">
      <alignment vertical="center"/>
    </xf>
    <xf numFmtId="2" fontId="12" fillId="3" borderId="12" xfId="5" applyNumberFormat="1" applyFont="1" applyFill="1" applyBorder="1" applyAlignment="1">
      <alignment horizontal="center" vertical="center" wrapText="1"/>
    </xf>
    <xf numFmtId="2" fontId="12" fillId="0" borderId="13" xfId="5" applyNumberFormat="1" applyFont="1" applyBorder="1" applyAlignment="1">
      <alignment horizontal="center" vertical="center"/>
    </xf>
    <xf numFmtId="0" fontId="28" fillId="0" borderId="13" xfId="5" applyFont="1" applyBorder="1" applyAlignment="1">
      <alignment vertical="center"/>
    </xf>
    <xf numFmtId="0" fontId="11" fillId="0" borderId="7" xfId="5" applyFont="1" applyBorder="1" applyAlignment="1">
      <alignment horizontal="left" vertical="center"/>
    </xf>
    <xf numFmtId="2" fontId="9" fillId="0" borderId="7" xfId="5" applyNumberFormat="1" applyFont="1" applyBorder="1" applyAlignment="1">
      <alignment horizontal="center" vertical="center"/>
    </xf>
    <xf numFmtId="0" fontId="9" fillId="0" borderId="7" xfId="6" applyFont="1" applyBorder="1" applyAlignment="1">
      <alignment horizontal="center" vertical="center"/>
    </xf>
    <xf numFmtId="0" fontId="9" fillId="0" borderId="7" xfId="6" applyFont="1" applyBorder="1" applyAlignment="1">
      <alignment horizontal="left" vertical="center"/>
    </xf>
    <xf numFmtId="2" fontId="9" fillId="0" borderId="7" xfId="6" applyNumberFormat="1" applyFont="1" applyBorder="1" applyAlignment="1">
      <alignment horizontal="center" vertical="center"/>
    </xf>
    <xf numFmtId="0" fontId="13" fillId="2" borderId="19" xfId="6" applyFont="1" applyFill="1" applyBorder="1" applyAlignment="1">
      <alignment horizontal="center" vertical="center"/>
    </xf>
    <xf numFmtId="0" fontId="5" fillId="0" borderId="20" xfId="6" applyFont="1" applyBorder="1"/>
    <xf numFmtId="0" fontId="5" fillId="0" borderId="21" xfId="6" applyFont="1" applyBorder="1"/>
    <xf numFmtId="0" fontId="1" fillId="0" borderId="1" xfId="6"/>
    <xf numFmtId="0" fontId="14" fillId="0" borderId="1" xfId="6" applyFont="1" applyAlignment="1">
      <alignment horizontal="center" vertical="center"/>
    </xf>
    <xf numFmtId="0" fontId="1" fillId="0" borderId="1" xfId="6"/>
    <xf numFmtId="0" fontId="5" fillId="0" borderId="22" xfId="6" applyFont="1" applyBorder="1"/>
    <xf numFmtId="0" fontId="5" fillId="0" borderId="23" xfId="6" applyFont="1" applyBorder="1"/>
    <xf numFmtId="0" fontId="5" fillId="0" borderId="24" xfId="6" applyFont="1" applyBorder="1"/>
    <xf numFmtId="0" fontId="6" fillId="2" borderId="14" xfId="6" applyFont="1" applyFill="1" applyBorder="1" applyAlignment="1">
      <alignment horizontal="center"/>
    </xf>
    <xf numFmtId="0" fontId="5" fillId="0" borderId="15" xfId="6" applyFont="1" applyBorder="1"/>
    <xf numFmtId="0" fontId="6" fillId="2" borderId="16" xfId="6" applyFont="1" applyFill="1" applyBorder="1" applyAlignment="1">
      <alignment horizontal="center" vertical="center"/>
    </xf>
    <xf numFmtId="0" fontId="4" fillId="2" borderId="16" xfId="6" applyFont="1" applyFill="1" applyBorder="1" applyAlignment="1">
      <alignment horizontal="center" vertical="center"/>
    </xf>
    <xf numFmtId="0" fontId="11" fillId="0" borderId="7" xfId="6" applyFont="1" applyBorder="1" applyAlignment="1">
      <alignment horizontal="left" vertical="center"/>
    </xf>
    <xf numFmtId="0" fontId="4" fillId="0" borderId="16" xfId="6" applyFont="1" applyBorder="1" applyAlignment="1">
      <alignment horizontal="center"/>
    </xf>
    <xf numFmtId="0" fontId="7" fillId="0" borderId="16" xfId="6" applyFont="1" applyBorder="1" applyAlignment="1">
      <alignment horizontal="center"/>
    </xf>
    <xf numFmtId="0" fontId="4" fillId="0" borderId="16" xfId="6" applyFont="1" applyBorder="1" applyAlignment="1">
      <alignment horizontal="center" vertical="center"/>
    </xf>
    <xf numFmtId="0" fontId="11" fillId="0" borderId="12" xfId="6" applyFont="1" applyBorder="1" applyAlignment="1">
      <alignment vertical="center"/>
    </xf>
    <xf numFmtId="0" fontId="9" fillId="0" borderId="1" xfId="6" applyFont="1" applyAlignment="1">
      <alignment horizontal="center" vertical="center"/>
    </xf>
    <xf numFmtId="0" fontId="11" fillId="0" borderId="1" xfId="6" applyFont="1" applyAlignment="1">
      <alignment vertical="center"/>
    </xf>
    <xf numFmtId="0" fontId="4" fillId="0" borderId="1" xfId="6" applyFont="1" applyAlignment="1">
      <alignment horizontal="center" vertical="center"/>
    </xf>
    <xf numFmtId="0" fontId="6" fillId="2" borderId="22" xfId="6" applyFont="1" applyFill="1" applyBorder="1" applyAlignment="1">
      <alignment horizontal="center" wrapText="1"/>
    </xf>
    <xf numFmtId="0" fontId="11" fillId="0" borderId="13" xfId="6" applyFont="1" applyBorder="1" applyAlignment="1">
      <alignment vertical="center"/>
    </xf>
    <xf numFmtId="0" fontId="28" fillId="0" borderId="13" xfId="6" applyFont="1" applyBorder="1" applyAlignment="1">
      <alignment vertical="center"/>
    </xf>
    <xf numFmtId="0" fontId="9" fillId="0" borderId="1" xfId="6" applyFont="1" applyAlignment="1">
      <alignment vertical="center"/>
    </xf>
    <xf numFmtId="164" fontId="4" fillId="0" borderId="1" xfId="6" applyNumberFormat="1" applyFont="1" applyAlignment="1">
      <alignment horizontal="center" vertical="center"/>
    </xf>
    <xf numFmtId="0" fontId="14" fillId="0" borderId="1" xfId="6" applyFont="1" applyAlignment="1">
      <alignment horizontal="center" vertical="center"/>
    </xf>
    <xf numFmtId="0" fontId="4" fillId="0" borderId="1" xfId="6" applyFont="1"/>
    <xf numFmtId="0" fontId="6" fillId="0" borderId="1" xfId="6" applyFont="1"/>
    <xf numFmtId="0" fontId="13" fillId="0" borderId="1" xfId="6" applyFont="1" applyAlignment="1">
      <alignment horizontal="center" vertical="center"/>
    </xf>
    <xf numFmtId="16" fontId="4" fillId="0" borderId="1" xfId="6" applyNumberFormat="1" applyFont="1"/>
    <xf numFmtId="0" fontId="14" fillId="0" borderId="1" xfId="6" applyFont="1" applyAlignment="1">
      <alignment vertical="center"/>
    </xf>
  </cellXfs>
  <cellStyles count="7">
    <cellStyle name="Normal" xfId="0" builtinId="0"/>
    <cellStyle name="Normal 2" xfId="1" xr:uid="{4F0092DD-CCDC-4C0D-B11A-B90362772B48}"/>
    <cellStyle name="Normal 2 2" xfId="6" xr:uid="{A357ED21-5EEA-4789-84D9-0D2B74905C5E}"/>
    <cellStyle name="Normal 3" xfId="2" xr:uid="{098498A0-0E92-45C5-812D-83480090346F}"/>
    <cellStyle name="Normal 4" xfId="3" xr:uid="{88B5B4FD-6A20-468C-B950-8411BA18B7F8}"/>
    <cellStyle name="Normal 5" xfId="5" xr:uid="{4FBE9CB9-AFEF-4A5C-BC06-4F9C40E8FD78}"/>
    <cellStyle name="Percent" xfId="4" builtinId="5"/>
  </cellStyles>
  <dxfs count="0"/>
  <tableStyles count="1" defaultTableStyle="TableStyleMedium2" defaultPivotStyle="PivotStyleLight16">
    <tableStyle name="Invisible" pivot="0" table="0" count="0" xr9:uid="{6845418D-3918-4C24-9678-00D734B483EC}"/>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1"/></Relationships>
</file>

<file path=xl/_rels/comments2.xml.rels><?xml version="1.0" encoding="UTF-8" standalone="yes"?>
<Relationships xmlns="http://schemas.openxmlformats.org/package/2006/relationships"><Relationship Id="rId1" Type="http://customschemas.google.com/relationships/workbookmetadata" Target="commentsmeta3"/></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customschemas.google.com/relationships/workbookmetadata" Target="metadata"/><Relationship Id="rId33"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32"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1.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4.png"/><Relationship Id="rId7" Type="http://schemas.openxmlformats.org/officeDocument/2006/relationships/image" Target="../media/image1.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9.png"/></Relationships>
</file>

<file path=xl/drawings/_rels/drawing4.xml.rels><?xml version="1.0" encoding="UTF-8" standalone="yes"?>
<Relationships xmlns="http://schemas.openxmlformats.org/package/2006/relationships"><Relationship Id="rId1" Type="http://schemas.openxmlformats.org/officeDocument/2006/relationships/image" Target="../media/image10.png"/></Relationships>
</file>

<file path=xl/drawings/_rels/drawing5.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4.png"/><Relationship Id="rId7" Type="http://schemas.openxmlformats.org/officeDocument/2006/relationships/image" Target="../media/image1.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11.png"/></Relationships>
</file>

<file path=xl/drawings/_rels/drawing7.xml.rels><?xml version="1.0" encoding="UTF-8" standalone="yes"?>
<Relationships xmlns="http://schemas.openxmlformats.org/package/2006/relationships"><Relationship Id="rId8" Type="http://schemas.openxmlformats.org/officeDocument/2006/relationships/image" Target="../media/image7.png"/><Relationship Id="rId3" Type="http://schemas.openxmlformats.org/officeDocument/2006/relationships/image" Target="../media/image1.png"/><Relationship Id="rId7" Type="http://schemas.openxmlformats.org/officeDocument/2006/relationships/image" Target="../media/image6.png"/><Relationship Id="rId2" Type="http://schemas.openxmlformats.org/officeDocument/2006/relationships/image" Target="../media/image2.png"/><Relationship Id="rId1" Type="http://schemas.openxmlformats.org/officeDocument/2006/relationships/image" Target="../media/image8.png"/><Relationship Id="rId6" Type="http://schemas.openxmlformats.org/officeDocument/2006/relationships/image" Target="../media/image5.png"/><Relationship Id="rId5" Type="http://schemas.openxmlformats.org/officeDocument/2006/relationships/image" Target="../media/image4.png"/><Relationship Id="rId4" Type="http://schemas.openxmlformats.org/officeDocument/2006/relationships/image" Target="../media/image3.png"/></Relationships>
</file>

<file path=xl/drawings/_rels/drawing8.xml.rels><?xml version="1.0" encoding="UTF-8" standalone="yes"?>
<Relationships xmlns="http://schemas.openxmlformats.org/package/2006/relationships"><Relationship Id="rId1" Type="http://schemas.openxmlformats.org/officeDocument/2006/relationships/image" Target="../media/image12.png"/></Relationships>
</file>

<file path=xl/drawings/_rels/drawing9.xml.rels><?xml version="1.0" encoding="UTF-8" standalone="yes"?>
<Relationships xmlns="http://schemas.openxmlformats.org/package/2006/relationships"><Relationship Id="rId8" Type="http://schemas.openxmlformats.org/officeDocument/2006/relationships/image" Target="../media/image7.png"/><Relationship Id="rId3" Type="http://schemas.openxmlformats.org/officeDocument/2006/relationships/image" Target="../media/image1.png"/><Relationship Id="rId7" Type="http://schemas.openxmlformats.org/officeDocument/2006/relationships/image" Target="../media/image6.png"/><Relationship Id="rId2" Type="http://schemas.openxmlformats.org/officeDocument/2006/relationships/image" Target="../media/image2.png"/><Relationship Id="rId1" Type="http://schemas.openxmlformats.org/officeDocument/2006/relationships/image" Target="../media/image8.png"/><Relationship Id="rId6" Type="http://schemas.openxmlformats.org/officeDocument/2006/relationships/image" Target="../media/image5.png"/><Relationship Id="rId5" Type="http://schemas.openxmlformats.org/officeDocument/2006/relationships/image" Target="../media/image4.png"/><Relationship Id="rId4" Type="http://schemas.openxmlformats.org/officeDocument/2006/relationships/image" Target="../media/image3.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1.xml.rels><?xml version="1.0" encoding="UTF-8" standalone="yes"?>
<Relationships xmlns="http://schemas.openxmlformats.org/package/2006/relationships"><Relationship Id="rId8" Type="http://schemas.openxmlformats.org/officeDocument/2006/relationships/image" Target="../media/image7.png"/><Relationship Id="rId3" Type="http://schemas.openxmlformats.org/officeDocument/2006/relationships/image" Target="../media/image1.png"/><Relationship Id="rId7" Type="http://schemas.openxmlformats.org/officeDocument/2006/relationships/image" Target="../media/image6.png"/><Relationship Id="rId2" Type="http://schemas.openxmlformats.org/officeDocument/2006/relationships/image" Target="../media/image2.png"/><Relationship Id="rId1" Type="http://schemas.openxmlformats.org/officeDocument/2006/relationships/image" Target="../media/image8.png"/><Relationship Id="rId6" Type="http://schemas.openxmlformats.org/officeDocument/2006/relationships/image" Target="../media/image5.png"/><Relationship Id="rId5" Type="http://schemas.openxmlformats.org/officeDocument/2006/relationships/image" Target="../media/image4.png"/><Relationship Id="rId4" Type="http://schemas.openxmlformats.org/officeDocument/2006/relationships/image" Target="../media/image3.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3.xml.rels><?xml version="1.0" encoding="UTF-8" standalone="yes"?>
<Relationships xmlns="http://schemas.openxmlformats.org/package/2006/relationships"><Relationship Id="rId8" Type="http://schemas.openxmlformats.org/officeDocument/2006/relationships/image" Target="../media/image7.png"/><Relationship Id="rId3" Type="http://schemas.openxmlformats.org/officeDocument/2006/relationships/image" Target="../media/image1.png"/><Relationship Id="rId7" Type="http://schemas.openxmlformats.org/officeDocument/2006/relationships/image" Target="../media/image6.png"/><Relationship Id="rId2" Type="http://schemas.openxmlformats.org/officeDocument/2006/relationships/image" Target="../media/image2.png"/><Relationship Id="rId1" Type="http://schemas.openxmlformats.org/officeDocument/2006/relationships/image" Target="../media/image8.png"/><Relationship Id="rId6" Type="http://schemas.openxmlformats.org/officeDocument/2006/relationships/image" Target="../media/image5.png"/><Relationship Id="rId5" Type="http://schemas.openxmlformats.org/officeDocument/2006/relationships/image" Target="../media/image4.png"/><Relationship Id="rId4" Type="http://schemas.openxmlformats.org/officeDocument/2006/relationships/image" Target="../media/image3.png"/></Relationships>
</file>

<file path=xl/drawings/_rels/drawing14.xml.rels><?xml version="1.0" encoding="UTF-8" standalone="yes"?>
<Relationships xmlns="http://schemas.openxmlformats.org/package/2006/relationships"><Relationship Id="rId3" Type="http://schemas.openxmlformats.org/officeDocument/2006/relationships/image" Target="../media/image17.png"/><Relationship Id="rId2" Type="http://schemas.openxmlformats.org/officeDocument/2006/relationships/image" Target="../media/image16.png"/><Relationship Id="rId1" Type="http://schemas.openxmlformats.org/officeDocument/2006/relationships/image" Target="../media/image15.png"/></Relationships>
</file>

<file path=xl/drawings/_rels/drawing15.xml.rels><?xml version="1.0" encoding="UTF-8" standalone="yes"?>
<Relationships xmlns="http://schemas.openxmlformats.org/package/2006/relationships"><Relationship Id="rId8" Type="http://schemas.openxmlformats.org/officeDocument/2006/relationships/image" Target="../media/image7.png"/><Relationship Id="rId3" Type="http://schemas.openxmlformats.org/officeDocument/2006/relationships/image" Target="../media/image1.png"/><Relationship Id="rId7" Type="http://schemas.openxmlformats.org/officeDocument/2006/relationships/image" Target="../media/image6.png"/><Relationship Id="rId2" Type="http://schemas.openxmlformats.org/officeDocument/2006/relationships/image" Target="../media/image2.png"/><Relationship Id="rId1" Type="http://schemas.openxmlformats.org/officeDocument/2006/relationships/image" Target="../media/image8.png"/><Relationship Id="rId6" Type="http://schemas.openxmlformats.org/officeDocument/2006/relationships/image" Target="../media/image5.png"/><Relationship Id="rId5" Type="http://schemas.openxmlformats.org/officeDocument/2006/relationships/image" Target="../media/image4.png"/><Relationship Id="rId4" Type="http://schemas.openxmlformats.org/officeDocument/2006/relationships/image" Target="../media/image3.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7.xml.rels><?xml version="1.0" encoding="UTF-8" standalone="yes"?>
<Relationships xmlns="http://schemas.openxmlformats.org/package/2006/relationships"><Relationship Id="rId8" Type="http://schemas.openxmlformats.org/officeDocument/2006/relationships/image" Target="../media/image7.png"/><Relationship Id="rId3" Type="http://schemas.openxmlformats.org/officeDocument/2006/relationships/image" Target="../media/image1.png"/><Relationship Id="rId7" Type="http://schemas.openxmlformats.org/officeDocument/2006/relationships/image" Target="../media/image6.png"/><Relationship Id="rId2" Type="http://schemas.openxmlformats.org/officeDocument/2006/relationships/image" Target="../media/image2.png"/><Relationship Id="rId1" Type="http://schemas.openxmlformats.org/officeDocument/2006/relationships/image" Target="../media/image8.png"/><Relationship Id="rId6" Type="http://schemas.openxmlformats.org/officeDocument/2006/relationships/image" Target="../media/image5.png"/><Relationship Id="rId5" Type="http://schemas.openxmlformats.org/officeDocument/2006/relationships/image" Target="../media/image4.png"/><Relationship Id="rId4" Type="http://schemas.openxmlformats.org/officeDocument/2006/relationships/image" Target="../media/image3.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9.png"/></Relationships>
</file>

<file path=xl/drawings/_rels/drawing19.xml.rels><?xml version="1.0" encoding="UTF-8" standalone="yes"?>
<Relationships xmlns="http://schemas.openxmlformats.org/package/2006/relationships"><Relationship Id="rId8" Type="http://schemas.openxmlformats.org/officeDocument/2006/relationships/image" Target="../media/image7.png"/><Relationship Id="rId3" Type="http://schemas.openxmlformats.org/officeDocument/2006/relationships/image" Target="../media/image1.png"/><Relationship Id="rId7" Type="http://schemas.openxmlformats.org/officeDocument/2006/relationships/image" Target="../media/image6.png"/><Relationship Id="rId2" Type="http://schemas.openxmlformats.org/officeDocument/2006/relationships/image" Target="../media/image2.png"/><Relationship Id="rId1" Type="http://schemas.openxmlformats.org/officeDocument/2006/relationships/image" Target="../media/image8.png"/><Relationship Id="rId6" Type="http://schemas.openxmlformats.org/officeDocument/2006/relationships/image" Target="../media/image5.png"/><Relationship Id="rId5" Type="http://schemas.openxmlformats.org/officeDocument/2006/relationships/image" Target="../media/image4.png"/><Relationship Id="rId4" Type="http://schemas.openxmlformats.org/officeDocument/2006/relationships/image" Target="../media/image3.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0.png"/></Relationships>
</file>

<file path=xl/drawings/_rels/drawing2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25.png"/><Relationship Id="rId3" Type="http://schemas.openxmlformats.org/officeDocument/2006/relationships/image" Target="../media/image5.png"/><Relationship Id="rId7" Type="http://schemas.openxmlformats.org/officeDocument/2006/relationships/image" Target="../media/image2.png"/><Relationship Id="rId12" Type="http://schemas.openxmlformats.org/officeDocument/2006/relationships/image" Target="../media/image24.png"/><Relationship Id="rId2" Type="http://schemas.openxmlformats.org/officeDocument/2006/relationships/image" Target="../media/image4.png"/><Relationship Id="rId1" Type="http://schemas.openxmlformats.org/officeDocument/2006/relationships/image" Target="../media/image3.png"/><Relationship Id="rId6" Type="http://schemas.openxmlformats.org/officeDocument/2006/relationships/image" Target="../media/image1.png"/><Relationship Id="rId11" Type="http://schemas.openxmlformats.org/officeDocument/2006/relationships/image" Target="../media/image23.png"/><Relationship Id="rId5" Type="http://schemas.openxmlformats.org/officeDocument/2006/relationships/image" Target="../media/image7.png"/><Relationship Id="rId10" Type="http://schemas.openxmlformats.org/officeDocument/2006/relationships/image" Target="../media/image22.png"/><Relationship Id="rId4" Type="http://schemas.openxmlformats.org/officeDocument/2006/relationships/image" Target="../media/image6.png"/><Relationship Id="rId9" Type="http://schemas.openxmlformats.org/officeDocument/2006/relationships/image" Target="../media/image21.png"/></Relationships>
</file>

<file path=xl/drawings/drawing1.xml><?xml version="1.0" encoding="utf-8"?>
<xdr:wsDr xmlns:xdr="http://schemas.openxmlformats.org/drawingml/2006/spreadsheetDrawing" xmlns:a="http://schemas.openxmlformats.org/drawingml/2006/main">
  <xdr:oneCellAnchor>
    <xdr:from>
      <xdr:col>6</xdr:col>
      <xdr:colOff>28575</xdr:colOff>
      <xdr:row>58</xdr:row>
      <xdr:rowOff>142875</xdr:rowOff>
    </xdr:from>
    <xdr:ext cx="7391400" cy="5962650"/>
    <xdr:pic>
      <xdr:nvPicPr>
        <xdr:cNvPr id="108" name="image10.png">
          <a:extLst>
            <a:ext uri="{FF2B5EF4-FFF2-40B4-BE49-F238E27FC236}">
              <a16:creationId xmlns:a16="http://schemas.microsoft.com/office/drawing/2014/main" id="{00000000-0008-0000-0400-000066000000}"/>
            </a:ext>
            <a:ext uri="{147F2762-F138-4A5C-976F-8EAC2B608ADB}">
              <a16:predDERef xmlns:a16="http://schemas.microsoft.com/office/drawing/2014/main" pred="{00000000-0008-0000-0400-00006B000000}"/>
            </a:ext>
          </a:extLst>
        </xdr:cNvPr>
        <xdr:cNvPicPr preferRelativeResize="0"/>
      </xdr:nvPicPr>
      <xdr:blipFill>
        <a:blip xmlns:r="http://schemas.openxmlformats.org/officeDocument/2006/relationships" r:embed="rId1" cstate="print"/>
        <a:stretch>
          <a:fillRect/>
        </a:stretch>
      </xdr:blipFill>
      <xdr:spPr>
        <a:xfrm>
          <a:off x="7886700" y="10706100"/>
          <a:ext cx="7391400" cy="5962650"/>
        </a:xfrm>
        <a:prstGeom prst="rect">
          <a:avLst/>
        </a:prstGeom>
        <a:noFill/>
      </xdr:spPr>
    </xdr:pic>
    <xdr:clientData fLocksWithSheet="0"/>
  </xdr:oneCellAnchor>
  <xdr:oneCellAnchor>
    <xdr:from>
      <xdr:col>6</xdr:col>
      <xdr:colOff>600075</xdr:colOff>
      <xdr:row>59</xdr:row>
      <xdr:rowOff>-19050</xdr:rowOff>
    </xdr:from>
    <xdr:ext cx="6553200" cy="1800225"/>
    <xdr:sp macro="" textlink="">
      <xdr:nvSpPr>
        <xdr:cNvPr id="20" name="Shape 20">
          <a:extLst>
            <a:ext uri="{FF2B5EF4-FFF2-40B4-BE49-F238E27FC236}">
              <a16:creationId xmlns:a16="http://schemas.microsoft.com/office/drawing/2014/main" id="{00000000-0008-0000-0400-000014000000}"/>
            </a:ext>
          </a:extLst>
        </xdr:cNvPr>
        <xdr:cNvSpPr/>
      </xdr:nvSpPr>
      <xdr:spPr>
        <a:xfrm>
          <a:off x="2088450" y="2898938"/>
          <a:ext cx="6515100" cy="1762125"/>
        </a:xfrm>
        <a:prstGeom prst="ellipse">
          <a:avLst/>
        </a:prstGeom>
        <a:noFill/>
        <a:ln w="38100" cap="flat" cmpd="sng">
          <a:solidFill>
            <a:srgbClr val="31538F"/>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xdr:col>
      <xdr:colOff>1057275</xdr:colOff>
      <xdr:row>59</xdr:row>
      <xdr:rowOff>66675</xdr:rowOff>
    </xdr:from>
    <xdr:ext cx="6477000" cy="342900"/>
    <xdr:grpSp>
      <xdr:nvGrpSpPr>
        <xdr:cNvPr id="2" name="Shape 2">
          <a:extLst>
            <a:ext uri="{FF2B5EF4-FFF2-40B4-BE49-F238E27FC236}">
              <a16:creationId xmlns:a16="http://schemas.microsoft.com/office/drawing/2014/main" id="{00000000-0008-0000-0400-000002000000}"/>
            </a:ext>
          </a:extLst>
        </xdr:cNvPr>
        <xdr:cNvGrpSpPr/>
      </xdr:nvGrpSpPr>
      <xdr:grpSpPr>
        <a:xfrm>
          <a:off x="2082682" y="10678231"/>
          <a:ext cx="6477000" cy="342900"/>
          <a:chOff x="2107500" y="3608550"/>
          <a:chExt cx="6477001" cy="342900"/>
        </a:xfrm>
      </xdr:grpSpPr>
      <xdr:grpSp>
        <xdr:nvGrpSpPr>
          <xdr:cNvPr id="21" name="Shape 21">
            <a:extLst>
              <a:ext uri="{FF2B5EF4-FFF2-40B4-BE49-F238E27FC236}">
                <a16:creationId xmlns:a16="http://schemas.microsoft.com/office/drawing/2014/main" id="{00000000-0008-0000-0400-000015000000}"/>
              </a:ext>
            </a:extLst>
          </xdr:cNvPr>
          <xdr:cNvGrpSpPr/>
        </xdr:nvGrpSpPr>
        <xdr:grpSpPr>
          <a:xfrm>
            <a:off x="2107500" y="3608550"/>
            <a:ext cx="6477001" cy="342900"/>
            <a:chOff x="2107500" y="3608550"/>
            <a:chExt cx="6477001" cy="342900"/>
          </a:xfrm>
        </xdr:grpSpPr>
        <xdr:sp macro="" textlink="">
          <xdr:nvSpPr>
            <xdr:cNvPr id="4" name="Shape 4">
              <a:extLst>
                <a:ext uri="{FF2B5EF4-FFF2-40B4-BE49-F238E27FC236}">
                  <a16:creationId xmlns:a16="http://schemas.microsoft.com/office/drawing/2014/main" id="{00000000-0008-0000-0400-000004000000}"/>
                </a:ext>
              </a:extLst>
            </xdr:cNvPr>
            <xdr:cNvSpPr/>
          </xdr:nvSpPr>
          <xdr:spPr>
            <a:xfrm>
              <a:off x="2107500" y="3608550"/>
              <a:ext cx="6477000" cy="3429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22" name="Shape 22">
              <a:extLst>
                <a:ext uri="{FF2B5EF4-FFF2-40B4-BE49-F238E27FC236}">
                  <a16:creationId xmlns:a16="http://schemas.microsoft.com/office/drawing/2014/main" id="{00000000-0008-0000-0400-000016000000}"/>
                </a:ext>
              </a:extLst>
            </xdr:cNvPr>
            <xdr:cNvGrpSpPr/>
          </xdr:nvGrpSpPr>
          <xdr:grpSpPr>
            <a:xfrm>
              <a:off x="2107500" y="3608550"/>
              <a:ext cx="6477001" cy="342900"/>
              <a:chOff x="2126550" y="3627600"/>
              <a:chExt cx="6438900" cy="304800"/>
            </a:xfrm>
          </xdr:grpSpPr>
          <xdr:sp macro="" textlink="">
            <xdr:nvSpPr>
              <xdr:cNvPr id="23" name="Shape 23">
                <a:extLst>
                  <a:ext uri="{FF2B5EF4-FFF2-40B4-BE49-F238E27FC236}">
                    <a16:creationId xmlns:a16="http://schemas.microsoft.com/office/drawing/2014/main" id="{00000000-0008-0000-0400-000017000000}"/>
                  </a:ext>
                </a:extLst>
              </xdr:cNvPr>
              <xdr:cNvSpPr/>
            </xdr:nvSpPr>
            <xdr:spPr>
              <a:xfrm>
                <a:off x="2126550" y="3627600"/>
                <a:ext cx="6438900" cy="3048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24" name="Shape 24">
                <a:extLst>
                  <a:ext uri="{FF2B5EF4-FFF2-40B4-BE49-F238E27FC236}">
                    <a16:creationId xmlns:a16="http://schemas.microsoft.com/office/drawing/2014/main" id="{00000000-0008-0000-0400-000018000000}"/>
                  </a:ext>
                </a:extLst>
              </xdr:cNvPr>
              <xdr:cNvCxnSpPr/>
            </xdr:nvCxnSpPr>
            <xdr:spPr>
              <a:xfrm rot="10800000">
                <a:off x="2126550" y="3627600"/>
                <a:ext cx="6438900" cy="304800"/>
              </a:xfrm>
              <a:prstGeom prst="straightConnector1">
                <a:avLst/>
              </a:prstGeom>
              <a:noFill/>
              <a:ln w="38100" cap="flat" cmpd="sng">
                <a:solidFill>
                  <a:schemeClr val="accent1"/>
                </a:solidFill>
                <a:prstDash val="solid"/>
                <a:miter lim="800000"/>
                <a:headEnd type="none" w="sm" len="sm"/>
                <a:tailEnd type="triangle" w="med" len="med"/>
              </a:ln>
            </xdr:spPr>
          </xdr:cxnSp>
        </xdr:grpSp>
      </xdr:grpSp>
    </xdr:grpSp>
    <xdr:clientData fLocksWithSheet="0"/>
  </xdr:oneCellAnchor>
  <xdr:oneCellAnchor>
    <xdr:from>
      <xdr:col>10</xdr:col>
      <xdr:colOff>38100</xdr:colOff>
      <xdr:row>67</xdr:row>
      <xdr:rowOff>123825</xdr:rowOff>
    </xdr:from>
    <xdr:ext cx="1476375" cy="457200"/>
    <xdr:sp macro="" textlink="">
      <xdr:nvSpPr>
        <xdr:cNvPr id="25" name="Shape 25">
          <a:extLst>
            <a:ext uri="{FF2B5EF4-FFF2-40B4-BE49-F238E27FC236}">
              <a16:creationId xmlns:a16="http://schemas.microsoft.com/office/drawing/2014/main" id="{00000000-0008-0000-0400-000019000000}"/>
            </a:ext>
          </a:extLst>
        </xdr:cNvPr>
        <xdr:cNvSpPr/>
      </xdr:nvSpPr>
      <xdr:spPr>
        <a:xfrm rot="10800000" flipH="1">
          <a:off x="4626863" y="3570450"/>
          <a:ext cx="1438275" cy="419100"/>
        </a:xfrm>
        <a:prstGeom prst="ellipse">
          <a:avLst/>
        </a:prstGeom>
        <a:noFill/>
        <a:ln w="38100" cap="flat" cmpd="sng">
          <a:solidFill>
            <a:srgbClr val="517E33"/>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5</xdr:col>
      <xdr:colOff>361950</xdr:colOff>
      <xdr:row>61</xdr:row>
      <xdr:rowOff>95250</xdr:rowOff>
    </xdr:from>
    <xdr:ext cx="3619500" cy="1362075"/>
    <xdr:grpSp>
      <xdr:nvGrpSpPr>
        <xdr:cNvPr id="3" name="Shape 2">
          <a:extLst>
            <a:ext uri="{FF2B5EF4-FFF2-40B4-BE49-F238E27FC236}">
              <a16:creationId xmlns:a16="http://schemas.microsoft.com/office/drawing/2014/main" id="{00000000-0008-0000-0400-000003000000}"/>
            </a:ext>
          </a:extLst>
        </xdr:cNvPr>
        <xdr:cNvGrpSpPr/>
      </xdr:nvGrpSpPr>
      <xdr:grpSpPr>
        <a:xfrm>
          <a:off x="7577431" y="11064287"/>
          <a:ext cx="3619500" cy="1362075"/>
          <a:chOff x="3536250" y="3098963"/>
          <a:chExt cx="3619500" cy="1362075"/>
        </a:xfrm>
      </xdr:grpSpPr>
      <xdr:grpSp>
        <xdr:nvGrpSpPr>
          <xdr:cNvPr id="26" name="Shape 26">
            <a:extLst>
              <a:ext uri="{FF2B5EF4-FFF2-40B4-BE49-F238E27FC236}">
                <a16:creationId xmlns:a16="http://schemas.microsoft.com/office/drawing/2014/main" id="{00000000-0008-0000-0400-00001A000000}"/>
              </a:ext>
            </a:extLst>
          </xdr:cNvPr>
          <xdr:cNvGrpSpPr/>
        </xdr:nvGrpSpPr>
        <xdr:grpSpPr>
          <a:xfrm>
            <a:off x="3536250" y="3098963"/>
            <a:ext cx="3619500" cy="1362075"/>
            <a:chOff x="3536250" y="3098963"/>
            <a:chExt cx="3619500" cy="1362075"/>
          </a:xfrm>
        </xdr:grpSpPr>
        <xdr:sp macro="" textlink="">
          <xdr:nvSpPr>
            <xdr:cNvPr id="5" name="Shape 4">
              <a:extLst>
                <a:ext uri="{FF2B5EF4-FFF2-40B4-BE49-F238E27FC236}">
                  <a16:creationId xmlns:a16="http://schemas.microsoft.com/office/drawing/2014/main" id="{00000000-0008-0000-0400-000005000000}"/>
                </a:ext>
              </a:extLst>
            </xdr:cNvPr>
            <xdr:cNvSpPr/>
          </xdr:nvSpPr>
          <xdr:spPr>
            <a:xfrm>
              <a:off x="3536250" y="3098963"/>
              <a:ext cx="3619500" cy="13620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27" name="Shape 27">
              <a:extLst>
                <a:ext uri="{FF2B5EF4-FFF2-40B4-BE49-F238E27FC236}">
                  <a16:creationId xmlns:a16="http://schemas.microsoft.com/office/drawing/2014/main" id="{00000000-0008-0000-0400-00001B000000}"/>
                </a:ext>
              </a:extLst>
            </xdr:cNvPr>
            <xdr:cNvGrpSpPr/>
          </xdr:nvGrpSpPr>
          <xdr:grpSpPr>
            <a:xfrm>
              <a:off x="3536250" y="3098963"/>
              <a:ext cx="3619500" cy="1362075"/>
              <a:chOff x="3555300" y="3118088"/>
              <a:chExt cx="3581400" cy="1323900"/>
            </a:xfrm>
          </xdr:grpSpPr>
          <xdr:sp macro="" textlink="">
            <xdr:nvSpPr>
              <xdr:cNvPr id="28" name="Shape 28">
                <a:extLst>
                  <a:ext uri="{FF2B5EF4-FFF2-40B4-BE49-F238E27FC236}">
                    <a16:creationId xmlns:a16="http://schemas.microsoft.com/office/drawing/2014/main" id="{00000000-0008-0000-0400-00001C000000}"/>
                  </a:ext>
                </a:extLst>
              </xdr:cNvPr>
              <xdr:cNvSpPr/>
            </xdr:nvSpPr>
            <xdr:spPr>
              <a:xfrm>
                <a:off x="3555300" y="3118088"/>
                <a:ext cx="3581400" cy="13239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29" name="Shape 29">
                <a:extLst>
                  <a:ext uri="{FF2B5EF4-FFF2-40B4-BE49-F238E27FC236}">
                    <a16:creationId xmlns:a16="http://schemas.microsoft.com/office/drawing/2014/main" id="{00000000-0008-0000-0400-00001D000000}"/>
                  </a:ext>
                </a:extLst>
              </xdr:cNvPr>
              <xdr:cNvCxnSpPr>
                <a:stCxn id="17" idx="2"/>
              </xdr:cNvCxnSpPr>
            </xdr:nvCxnSpPr>
            <xdr:spPr>
              <a:xfrm rot="10800000">
                <a:off x="3555300" y="3118088"/>
                <a:ext cx="3581400" cy="1323900"/>
              </a:xfrm>
              <a:prstGeom prst="straightConnector1">
                <a:avLst/>
              </a:prstGeom>
              <a:noFill/>
              <a:ln w="38100" cap="flat" cmpd="sng">
                <a:solidFill>
                  <a:schemeClr val="accent6"/>
                </a:solidFill>
                <a:prstDash val="solid"/>
                <a:miter lim="800000"/>
                <a:headEnd type="none" w="sm" len="sm"/>
                <a:tailEnd type="triangle" w="med" len="med"/>
              </a:ln>
            </xdr:spPr>
          </xdr:cxnSp>
        </xdr:grpSp>
      </xdr:grpSp>
    </xdr:grpSp>
    <xdr:clientData fLocksWithSheet="0"/>
  </xdr:oneCellAnchor>
  <xdr:oneCellAnchor>
    <xdr:from>
      <xdr:col>9</xdr:col>
      <xdr:colOff>571500</xdr:colOff>
      <xdr:row>69</xdr:row>
      <xdr:rowOff>47625</xdr:rowOff>
    </xdr:from>
    <xdr:ext cx="2066925" cy="419100"/>
    <xdr:sp macro="" textlink="">
      <xdr:nvSpPr>
        <xdr:cNvPr id="30" name="Shape 30">
          <a:extLst>
            <a:ext uri="{FF2B5EF4-FFF2-40B4-BE49-F238E27FC236}">
              <a16:creationId xmlns:a16="http://schemas.microsoft.com/office/drawing/2014/main" id="{00000000-0008-0000-0400-00001E000000}"/>
            </a:ext>
          </a:extLst>
        </xdr:cNvPr>
        <xdr:cNvSpPr/>
      </xdr:nvSpPr>
      <xdr:spPr>
        <a:xfrm rot="10800000" flipH="1">
          <a:off x="4331588" y="3589500"/>
          <a:ext cx="2028825" cy="381000"/>
        </a:xfrm>
        <a:prstGeom prst="ellipse">
          <a:avLst/>
        </a:prstGeom>
        <a:noFill/>
        <a:ln w="38100" cap="flat" cmpd="sng">
          <a:solidFill>
            <a:srgbClr val="BA8C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180975</xdr:colOff>
      <xdr:row>63</xdr:row>
      <xdr:rowOff>104775</xdr:rowOff>
    </xdr:from>
    <xdr:ext cx="4200525" cy="1276350"/>
    <xdr:grpSp>
      <xdr:nvGrpSpPr>
        <xdr:cNvPr id="6" name="Shape 2">
          <a:extLst>
            <a:ext uri="{FF2B5EF4-FFF2-40B4-BE49-F238E27FC236}">
              <a16:creationId xmlns:a16="http://schemas.microsoft.com/office/drawing/2014/main" id="{00000000-0008-0000-0400-000006000000}"/>
            </a:ext>
          </a:extLst>
        </xdr:cNvPr>
        <xdr:cNvGrpSpPr/>
      </xdr:nvGrpSpPr>
      <xdr:grpSpPr>
        <a:xfrm>
          <a:off x="6681494" y="11431294"/>
          <a:ext cx="4200525" cy="1276350"/>
          <a:chOff x="3245738" y="3141825"/>
          <a:chExt cx="4200526" cy="1276350"/>
        </a:xfrm>
      </xdr:grpSpPr>
      <xdr:grpSp>
        <xdr:nvGrpSpPr>
          <xdr:cNvPr id="31" name="Shape 31">
            <a:extLst>
              <a:ext uri="{FF2B5EF4-FFF2-40B4-BE49-F238E27FC236}">
                <a16:creationId xmlns:a16="http://schemas.microsoft.com/office/drawing/2014/main" id="{00000000-0008-0000-0400-00001F000000}"/>
              </a:ext>
            </a:extLst>
          </xdr:cNvPr>
          <xdr:cNvGrpSpPr/>
        </xdr:nvGrpSpPr>
        <xdr:grpSpPr>
          <a:xfrm>
            <a:off x="3245738" y="3141825"/>
            <a:ext cx="4200526" cy="1276350"/>
            <a:chOff x="3245738" y="3141825"/>
            <a:chExt cx="4200526" cy="1276350"/>
          </a:xfrm>
        </xdr:grpSpPr>
        <xdr:sp macro="" textlink="">
          <xdr:nvSpPr>
            <xdr:cNvPr id="7" name="Shape 4">
              <a:extLst>
                <a:ext uri="{FF2B5EF4-FFF2-40B4-BE49-F238E27FC236}">
                  <a16:creationId xmlns:a16="http://schemas.microsoft.com/office/drawing/2014/main" id="{00000000-0008-0000-0400-000007000000}"/>
                </a:ext>
              </a:extLst>
            </xdr:cNvPr>
            <xdr:cNvSpPr/>
          </xdr:nvSpPr>
          <xdr:spPr>
            <a:xfrm>
              <a:off x="3245738" y="3141825"/>
              <a:ext cx="4200525" cy="12763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32" name="Shape 32">
              <a:extLst>
                <a:ext uri="{FF2B5EF4-FFF2-40B4-BE49-F238E27FC236}">
                  <a16:creationId xmlns:a16="http://schemas.microsoft.com/office/drawing/2014/main" id="{00000000-0008-0000-0400-000020000000}"/>
                </a:ext>
              </a:extLst>
            </xdr:cNvPr>
            <xdr:cNvGrpSpPr/>
          </xdr:nvGrpSpPr>
          <xdr:grpSpPr>
            <a:xfrm>
              <a:off x="3245738" y="3141825"/>
              <a:ext cx="4200525" cy="1276350"/>
              <a:chOff x="3264788" y="3156113"/>
              <a:chExt cx="4162425" cy="1247775"/>
            </a:xfrm>
          </xdr:grpSpPr>
          <xdr:sp macro="" textlink="">
            <xdr:nvSpPr>
              <xdr:cNvPr id="33" name="Shape 33">
                <a:extLst>
                  <a:ext uri="{FF2B5EF4-FFF2-40B4-BE49-F238E27FC236}">
                    <a16:creationId xmlns:a16="http://schemas.microsoft.com/office/drawing/2014/main" id="{00000000-0008-0000-0400-000021000000}"/>
                  </a:ext>
                </a:extLst>
              </xdr:cNvPr>
              <xdr:cNvSpPr/>
            </xdr:nvSpPr>
            <xdr:spPr>
              <a:xfrm>
                <a:off x="3264788" y="3156113"/>
                <a:ext cx="4162425" cy="12477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34" name="Shape 34">
                <a:extLst>
                  <a:ext uri="{FF2B5EF4-FFF2-40B4-BE49-F238E27FC236}">
                    <a16:creationId xmlns:a16="http://schemas.microsoft.com/office/drawing/2014/main" id="{00000000-0008-0000-0400-000022000000}"/>
                  </a:ext>
                </a:extLst>
              </xdr:cNvPr>
              <xdr:cNvCxnSpPr/>
            </xdr:nvCxnSpPr>
            <xdr:spPr>
              <a:xfrm rot="10800000">
                <a:off x="3264788" y="3156113"/>
                <a:ext cx="4162425" cy="1247775"/>
              </a:xfrm>
              <a:prstGeom prst="straightConnector1">
                <a:avLst/>
              </a:prstGeom>
              <a:noFill/>
              <a:ln w="38100" cap="flat" cmpd="sng">
                <a:solidFill>
                  <a:schemeClr val="accent4"/>
                </a:solidFill>
                <a:prstDash val="solid"/>
                <a:miter lim="800000"/>
                <a:headEnd type="none" w="sm" len="sm"/>
                <a:tailEnd type="triangle" w="med" len="med"/>
              </a:ln>
            </xdr:spPr>
          </xdr:cxnSp>
        </xdr:grpSp>
      </xdr:grpSp>
    </xdr:grpSp>
    <xdr:clientData fLocksWithSheet="0"/>
  </xdr:oneCellAnchor>
  <xdr:oneCellAnchor>
    <xdr:from>
      <xdr:col>9</xdr:col>
      <xdr:colOff>600075</xdr:colOff>
      <xdr:row>71</xdr:row>
      <xdr:rowOff>-38100</xdr:rowOff>
    </xdr:from>
    <xdr:ext cx="2076450" cy="428625"/>
    <xdr:sp macro="" textlink="">
      <xdr:nvSpPr>
        <xdr:cNvPr id="35" name="Shape 35">
          <a:extLst>
            <a:ext uri="{FF2B5EF4-FFF2-40B4-BE49-F238E27FC236}">
              <a16:creationId xmlns:a16="http://schemas.microsoft.com/office/drawing/2014/main" id="{00000000-0008-0000-0400-000023000000}"/>
            </a:ext>
          </a:extLst>
        </xdr:cNvPr>
        <xdr:cNvSpPr/>
      </xdr:nvSpPr>
      <xdr:spPr>
        <a:xfrm rot="10800000" flipH="1">
          <a:off x="4326825" y="3584738"/>
          <a:ext cx="2038350" cy="390525"/>
        </a:xfrm>
        <a:prstGeom prst="ellipse">
          <a:avLst/>
        </a:prstGeom>
        <a:noFill/>
        <a:ln w="38100" cap="flat" cmpd="sng">
          <a:solidFill>
            <a:schemeClr val="dk1"/>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66675</xdr:colOff>
      <xdr:row>65</xdr:row>
      <xdr:rowOff>95250</xdr:rowOff>
    </xdr:from>
    <xdr:ext cx="4381500" cy="1200150"/>
    <xdr:grpSp>
      <xdr:nvGrpSpPr>
        <xdr:cNvPr id="8" name="Shape 2">
          <a:extLst>
            <a:ext uri="{FF2B5EF4-FFF2-40B4-BE49-F238E27FC236}">
              <a16:creationId xmlns:a16="http://schemas.microsoft.com/office/drawing/2014/main" id="{00000000-0008-0000-0400-000008000000}"/>
            </a:ext>
          </a:extLst>
        </xdr:cNvPr>
        <xdr:cNvGrpSpPr/>
      </xdr:nvGrpSpPr>
      <xdr:grpSpPr>
        <a:xfrm>
          <a:off x="6567194" y="11779250"/>
          <a:ext cx="4381500" cy="1200150"/>
          <a:chOff x="3155250" y="3179925"/>
          <a:chExt cx="4381500" cy="1200150"/>
        </a:xfrm>
      </xdr:grpSpPr>
      <xdr:grpSp>
        <xdr:nvGrpSpPr>
          <xdr:cNvPr id="36" name="Shape 36">
            <a:extLst>
              <a:ext uri="{FF2B5EF4-FFF2-40B4-BE49-F238E27FC236}">
                <a16:creationId xmlns:a16="http://schemas.microsoft.com/office/drawing/2014/main" id="{00000000-0008-0000-0400-000024000000}"/>
              </a:ext>
            </a:extLst>
          </xdr:cNvPr>
          <xdr:cNvGrpSpPr/>
        </xdr:nvGrpSpPr>
        <xdr:grpSpPr>
          <a:xfrm>
            <a:off x="3155250" y="3179925"/>
            <a:ext cx="4381500" cy="1200150"/>
            <a:chOff x="3155250" y="3179925"/>
            <a:chExt cx="4381500" cy="1200150"/>
          </a:xfrm>
        </xdr:grpSpPr>
        <xdr:sp macro="" textlink="">
          <xdr:nvSpPr>
            <xdr:cNvPr id="9" name="Shape 4">
              <a:extLst>
                <a:ext uri="{FF2B5EF4-FFF2-40B4-BE49-F238E27FC236}">
                  <a16:creationId xmlns:a16="http://schemas.microsoft.com/office/drawing/2014/main" id="{00000000-0008-0000-0400-000009000000}"/>
                </a:ext>
              </a:extLst>
            </xdr:cNvPr>
            <xdr:cNvSpPr/>
          </xdr:nvSpPr>
          <xdr:spPr>
            <a:xfrm>
              <a:off x="3155250" y="3179925"/>
              <a:ext cx="4381500" cy="1200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37" name="Shape 37">
              <a:extLst>
                <a:ext uri="{FF2B5EF4-FFF2-40B4-BE49-F238E27FC236}">
                  <a16:creationId xmlns:a16="http://schemas.microsoft.com/office/drawing/2014/main" id="{00000000-0008-0000-0400-000025000000}"/>
                </a:ext>
              </a:extLst>
            </xdr:cNvPr>
            <xdr:cNvGrpSpPr/>
          </xdr:nvGrpSpPr>
          <xdr:grpSpPr>
            <a:xfrm>
              <a:off x="3155250" y="3179925"/>
              <a:ext cx="4381500" cy="1200150"/>
              <a:chOff x="3174300" y="3199125"/>
              <a:chExt cx="4343400" cy="1161900"/>
            </a:xfrm>
          </xdr:grpSpPr>
          <xdr:sp macro="" textlink="">
            <xdr:nvSpPr>
              <xdr:cNvPr id="38" name="Shape 38">
                <a:extLst>
                  <a:ext uri="{FF2B5EF4-FFF2-40B4-BE49-F238E27FC236}">
                    <a16:creationId xmlns:a16="http://schemas.microsoft.com/office/drawing/2014/main" id="{00000000-0008-0000-0400-000026000000}"/>
                  </a:ext>
                </a:extLst>
              </xdr:cNvPr>
              <xdr:cNvSpPr/>
            </xdr:nvSpPr>
            <xdr:spPr>
              <a:xfrm>
                <a:off x="3174300" y="3199125"/>
                <a:ext cx="4343400" cy="11619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39" name="Shape 39">
                <a:extLst>
                  <a:ext uri="{FF2B5EF4-FFF2-40B4-BE49-F238E27FC236}">
                    <a16:creationId xmlns:a16="http://schemas.microsoft.com/office/drawing/2014/main" id="{00000000-0008-0000-0400-000027000000}"/>
                  </a:ext>
                </a:extLst>
              </xdr:cNvPr>
              <xdr:cNvCxnSpPr>
                <a:stCxn id="35" idx="2"/>
              </xdr:cNvCxnSpPr>
            </xdr:nvCxnSpPr>
            <xdr:spPr>
              <a:xfrm rot="10800000">
                <a:off x="3174300" y="3199125"/>
                <a:ext cx="4343400" cy="1161900"/>
              </a:xfrm>
              <a:prstGeom prst="straightConnector1">
                <a:avLst/>
              </a:prstGeom>
              <a:noFill/>
              <a:ln w="38100" cap="flat" cmpd="sng">
                <a:solidFill>
                  <a:schemeClr val="dk1"/>
                </a:solidFill>
                <a:prstDash val="solid"/>
                <a:miter lim="800000"/>
                <a:headEnd type="none" w="sm" len="sm"/>
                <a:tailEnd type="triangle" w="med" len="med"/>
              </a:ln>
            </xdr:spPr>
          </xdr:cxnSp>
        </xdr:grpSp>
      </xdr:grpSp>
    </xdr:grpSp>
    <xdr:clientData fLocksWithSheet="0"/>
  </xdr:oneCellAnchor>
  <xdr:oneCellAnchor>
    <xdr:from>
      <xdr:col>5</xdr:col>
      <xdr:colOff>352425</xdr:colOff>
      <xdr:row>75</xdr:row>
      <xdr:rowOff>66675</xdr:rowOff>
    </xdr:from>
    <xdr:ext cx="1524000" cy="552450"/>
    <xdr:sp macro="" textlink="">
      <xdr:nvSpPr>
        <xdr:cNvPr id="40" name="Shape 40">
          <a:extLst>
            <a:ext uri="{FF2B5EF4-FFF2-40B4-BE49-F238E27FC236}">
              <a16:creationId xmlns:a16="http://schemas.microsoft.com/office/drawing/2014/main" id="{00000000-0008-0000-0400-000028000000}"/>
            </a:ext>
          </a:extLst>
        </xdr:cNvPr>
        <xdr:cNvSpPr/>
      </xdr:nvSpPr>
      <xdr:spPr>
        <a:xfrm>
          <a:off x="4603050" y="3522825"/>
          <a:ext cx="1485900" cy="514350"/>
        </a:xfrm>
        <a:prstGeom prst="ellipse">
          <a:avLst/>
        </a:prstGeom>
        <a:noFill/>
        <a:ln w="38100" cap="flat" cmpd="sng">
          <a:solidFill>
            <a:srgbClr val="AC5B23"/>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57150</xdr:colOff>
      <xdr:row>67</xdr:row>
      <xdr:rowOff>66675</xdr:rowOff>
    </xdr:from>
    <xdr:ext cx="1066800" cy="1752600"/>
    <xdr:grpSp>
      <xdr:nvGrpSpPr>
        <xdr:cNvPr id="10" name="Shape 2">
          <a:extLst>
            <a:ext uri="{FF2B5EF4-FFF2-40B4-BE49-F238E27FC236}">
              <a16:creationId xmlns:a16="http://schemas.microsoft.com/office/drawing/2014/main" id="{00000000-0008-0000-0400-00000A000000}"/>
            </a:ext>
          </a:extLst>
        </xdr:cNvPr>
        <xdr:cNvGrpSpPr/>
      </xdr:nvGrpSpPr>
      <xdr:grpSpPr>
        <a:xfrm>
          <a:off x="6557669" y="12108156"/>
          <a:ext cx="1066800" cy="1752600"/>
          <a:chOff x="4812600" y="2903700"/>
          <a:chExt cx="1066800" cy="1752600"/>
        </a:xfrm>
      </xdr:grpSpPr>
      <xdr:grpSp>
        <xdr:nvGrpSpPr>
          <xdr:cNvPr id="41" name="Shape 41">
            <a:extLst>
              <a:ext uri="{FF2B5EF4-FFF2-40B4-BE49-F238E27FC236}">
                <a16:creationId xmlns:a16="http://schemas.microsoft.com/office/drawing/2014/main" id="{00000000-0008-0000-0400-000029000000}"/>
              </a:ext>
            </a:extLst>
          </xdr:cNvPr>
          <xdr:cNvGrpSpPr/>
        </xdr:nvGrpSpPr>
        <xdr:grpSpPr>
          <a:xfrm>
            <a:off x="4812600" y="2903700"/>
            <a:ext cx="1066800" cy="1752600"/>
            <a:chOff x="4812600" y="2903700"/>
            <a:chExt cx="1066800" cy="1752600"/>
          </a:xfrm>
        </xdr:grpSpPr>
        <xdr:sp macro="" textlink="">
          <xdr:nvSpPr>
            <xdr:cNvPr id="11" name="Shape 4">
              <a:extLst>
                <a:ext uri="{FF2B5EF4-FFF2-40B4-BE49-F238E27FC236}">
                  <a16:creationId xmlns:a16="http://schemas.microsoft.com/office/drawing/2014/main" id="{00000000-0008-0000-0400-00000B000000}"/>
                </a:ext>
              </a:extLst>
            </xdr:cNvPr>
            <xdr:cNvSpPr/>
          </xdr:nvSpPr>
          <xdr:spPr>
            <a:xfrm>
              <a:off x="4812600" y="2903700"/>
              <a:ext cx="1066800" cy="1752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42" name="Shape 42">
              <a:extLst>
                <a:ext uri="{FF2B5EF4-FFF2-40B4-BE49-F238E27FC236}">
                  <a16:creationId xmlns:a16="http://schemas.microsoft.com/office/drawing/2014/main" id="{00000000-0008-0000-0400-00002A000000}"/>
                </a:ext>
              </a:extLst>
            </xdr:cNvPr>
            <xdr:cNvGrpSpPr/>
          </xdr:nvGrpSpPr>
          <xdr:grpSpPr>
            <a:xfrm>
              <a:off x="4812600" y="2903700"/>
              <a:ext cx="1066800" cy="1752600"/>
              <a:chOff x="4831650" y="2922750"/>
              <a:chExt cx="1028700" cy="1714500"/>
            </a:xfrm>
          </xdr:grpSpPr>
          <xdr:sp macro="" textlink="">
            <xdr:nvSpPr>
              <xdr:cNvPr id="43" name="Shape 43">
                <a:extLst>
                  <a:ext uri="{FF2B5EF4-FFF2-40B4-BE49-F238E27FC236}">
                    <a16:creationId xmlns:a16="http://schemas.microsoft.com/office/drawing/2014/main" id="{00000000-0008-0000-0400-00002B000000}"/>
                  </a:ext>
                </a:extLst>
              </xdr:cNvPr>
              <xdr:cNvSpPr/>
            </xdr:nvSpPr>
            <xdr:spPr>
              <a:xfrm>
                <a:off x="4831650" y="2922750"/>
                <a:ext cx="1028700" cy="17145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44" name="Shape 44">
                <a:extLst>
                  <a:ext uri="{FF2B5EF4-FFF2-40B4-BE49-F238E27FC236}">
                    <a16:creationId xmlns:a16="http://schemas.microsoft.com/office/drawing/2014/main" id="{00000000-0008-0000-0400-00002C000000}"/>
                  </a:ext>
                </a:extLst>
              </xdr:cNvPr>
              <xdr:cNvCxnSpPr>
                <a:stCxn id="40" idx="2"/>
              </xdr:cNvCxnSpPr>
            </xdr:nvCxnSpPr>
            <xdr:spPr>
              <a:xfrm rot="10800000">
                <a:off x="4831650" y="2922750"/>
                <a:ext cx="1028700" cy="1714500"/>
              </a:xfrm>
              <a:prstGeom prst="straightConnector1">
                <a:avLst/>
              </a:prstGeom>
              <a:noFill/>
              <a:ln w="38100" cap="flat" cmpd="sng">
                <a:solidFill>
                  <a:schemeClr val="accent2"/>
                </a:solidFill>
                <a:prstDash val="solid"/>
                <a:miter lim="800000"/>
                <a:headEnd type="none" w="sm" len="sm"/>
                <a:tailEnd type="triangle" w="med" len="med"/>
              </a:ln>
            </xdr:spPr>
          </xdr:cxnSp>
        </xdr:grpSp>
      </xdr:grpSp>
    </xdr:grpSp>
    <xdr:clientData fLocksWithSheet="0"/>
  </xdr:oneCellAnchor>
  <xdr:oneCellAnchor>
    <xdr:from>
      <xdr:col>9</xdr:col>
      <xdr:colOff>638175</xdr:colOff>
      <xdr:row>75</xdr:row>
      <xdr:rowOff>28575</xdr:rowOff>
    </xdr:from>
    <xdr:ext cx="1104900" cy="581025"/>
    <xdr:sp macro="" textlink="">
      <xdr:nvSpPr>
        <xdr:cNvPr id="45" name="Shape 45">
          <a:extLst>
            <a:ext uri="{FF2B5EF4-FFF2-40B4-BE49-F238E27FC236}">
              <a16:creationId xmlns:a16="http://schemas.microsoft.com/office/drawing/2014/main" id="{00000000-0008-0000-0400-00002D000000}"/>
            </a:ext>
          </a:extLst>
        </xdr:cNvPr>
        <xdr:cNvSpPr/>
      </xdr:nvSpPr>
      <xdr:spPr>
        <a:xfrm>
          <a:off x="4812600" y="3508538"/>
          <a:ext cx="1066800" cy="542925"/>
        </a:xfrm>
        <a:prstGeom prst="ellipse">
          <a:avLst/>
        </a:prstGeom>
        <a:noFill/>
        <a:ln w="38100" cap="flat" cmpd="sng">
          <a:solidFill>
            <a:srgbClr val="FF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xdr:col>
      <xdr:colOff>2581275</xdr:colOff>
      <xdr:row>69</xdr:row>
      <xdr:rowOff>95250</xdr:rowOff>
    </xdr:from>
    <xdr:ext cx="6543675" cy="1352550"/>
    <xdr:grpSp>
      <xdr:nvGrpSpPr>
        <xdr:cNvPr id="12" name="Shape 2">
          <a:extLst>
            <a:ext uri="{FF2B5EF4-FFF2-40B4-BE49-F238E27FC236}">
              <a16:creationId xmlns:a16="http://schemas.microsoft.com/office/drawing/2014/main" id="{00000000-0008-0000-0400-00000C000000}"/>
            </a:ext>
          </a:extLst>
        </xdr:cNvPr>
        <xdr:cNvGrpSpPr/>
      </xdr:nvGrpSpPr>
      <xdr:grpSpPr>
        <a:xfrm>
          <a:off x="3606682" y="12513028"/>
          <a:ext cx="6543675" cy="1352550"/>
          <a:chOff x="2074163" y="3103725"/>
          <a:chExt cx="6543675" cy="1352550"/>
        </a:xfrm>
      </xdr:grpSpPr>
      <xdr:grpSp>
        <xdr:nvGrpSpPr>
          <xdr:cNvPr id="46" name="Shape 46">
            <a:extLst>
              <a:ext uri="{FF2B5EF4-FFF2-40B4-BE49-F238E27FC236}">
                <a16:creationId xmlns:a16="http://schemas.microsoft.com/office/drawing/2014/main" id="{00000000-0008-0000-0400-00002E000000}"/>
              </a:ext>
            </a:extLst>
          </xdr:cNvPr>
          <xdr:cNvGrpSpPr/>
        </xdr:nvGrpSpPr>
        <xdr:grpSpPr>
          <a:xfrm>
            <a:off x="2074163" y="3103725"/>
            <a:ext cx="6543675" cy="1352550"/>
            <a:chOff x="2074163" y="3103725"/>
            <a:chExt cx="6543675" cy="1352550"/>
          </a:xfrm>
        </xdr:grpSpPr>
        <xdr:sp macro="" textlink="">
          <xdr:nvSpPr>
            <xdr:cNvPr id="13" name="Shape 4">
              <a:extLst>
                <a:ext uri="{FF2B5EF4-FFF2-40B4-BE49-F238E27FC236}">
                  <a16:creationId xmlns:a16="http://schemas.microsoft.com/office/drawing/2014/main" id="{00000000-0008-0000-0400-00000D000000}"/>
                </a:ext>
              </a:extLst>
            </xdr:cNvPr>
            <xdr:cNvSpPr/>
          </xdr:nvSpPr>
          <xdr:spPr>
            <a:xfrm>
              <a:off x="2074163" y="3103725"/>
              <a:ext cx="6543675" cy="13525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47" name="Shape 47">
              <a:extLst>
                <a:ext uri="{FF2B5EF4-FFF2-40B4-BE49-F238E27FC236}">
                  <a16:creationId xmlns:a16="http://schemas.microsoft.com/office/drawing/2014/main" id="{00000000-0008-0000-0400-00002F000000}"/>
                </a:ext>
              </a:extLst>
            </xdr:cNvPr>
            <xdr:cNvGrpSpPr/>
          </xdr:nvGrpSpPr>
          <xdr:grpSpPr>
            <a:xfrm>
              <a:off x="2074163" y="3103725"/>
              <a:ext cx="6543675" cy="1352550"/>
              <a:chOff x="2093213" y="3122775"/>
              <a:chExt cx="6505575" cy="1314450"/>
            </a:xfrm>
          </xdr:grpSpPr>
          <xdr:sp macro="" textlink="">
            <xdr:nvSpPr>
              <xdr:cNvPr id="48" name="Shape 48">
                <a:extLst>
                  <a:ext uri="{FF2B5EF4-FFF2-40B4-BE49-F238E27FC236}">
                    <a16:creationId xmlns:a16="http://schemas.microsoft.com/office/drawing/2014/main" id="{00000000-0008-0000-0400-000030000000}"/>
                  </a:ext>
                </a:extLst>
              </xdr:cNvPr>
              <xdr:cNvSpPr/>
            </xdr:nvSpPr>
            <xdr:spPr>
              <a:xfrm>
                <a:off x="2093213" y="3122775"/>
                <a:ext cx="6505575" cy="13144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49" name="Shape 49">
                <a:extLst>
                  <a:ext uri="{FF2B5EF4-FFF2-40B4-BE49-F238E27FC236}">
                    <a16:creationId xmlns:a16="http://schemas.microsoft.com/office/drawing/2014/main" id="{00000000-0008-0000-0400-000031000000}"/>
                  </a:ext>
                </a:extLst>
              </xdr:cNvPr>
              <xdr:cNvCxnSpPr/>
            </xdr:nvCxnSpPr>
            <xdr:spPr>
              <a:xfrm rot="10800000">
                <a:off x="2093213" y="3122775"/>
                <a:ext cx="6505575" cy="1314450"/>
              </a:xfrm>
              <a:prstGeom prst="straightConnector1">
                <a:avLst/>
              </a:prstGeom>
              <a:noFill/>
              <a:ln w="38100" cap="flat" cmpd="sng">
                <a:solidFill>
                  <a:srgbClr val="FF0000"/>
                </a:solidFill>
                <a:prstDash val="solid"/>
                <a:miter lim="800000"/>
                <a:headEnd type="none" w="sm" len="sm"/>
                <a:tailEnd type="triangle" w="med" len="med"/>
              </a:ln>
            </xdr:spPr>
          </xdr:cxnSp>
        </xdr:grpSp>
      </xdr:grpSp>
    </xdr:grpSp>
    <xdr:clientData fLocksWithSheet="0"/>
  </xdr:oneCellAnchor>
  <xdr:oneCellAnchor>
    <xdr:from>
      <xdr:col>8</xdr:col>
      <xdr:colOff>47625</xdr:colOff>
      <xdr:row>101</xdr:row>
      <xdr:rowOff>85725</xdr:rowOff>
    </xdr:from>
    <xdr:ext cx="3962400" cy="781050"/>
    <xdr:sp macro="" textlink="">
      <xdr:nvSpPr>
        <xdr:cNvPr id="50" name="Shape 50">
          <a:extLst>
            <a:ext uri="{FF2B5EF4-FFF2-40B4-BE49-F238E27FC236}">
              <a16:creationId xmlns:a16="http://schemas.microsoft.com/office/drawing/2014/main" id="{00000000-0008-0000-0400-000032000000}"/>
            </a:ext>
          </a:extLst>
        </xdr:cNvPr>
        <xdr:cNvSpPr/>
      </xdr:nvSpPr>
      <xdr:spPr>
        <a:xfrm rot="10800000" flipH="1">
          <a:off x="3379088" y="3408525"/>
          <a:ext cx="3933825" cy="742950"/>
        </a:xfrm>
        <a:prstGeom prst="ellipse">
          <a:avLst/>
        </a:prstGeom>
        <a:noFill/>
        <a:ln w="38100" cap="flat" cmpd="sng">
          <a:solidFill>
            <a:srgbClr val="FF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xdr:col>
      <xdr:colOff>1638300</xdr:colOff>
      <xdr:row>97</xdr:row>
      <xdr:rowOff>123825</xdr:rowOff>
    </xdr:from>
    <xdr:ext cx="6334125" cy="1200150"/>
    <xdr:grpSp>
      <xdr:nvGrpSpPr>
        <xdr:cNvPr id="14" name="Shape 2">
          <a:extLst>
            <a:ext uri="{FF2B5EF4-FFF2-40B4-BE49-F238E27FC236}">
              <a16:creationId xmlns:a16="http://schemas.microsoft.com/office/drawing/2014/main" id="{00000000-0008-0000-0400-00000E000000}"/>
            </a:ext>
          </a:extLst>
        </xdr:cNvPr>
        <xdr:cNvGrpSpPr/>
      </xdr:nvGrpSpPr>
      <xdr:grpSpPr>
        <a:xfrm>
          <a:off x="2663707" y="17640418"/>
          <a:ext cx="6334125" cy="1200150"/>
          <a:chOff x="2178938" y="3179925"/>
          <a:chExt cx="6334125" cy="1200150"/>
        </a:xfrm>
      </xdr:grpSpPr>
      <xdr:grpSp>
        <xdr:nvGrpSpPr>
          <xdr:cNvPr id="51" name="Shape 51">
            <a:extLst>
              <a:ext uri="{FF2B5EF4-FFF2-40B4-BE49-F238E27FC236}">
                <a16:creationId xmlns:a16="http://schemas.microsoft.com/office/drawing/2014/main" id="{00000000-0008-0000-0400-000033000000}"/>
              </a:ext>
            </a:extLst>
          </xdr:cNvPr>
          <xdr:cNvGrpSpPr/>
        </xdr:nvGrpSpPr>
        <xdr:grpSpPr>
          <a:xfrm>
            <a:off x="2178938" y="3179925"/>
            <a:ext cx="6334125" cy="1200150"/>
            <a:chOff x="2178938" y="3179925"/>
            <a:chExt cx="6334125" cy="1200150"/>
          </a:xfrm>
        </xdr:grpSpPr>
        <xdr:sp macro="" textlink="">
          <xdr:nvSpPr>
            <xdr:cNvPr id="15" name="Shape 4">
              <a:extLst>
                <a:ext uri="{FF2B5EF4-FFF2-40B4-BE49-F238E27FC236}">
                  <a16:creationId xmlns:a16="http://schemas.microsoft.com/office/drawing/2014/main" id="{00000000-0008-0000-0400-00000F000000}"/>
                </a:ext>
              </a:extLst>
            </xdr:cNvPr>
            <xdr:cNvSpPr/>
          </xdr:nvSpPr>
          <xdr:spPr>
            <a:xfrm>
              <a:off x="2178938" y="3179925"/>
              <a:ext cx="6334125" cy="1200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52" name="Shape 52">
              <a:extLst>
                <a:ext uri="{FF2B5EF4-FFF2-40B4-BE49-F238E27FC236}">
                  <a16:creationId xmlns:a16="http://schemas.microsoft.com/office/drawing/2014/main" id="{00000000-0008-0000-0400-000034000000}"/>
                </a:ext>
              </a:extLst>
            </xdr:cNvPr>
            <xdr:cNvGrpSpPr/>
          </xdr:nvGrpSpPr>
          <xdr:grpSpPr>
            <a:xfrm>
              <a:off x="2178938" y="3179925"/>
              <a:ext cx="6334125" cy="1200150"/>
              <a:chOff x="2197988" y="3198975"/>
              <a:chExt cx="6296025" cy="1162050"/>
            </a:xfrm>
          </xdr:grpSpPr>
          <xdr:sp macro="" textlink="">
            <xdr:nvSpPr>
              <xdr:cNvPr id="53" name="Shape 53">
                <a:extLst>
                  <a:ext uri="{FF2B5EF4-FFF2-40B4-BE49-F238E27FC236}">
                    <a16:creationId xmlns:a16="http://schemas.microsoft.com/office/drawing/2014/main" id="{00000000-0008-0000-0400-000035000000}"/>
                  </a:ext>
                </a:extLst>
              </xdr:cNvPr>
              <xdr:cNvSpPr/>
            </xdr:nvSpPr>
            <xdr:spPr>
              <a:xfrm>
                <a:off x="2197988" y="3198975"/>
                <a:ext cx="6296025" cy="11620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54" name="Shape 54">
                <a:extLst>
                  <a:ext uri="{FF2B5EF4-FFF2-40B4-BE49-F238E27FC236}">
                    <a16:creationId xmlns:a16="http://schemas.microsoft.com/office/drawing/2014/main" id="{00000000-0008-0000-0400-000036000000}"/>
                  </a:ext>
                </a:extLst>
              </xdr:cNvPr>
              <xdr:cNvCxnSpPr/>
            </xdr:nvCxnSpPr>
            <xdr:spPr>
              <a:xfrm rot="10800000">
                <a:off x="2197988" y="3198975"/>
                <a:ext cx="6296025" cy="1162050"/>
              </a:xfrm>
              <a:prstGeom prst="straightConnector1">
                <a:avLst/>
              </a:prstGeom>
              <a:noFill/>
              <a:ln w="38100" cap="flat" cmpd="sng">
                <a:solidFill>
                  <a:srgbClr val="FF0000"/>
                </a:solidFill>
                <a:prstDash val="solid"/>
                <a:miter lim="800000"/>
                <a:headEnd type="none" w="sm" len="sm"/>
                <a:tailEnd type="triangle" w="med" len="med"/>
              </a:ln>
            </xdr:spPr>
          </xdr:cxnSp>
        </xdr:grpSp>
      </xdr:grpSp>
    </xdr:grpSp>
    <xdr:clientData fLocksWithSheet="0"/>
  </xdr:oneCellAnchor>
  <xdr:oneCellAnchor>
    <xdr:from>
      <xdr:col>5</xdr:col>
      <xdr:colOff>457200</xdr:colOff>
      <xdr:row>105</xdr:row>
      <xdr:rowOff>0</xdr:rowOff>
    </xdr:from>
    <xdr:ext cx="1524000" cy="552450"/>
    <xdr:sp macro="" textlink="">
      <xdr:nvSpPr>
        <xdr:cNvPr id="55" name="Shape 55">
          <a:extLst>
            <a:ext uri="{FF2B5EF4-FFF2-40B4-BE49-F238E27FC236}">
              <a16:creationId xmlns:a16="http://schemas.microsoft.com/office/drawing/2014/main" id="{00000000-0008-0000-0400-000037000000}"/>
            </a:ext>
          </a:extLst>
        </xdr:cNvPr>
        <xdr:cNvSpPr/>
      </xdr:nvSpPr>
      <xdr:spPr>
        <a:xfrm rot="10800000" flipH="1">
          <a:off x="4603050" y="3518063"/>
          <a:ext cx="1485900" cy="523875"/>
        </a:xfrm>
        <a:prstGeom prst="ellipse">
          <a:avLst/>
        </a:prstGeom>
        <a:noFill/>
        <a:ln w="38100" cap="flat" cmpd="sng">
          <a:solidFill>
            <a:srgbClr val="AC5B23"/>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xdr:col>
      <xdr:colOff>1028700</xdr:colOff>
      <xdr:row>99</xdr:row>
      <xdr:rowOff>104775</xdr:rowOff>
    </xdr:from>
    <xdr:ext cx="4848225" cy="1276350"/>
    <xdr:grpSp>
      <xdr:nvGrpSpPr>
        <xdr:cNvPr id="16" name="Shape 2">
          <a:extLst>
            <a:ext uri="{FF2B5EF4-FFF2-40B4-BE49-F238E27FC236}">
              <a16:creationId xmlns:a16="http://schemas.microsoft.com/office/drawing/2014/main" id="{00000000-0008-0000-0400-000010000000}"/>
            </a:ext>
          </a:extLst>
        </xdr:cNvPr>
        <xdr:cNvGrpSpPr/>
      </xdr:nvGrpSpPr>
      <xdr:grpSpPr>
        <a:xfrm>
          <a:off x="2054107" y="17978849"/>
          <a:ext cx="4848225" cy="1276350"/>
          <a:chOff x="2921888" y="3141825"/>
          <a:chExt cx="4848226" cy="1276350"/>
        </a:xfrm>
      </xdr:grpSpPr>
      <xdr:grpSp>
        <xdr:nvGrpSpPr>
          <xdr:cNvPr id="56" name="Shape 56">
            <a:extLst>
              <a:ext uri="{FF2B5EF4-FFF2-40B4-BE49-F238E27FC236}">
                <a16:creationId xmlns:a16="http://schemas.microsoft.com/office/drawing/2014/main" id="{00000000-0008-0000-0400-000038000000}"/>
              </a:ext>
            </a:extLst>
          </xdr:cNvPr>
          <xdr:cNvGrpSpPr/>
        </xdr:nvGrpSpPr>
        <xdr:grpSpPr>
          <a:xfrm>
            <a:off x="2921888" y="3141825"/>
            <a:ext cx="4848226" cy="1276350"/>
            <a:chOff x="2921888" y="3141825"/>
            <a:chExt cx="4848226" cy="1276350"/>
          </a:xfrm>
        </xdr:grpSpPr>
        <xdr:sp macro="" textlink="">
          <xdr:nvSpPr>
            <xdr:cNvPr id="17" name="Shape 4">
              <a:extLst>
                <a:ext uri="{FF2B5EF4-FFF2-40B4-BE49-F238E27FC236}">
                  <a16:creationId xmlns:a16="http://schemas.microsoft.com/office/drawing/2014/main" id="{00000000-0008-0000-0400-000011000000}"/>
                </a:ext>
              </a:extLst>
            </xdr:cNvPr>
            <xdr:cNvSpPr/>
          </xdr:nvSpPr>
          <xdr:spPr>
            <a:xfrm>
              <a:off x="2921888" y="3141825"/>
              <a:ext cx="4848225" cy="12763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57" name="Shape 57">
              <a:extLst>
                <a:ext uri="{FF2B5EF4-FFF2-40B4-BE49-F238E27FC236}">
                  <a16:creationId xmlns:a16="http://schemas.microsoft.com/office/drawing/2014/main" id="{00000000-0008-0000-0400-000039000000}"/>
                </a:ext>
              </a:extLst>
            </xdr:cNvPr>
            <xdr:cNvGrpSpPr/>
          </xdr:nvGrpSpPr>
          <xdr:grpSpPr>
            <a:xfrm>
              <a:off x="2921888" y="3141825"/>
              <a:ext cx="4848225" cy="1276350"/>
              <a:chOff x="2940863" y="3156188"/>
              <a:chExt cx="4810200" cy="1247700"/>
            </a:xfrm>
          </xdr:grpSpPr>
          <xdr:sp macro="" textlink="">
            <xdr:nvSpPr>
              <xdr:cNvPr id="58" name="Shape 58">
                <a:extLst>
                  <a:ext uri="{FF2B5EF4-FFF2-40B4-BE49-F238E27FC236}">
                    <a16:creationId xmlns:a16="http://schemas.microsoft.com/office/drawing/2014/main" id="{00000000-0008-0000-0400-00003A000000}"/>
                  </a:ext>
                </a:extLst>
              </xdr:cNvPr>
              <xdr:cNvSpPr/>
            </xdr:nvSpPr>
            <xdr:spPr>
              <a:xfrm>
                <a:off x="2940863" y="3156188"/>
                <a:ext cx="4810200" cy="12477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59" name="Shape 59">
                <a:extLst>
                  <a:ext uri="{FF2B5EF4-FFF2-40B4-BE49-F238E27FC236}">
                    <a16:creationId xmlns:a16="http://schemas.microsoft.com/office/drawing/2014/main" id="{00000000-0008-0000-0400-00003B000000}"/>
                  </a:ext>
                </a:extLst>
              </xdr:cNvPr>
              <xdr:cNvCxnSpPr>
                <a:stCxn id="52" idx="2"/>
              </xdr:cNvCxnSpPr>
            </xdr:nvCxnSpPr>
            <xdr:spPr>
              <a:xfrm rot="10800000">
                <a:off x="2940863" y="3156188"/>
                <a:ext cx="4810200" cy="1247700"/>
              </a:xfrm>
              <a:prstGeom prst="straightConnector1">
                <a:avLst/>
              </a:prstGeom>
              <a:noFill/>
              <a:ln w="38100" cap="flat" cmpd="sng">
                <a:solidFill>
                  <a:schemeClr val="accent2"/>
                </a:solidFill>
                <a:prstDash val="solid"/>
                <a:miter lim="800000"/>
                <a:headEnd type="none" w="sm" len="sm"/>
                <a:tailEnd type="triangle" w="med" len="med"/>
              </a:ln>
            </xdr:spPr>
          </xdr:cxnSp>
        </xdr:grpSp>
      </xdr:grpSp>
    </xdr:grpSp>
    <xdr:clientData fLocksWithSheet="0"/>
  </xdr:oneCellAnchor>
  <xdr:oneCellAnchor>
    <xdr:from>
      <xdr:col>8</xdr:col>
      <xdr:colOff>85725</xdr:colOff>
      <xdr:row>105</xdr:row>
      <xdr:rowOff>-9525</xdr:rowOff>
    </xdr:from>
    <xdr:ext cx="533400" cy="619125"/>
    <xdr:sp macro="" textlink="">
      <xdr:nvSpPr>
        <xdr:cNvPr id="60" name="Shape 60">
          <a:extLst>
            <a:ext uri="{FF2B5EF4-FFF2-40B4-BE49-F238E27FC236}">
              <a16:creationId xmlns:a16="http://schemas.microsoft.com/office/drawing/2014/main" id="{00000000-0008-0000-0400-00003C000000}"/>
            </a:ext>
          </a:extLst>
        </xdr:cNvPr>
        <xdr:cNvSpPr/>
      </xdr:nvSpPr>
      <xdr:spPr>
        <a:xfrm>
          <a:off x="5098350" y="3489488"/>
          <a:ext cx="495300" cy="581025"/>
        </a:xfrm>
        <a:prstGeom prst="ellipse">
          <a:avLst/>
        </a:prstGeom>
        <a:noFill/>
        <a:ln w="38100" cap="flat" cmpd="sng">
          <a:solidFill>
            <a:srgbClr val="517E33"/>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542925</xdr:colOff>
      <xdr:row>101</xdr:row>
      <xdr:rowOff>85725</xdr:rowOff>
    </xdr:from>
    <xdr:ext cx="4048125" cy="962025"/>
    <xdr:grpSp>
      <xdr:nvGrpSpPr>
        <xdr:cNvPr id="18" name="Shape 2">
          <a:extLst>
            <a:ext uri="{FF2B5EF4-FFF2-40B4-BE49-F238E27FC236}">
              <a16:creationId xmlns:a16="http://schemas.microsoft.com/office/drawing/2014/main" id="{00000000-0008-0000-0400-000012000000}"/>
            </a:ext>
          </a:extLst>
        </xdr:cNvPr>
        <xdr:cNvGrpSpPr/>
      </xdr:nvGrpSpPr>
      <xdr:grpSpPr>
        <a:xfrm>
          <a:off x="5716999" y="18317281"/>
          <a:ext cx="4048125" cy="962025"/>
          <a:chOff x="3321938" y="3298988"/>
          <a:chExt cx="4048125" cy="962025"/>
        </a:xfrm>
      </xdr:grpSpPr>
      <xdr:grpSp>
        <xdr:nvGrpSpPr>
          <xdr:cNvPr id="61" name="Shape 61">
            <a:extLst>
              <a:ext uri="{FF2B5EF4-FFF2-40B4-BE49-F238E27FC236}">
                <a16:creationId xmlns:a16="http://schemas.microsoft.com/office/drawing/2014/main" id="{00000000-0008-0000-0400-00003D000000}"/>
              </a:ext>
            </a:extLst>
          </xdr:cNvPr>
          <xdr:cNvGrpSpPr/>
        </xdr:nvGrpSpPr>
        <xdr:grpSpPr>
          <a:xfrm>
            <a:off x="3321938" y="3298988"/>
            <a:ext cx="4048125" cy="962025"/>
            <a:chOff x="3321938" y="3298988"/>
            <a:chExt cx="4048125" cy="962025"/>
          </a:xfrm>
        </xdr:grpSpPr>
        <xdr:sp macro="" textlink="">
          <xdr:nvSpPr>
            <xdr:cNvPr id="19" name="Shape 4">
              <a:extLst>
                <a:ext uri="{FF2B5EF4-FFF2-40B4-BE49-F238E27FC236}">
                  <a16:creationId xmlns:a16="http://schemas.microsoft.com/office/drawing/2014/main" id="{00000000-0008-0000-0400-000013000000}"/>
                </a:ext>
              </a:extLst>
            </xdr:cNvPr>
            <xdr:cNvSpPr/>
          </xdr:nvSpPr>
          <xdr:spPr>
            <a:xfrm>
              <a:off x="3321938" y="3298988"/>
              <a:ext cx="4048125" cy="9620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2" name="Shape 62">
              <a:extLst>
                <a:ext uri="{FF2B5EF4-FFF2-40B4-BE49-F238E27FC236}">
                  <a16:creationId xmlns:a16="http://schemas.microsoft.com/office/drawing/2014/main" id="{00000000-0008-0000-0400-00003E000000}"/>
                </a:ext>
              </a:extLst>
            </xdr:cNvPr>
            <xdr:cNvGrpSpPr/>
          </xdr:nvGrpSpPr>
          <xdr:grpSpPr>
            <a:xfrm>
              <a:off x="3321938" y="3298988"/>
              <a:ext cx="4048125" cy="962025"/>
              <a:chOff x="3340913" y="3317963"/>
              <a:chExt cx="4010100" cy="924000"/>
            </a:xfrm>
          </xdr:grpSpPr>
          <xdr:sp macro="" textlink="">
            <xdr:nvSpPr>
              <xdr:cNvPr id="63" name="Shape 63">
                <a:extLst>
                  <a:ext uri="{FF2B5EF4-FFF2-40B4-BE49-F238E27FC236}">
                    <a16:creationId xmlns:a16="http://schemas.microsoft.com/office/drawing/2014/main" id="{00000000-0008-0000-0400-00003F000000}"/>
                  </a:ext>
                </a:extLst>
              </xdr:cNvPr>
              <xdr:cNvSpPr/>
            </xdr:nvSpPr>
            <xdr:spPr>
              <a:xfrm>
                <a:off x="3340913" y="3317963"/>
                <a:ext cx="4010100" cy="924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64" name="Shape 64">
                <a:extLst>
                  <a:ext uri="{FF2B5EF4-FFF2-40B4-BE49-F238E27FC236}">
                    <a16:creationId xmlns:a16="http://schemas.microsoft.com/office/drawing/2014/main" id="{00000000-0008-0000-0400-000040000000}"/>
                  </a:ext>
                </a:extLst>
              </xdr:cNvPr>
              <xdr:cNvCxnSpPr>
                <a:stCxn id="55" idx="2"/>
              </xdr:cNvCxnSpPr>
            </xdr:nvCxnSpPr>
            <xdr:spPr>
              <a:xfrm rot="10800000">
                <a:off x="3340913" y="3317963"/>
                <a:ext cx="4010100" cy="924000"/>
              </a:xfrm>
              <a:prstGeom prst="straightConnector1">
                <a:avLst/>
              </a:prstGeom>
              <a:noFill/>
              <a:ln w="38100" cap="flat" cmpd="sng">
                <a:solidFill>
                  <a:schemeClr val="accent6"/>
                </a:solidFill>
                <a:prstDash val="solid"/>
                <a:miter lim="800000"/>
                <a:headEnd type="none" w="sm" len="sm"/>
                <a:tailEnd type="triangle" w="med" len="med"/>
              </a:ln>
            </xdr:spPr>
          </xdr:cxnSp>
        </xdr:grpSp>
      </xdr:grpSp>
    </xdr:grpSp>
    <xdr:clientData fLocksWithSheet="0"/>
  </xdr:oneCellAnchor>
  <xdr:oneCellAnchor>
    <xdr:from>
      <xdr:col>12</xdr:col>
      <xdr:colOff>542925</xdr:colOff>
      <xdr:row>105</xdr:row>
      <xdr:rowOff>28575</xdr:rowOff>
    </xdr:from>
    <xdr:ext cx="1314450" cy="1714500"/>
    <xdr:sp macro="" textlink="">
      <xdr:nvSpPr>
        <xdr:cNvPr id="65" name="Shape 65">
          <a:extLst>
            <a:ext uri="{FF2B5EF4-FFF2-40B4-BE49-F238E27FC236}">
              <a16:creationId xmlns:a16="http://schemas.microsoft.com/office/drawing/2014/main" id="{00000000-0008-0000-0400-000041000000}"/>
            </a:ext>
          </a:extLst>
        </xdr:cNvPr>
        <xdr:cNvSpPr/>
      </xdr:nvSpPr>
      <xdr:spPr>
        <a:xfrm>
          <a:off x="4707825" y="2941800"/>
          <a:ext cx="1276350" cy="1676400"/>
        </a:xfrm>
        <a:prstGeom prst="ellipse">
          <a:avLst/>
        </a:prstGeom>
        <a:noFill/>
        <a:ln w="38100" cap="flat" cmpd="sng">
          <a:solidFill>
            <a:schemeClr val="dk1"/>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76200</xdr:colOff>
      <xdr:row>106</xdr:row>
      <xdr:rowOff>76200</xdr:rowOff>
    </xdr:from>
    <xdr:ext cx="8162925" cy="647700"/>
    <xdr:grpSp>
      <xdr:nvGrpSpPr>
        <xdr:cNvPr id="66" name="Shape 2">
          <a:extLst>
            <a:ext uri="{FF2B5EF4-FFF2-40B4-BE49-F238E27FC236}">
              <a16:creationId xmlns:a16="http://schemas.microsoft.com/office/drawing/2014/main" id="{00000000-0008-0000-0400-000042000000}"/>
            </a:ext>
          </a:extLst>
        </xdr:cNvPr>
        <xdr:cNvGrpSpPr/>
      </xdr:nvGrpSpPr>
      <xdr:grpSpPr>
        <a:xfrm>
          <a:off x="5250274" y="19201459"/>
          <a:ext cx="8162925" cy="647700"/>
          <a:chOff x="1264538" y="3456150"/>
          <a:chExt cx="8162925" cy="647700"/>
        </a:xfrm>
      </xdr:grpSpPr>
      <xdr:grpSp>
        <xdr:nvGrpSpPr>
          <xdr:cNvPr id="67" name="Shape 66">
            <a:extLst>
              <a:ext uri="{FF2B5EF4-FFF2-40B4-BE49-F238E27FC236}">
                <a16:creationId xmlns:a16="http://schemas.microsoft.com/office/drawing/2014/main" id="{00000000-0008-0000-0400-000043000000}"/>
              </a:ext>
            </a:extLst>
          </xdr:cNvPr>
          <xdr:cNvGrpSpPr/>
        </xdr:nvGrpSpPr>
        <xdr:grpSpPr>
          <a:xfrm>
            <a:off x="1264538" y="3456150"/>
            <a:ext cx="8162925" cy="647700"/>
            <a:chOff x="1264538" y="3456150"/>
            <a:chExt cx="8162925" cy="647700"/>
          </a:xfrm>
        </xdr:grpSpPr>
        <xdr:sp macro="" textlink="">
          <xdr:nvSpPr>
            <xdr:cNvPr id="68" name="Shape 4">
              <a:extLst>
                <a:ext uri="{FF2B5EF4-FFF2-40B4-BE49-F238E27FC236}">
                  <a16:creationId xmlns:a16="http://schemas.microsoft.com/office/drawing/2014/main" id="{00000000-0008-0000-0400-000044000000}"/>
                </a:ext>
              </a:extLst>
            </xdr:cNvPr>
            <xdr:cNvSpPr/>
          </xdr:nvSpPr>
          <xdr:spPr>
            <a:xfrm>
              <a:off x="1264538" y="3456150"/>
              <a:ext cx="8162925" cy="6477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9" name="Shape 67">
              <a:extLst>
                <a:ext uri="{FF2B5EF4-FFF2-40B4-BE49-F238E27FC236}">
                  <a16:creationId xmlns:a16="http://schemas.microsoft.com/office/drawing/2014/main" id="{00000000-0008-0000-0400-000045000000}"/>
                </a:ext>
              </a:extLst>
            </xdr:cNvPr>
            <xdr:cNvGrpSpPr/>
          </xdr:nvGrpSpPr>
          <xdr:grpSpPr>
            <a:xfrm>
              <a:off x="1264538" y="3456150"/>
              <a:ext cx="8162925" cy="647700"/>
              <a:chOff x="1283513" y="3475200"/>
              <a:chExt cx="8124900" cy="609600"/>
            </a:xfrm>
          </xdr:grpSpPr>
          <xdr:sp macro="" textlink="">
            <xdr:nvSpPr>
              <xdr:cNvPr id="70" name="Shape 68">
                <a:extLst>
                  <a:ext uri="{FF2B5EF4-FFF2-40B4-BE49-F238E27FC236}">
                    <a16:creationId xmlns:a16="http://schemas.microsoft.com/office/drawing/2014/main" id="{00000000-0008-0000-0400-000046000000}"/>
                  </a:ext>
                </a:extLst>
              </xdr:cNvPr>
              <xdr:cNvSpPr/>
            </xdr:nvSpPr>
            <xdr:spPr>
              <a:xfrm>
                <a:off x="1283513" y="3475200"/>
                <a:ext cx="8124900" cy="609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71" name="Shape 69">
                <a:extLst>
                  <a:ext uri="{FF2B5EF4-FFF2-40B4-BE49-F238E27FC236}">
                    <a16:creationId xmlns:a16="http://schemas.microsoft.com/office/drawing/2014/main" id="{00000000-0008-0000-0400-000047000000}"/>
                  </a:ext>
                </a:extLst>
              </xdr:cNvPr>
              <xdr:cNvCxnSpPr>
                <a:stCxn id="58" idx="2"/>
              </xdr:cNvCxnSpPr>
            </xdr:nvCxnSpPr>
            <xdr:spPr>
              <a:xfrm rot="10800000">
                <a:off x="1283513" y="3475200"/>
                <a:ext cx="8124900" cy="609600"/>
              </a:xfrm>
              <a:prstGeom prst="straightConnector1">
                <a:avLst/>
              </a:prstGeom>
              <a:noFill/>
              <a:ln w="38100" cap="flat" cmpd="sng">
                <a:solidFill>
                  <a:schemeClr val="dk1"/>
                </a:solidFill>
                <a:prstDash val="solid"/>
                <a:miter lim="800000"/>
                <a:headEnd type="none" w="sm" len="sm"/>
                <a:tailEnd type="triangle" w="med" len="med"/>
              </a:ln>
            </xdr:spPr>
          </xdr:cxnSp>
        </xdr:grpSp>
      </xdr:grpSp>
    </xdr:grpSp>
    <xdr:clientData fLocksWithSheet="0"/>
  </xdr:oneCellAnchor>
  <xdr:oneCellAnchor>
    <xdr:from>
      <xdr:col>8</xdr:col>
      <xdr:colOff>95250</xdr:colOff>
      <xdr:row>133</xdr:row>
      <xdr:rowOff>142875</xdr:rowOff>
    </xdr:from>
    <xdr:ext cx="3971925" cy="666750"/>
    <xdr:sp macro="" textlink="">
      <xdr:nvSpPr>
        <xdr:cNvPr id="72" name="Shape 70">
          <a:extLst>
            <a:ext uri="{FF2B5EF4-FFF2-40B4-BE49-F238E27FC236}">
              <a16:creationId xmlns:a16="http://schemas.microsoft.com/office/drawing/2014/main" id="{00000000-0008-0000-0400-000048000000}"/>
            </a:ext>
          </a:extLst>
        </xdr:cNvPr>
        <xdr:cNvSpPr/>
      </xdr:nvSpPr>
      <xdr:spPr>
        <a:xfrm rot="10800000" flipH="1">
          <a:off x="3379088" y="3465675"/>
          <a:ext cx="3933825" cy="628650"/>
        </a:xfrm>
        <a:prstGeom prst="ellipse">
          <a:avLst/>
        </a:prstGeom>
        <a:noFill/>
        <a:ln w="38100" cap="flat" cmpd="sng">
          <a:solidFill>
            <a:srgbClr val="FF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xdr:col>
      <xdr:colOff>3028950</xdr:colOff>
      <xdr:row>133</xdr:row>
      <xdr:rowOff>142875</xdr:rowOff>
    </xdr:from>
    <xdr:ext cx="4933950" cy="352425"/>
    <xdr:grpSp>
      <xdr:nvGrpSpPr>
        <xdr:cNvPr id="73" name="Shape 2" title="Drawing">
          <a:extLst>
            <a:ext uri="{FF2B5EF4-FFF2-40B4-BE49-F238E27FC236}">
              <a16:creationId xmlns:a16="http://schemas.microsoft.com/office/drawing/2014/main" id="{00000000-0008-0000-0400-000049000000}"/>
            </a:ext>
          </a:extLst>
        </xdr:cNvPr>
        <xdr:cNvGrpSpPr/>
      </xdr:nvGrpSpPr>
      <xdr:grpSpPr>
        <a:xfrm>
          <a:off x="4054357" y="24329319"/>
          <a:ext cx="4933950" cy="352425"/>
          <a:chOff x="2879025" y="3603788"/>
          <a:chExt cx="4933950" cy="352425"/>
        </a:xfrm>
      </xdr:grpSpPr>
      <xdr:grpSp>
        <xdr:nvGrpSpPr>
          <xdr:cNvPr id="74" name="Shape 71">
            <a:extLst>
              <a:ext uri="{FF2B5EF4-FFF2-40B4-BE49-F238E27FC236}">
                <a16:creationId xmlns:a16="http://schemas.microsoft.com/office/drawing/2014/main" id="{00000000-0008-0000-0400-00004A000000}"/>
              </a:ext>
            </a:extLst>
          </xdr:cNvPr>
          <xdr:cNvGrpSpPr/>
        </xdr:nvGrpSpPr>
        <xdr:grpSpPr>
          <a:xfrm>
            <a:off x="2879025" y="3603788"/>
            <a:ext cx="4933950" cy="352425"/>
            <a:chOff x="2879025" y="3603788"/>
            <a:chExt cx="4933950" cy="352425"/>
          </a:xfrm>
        </xdr:grpSpPr>
        <xdr:sp macro="" textlink="">
          <xdr:nvSpPr>
            <xdr:cNvPr id="75" name="Shape 4">
              <a:extLst>
                <a:ext uri="{FF2B5EF4-FFF2-40B4-BE49-F238E27FC236}">
                  <a16:creationId xmlns:a16="http://schemas.microsoft.com/office/drawing/2014/main" id="{00000000-0008-0000-0400-00004B000000}"/>
                </a:ext>
              </a:extLst>
            </xdr:cNvPr>
            <xdr:cNvSpPr/>
          </xdr:nvSpPr>
          <xdr:spPr>
            <a:xfrm>
              <a:off x="2879025" y="3603788"/>
              <a:ext cx="4933950" cy="3524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76" name="Shape 72">
              <a:extLst>
                <a:ext uri="{FF2B5EF4-FFF2-40B4-BE49-F238E27FC236}">
                  <a16:creationId xmlns:a16="http://schemas.microsoft.com/office/drawing/2014/main" id="{00000000-0008-0000-0400-00004C000000}"/>
                </a:ext>
              </a:extLst>
            </xdr:cNvPr>
            <xdr:cNvGrpSpPr/>
          </xdr:nvGrpSpPr>
          <xdr:grpSpPr>
            <a:xfrm>
              <a:off x="2879025" y="3603788"/>
              <a:ext cx="4933950" cy="352425"/>
              <a:chOff x="2897925" y="3622763"/>
              <a:chExt cx="4896000" cy="314400"/>
            </a:xfrm>
          </xdr:grpSpPr>
          <xdr:sp macro="" textlink="">
            <xdr:nvSpPr>
              <xdr:cNvPr id="77" name="Shape 73">
                <a:extLst>
                  <a:ext uri="{FF2B5EF4-FFF2-40B4-BE49-F238E27FC236}">
                    <a16:creationId xmlns:a16="http://schemas.microsoft.com/office/drawing/2014/main" id="{00000000-0008-0000-0400-00004D000000}"/>
                  </a:ext>
                </a:extLst>
              </xdr:cNvPr>
              <xdr:cNvSpPr/>
            </xdr:nvSpPr>
            <xdr:spPr>
              <a:xfrm>
                <a:off x="2897925" y="3622763"/>
                <a:ext cx="4896000" cy="3144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78" name="Shape 74">
                <a:extLst>
                  <a:ext uri="{FF2B5EF4-FFF2-40B4-BE49-F238E27FC236}">
                    <a16:creationId xmlns:a16="http://schemas.microsoft.com/office/drawing/2014/main" id="{00000000-0008-0000-0400-00004E000000}"/>
                  </a:ext>
                </a:extLst>
              </xdr:cNvPr>
              <xdr:cNvCxnSpPr>
                <a:stCxn id="61" idx="2"/>
              </xdr:cNvCxnSpPr>
            </xdr:nvCxnSpPr>
            <xdr:spPr>
              <a:xfrm rot="10800000">
                <a:off x="2897925" y="3622763"/>
                <a:ext cx="4896000" cy="314400"/>
              </a:xfrm>
              <a:prstGeom prst="straightConnector1">
                <a:avLst/>
              </a:prstGeom>
              <a:noFill/>
              <a:ln w="38100" cap="flat" cmpd="sng">
                <a:solidFill>
                  <a:srgbClr val="FF0000"/>
                </a:solidFill>
                <a:prstDash val="solid"/>
                <a:miter lim="800000"/>
                <a:headEnd type="none" w="sm" len="sm"/>
                <a:tailEnd type="triangle" w="med" len="med"/>
              </a:ln>
            </xdr:spPr>
          </xdr:cxnSp>
        </xdr:grpSp>
      </xdr:grpSp>
    </xdr:grpSp>
    <xdr:clientData fLocksWithSheet="0"/>
  </xdr:oneCellAnchor>
  <xdr:oneCellAnchor>
    <xdr:from>
      <xdr:col>3</xdr:col>
      <xdr:colOff>476250</xdr:colOff>
      <xdr:row>139</xdr:row>
      <xdr:rowOff>123825</xdr:rowOff>
    </xdr:from>
    <xdr:ext cx="1314450" cy="838200"/>
    <xdr:sp macro="" textlink="">
      <xdr:nvSpPr>
        <xdr:cNvPr id="79" name="Shape 75">
          <a:extLst>
            <a:ext uri="{FF2B5EF4-FFF2-40B4-BE49-F238E27FC236}">
              <a16:creationId xmlns:a16="http://schemas.microsoft.com/office/drawing/2014/main" id="{00000000-0008-0000-0400-00004F000000}"/>
            </a:ext>
          </a:extLst>
        </xdr:cNvPr>
        <xdr:cNvSpPr/>
      </xdr:nvSpPr>
      <xdr:spPr>
        <a:xfrm>
          <a:off x="4707825" y="3379950"/>
          <a:ext cx="1276350" cy="800100"/>
        </a:xfrm>
        <a:prstGeom prst="ellipse">
          <a:avLst/>
        </a:prstGeom>
        <a:noFill/>
        <a:ln w="38100" cap="flat" cmpd="sng">
          <a:solidFill>
            <a:schemeClr val="dk1"/>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xdr:col>
      <xdr:colOff>1038225</xdr:colOff>
      <xdr:row>135</xdr:row>
      <xdr:rowOff>95250</xdr:rowOff>
    </xdr:from>
    <xdr:ext cx="3562350" cy="1181100"/>
    <xdr:grpSp>
      <xdr:nvGrpSpPr>
        <xdr:cNvPr id="80" name="Shape 2" title="Drawing">
          <a:extLst>
            <a:ext uri="{FF2B5EF4-FFF2-40B4-BE49-F238E27FC236}">
              <a16:creationId xmlns:a16="http://schemas.microsoft.com/office/drawing/2014/main" id="{00000000-0008-0000-0400-000050000000}"/>
            </a:ext>
          </a:extLst>
        </xdr:cNvPr>
        <xdr:cNvGrpSpPr/>
      </xdr:nvGrpSpPr>
      <xdr:grpSpPr>
        <a:xfrm>
          <a:off x="2063632" y="24639176"/>
          <a:ext cx="3562350" cy="1181100"/>
          <a:chOff x="3564825" y="3189450"/>
          <a:chExt cx="3562350" cy="1181100"/>
        </a:xfrm>
      </xdr:grpSpPr>
      <xdr:grpSp>
        <xdr:nvGrpSpPr>
          <xdr:cNvPr id="81" name="Shape 76">
            <a:extLst>
              <a:ext uri="{FF2B5EF4-FFF2-40B4-BE49-F238E27FC236}">
                <a16:creationId xmlns:a16="http://schemas.microsoft.com/office/drawing/2014/main" id="{00000000-0008-0000-0400-000051000000}"/>
              </a:ext>
            </a:extLst>
          </xdr:cNvPr>
          <xdr:cNvGrpSpPr/>
        </xdr:nvGrpSpPr>
        <xdr:grpSpPr>
          <a:xfrm>
            <a:off x="3564825" y="3189450"/>
            <a:ext cx="3562350" cy="1181100"/>
            <a:chOff x="3564825" y="3189450"/>
            <a:chExt cx="3562350" cy="1181100"/>
          </a:xfrm>
        </xdr:grpSpPr>
        <xdr:sp macro="" textlink="">
          <xdr:nvSpPr>
            <xdr:cNvPr id="82" name="Shape 4">
              <a:extLst>
                <a:ext uri="{FF2B5EF4-FFF2-40B4-BE49-F238E27FC236}">
                  <a16:creationId xmlns:a16="http://schemas.microsoft.com/office/drawing/2014/main" id="{00000000-0008-0000-0400-000052000000}"/>
                </a:ext>
              </a:extLst>
            </xdr:cNvPr>
            <xdr:cNvSpPr/>
          </xdr:nvSpPr>
          <xdr:spPr>
            <a:xfrm>
              <a:off x="3564825" y="3189450"/>
              <a:ext cx="3562350" cy="1181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83" name="Shape 77">
              <a:extLst>
                <a:ext uri="{FF2B5EF4-FFF2-40B4-BE49-F238E27FC236}">
                  <a16:creationId xmlns:a16="http://schemas.microsoft.com/office/drawing/2014/main" id="{00000000-0008-0000-0400-000053000000}"/>
                </a:ext>
              </a:extLst>
            </xdr:cNvPr>
            <xdr:cNvGrpSpPr/>
          </xdr:nvGrpSpPr>
          <xdr:grpSpPr>
            <a:xfrm>
              <a:off x="3564825" y="3189450"/>
              <a:ext cx="3562350" cy="1181100"/>
              <a:chOff x="3584025" y="3208500"/>
              <a:chExt cx="3524100" cy="1143000"/>
            </a:xfrm>
          </xdr:grpSpPr>
          <xdr:sp macro="" textlink="">
            <xdr:nvSpPr>
              <xdr:cNvPr id="84" name="Shape 78">
                <a:extLst>
                  <a:ext uri="{FF2B5EF4-FFF2-40B4-BE49-F238E27FC236}">
                    <a16:creationId xmlns:a16="http://schemas.microsoft.com/office/drawing/2014/main" id="{00000000-0008-0000-0400-000054000000}"/>
                  </a:ext>
                </a:extLst>
              </xdr:cNvPr>
              <xdr:cNvSpPr/>
            </xdr:nvSpPr>
            <xdr:spPr>
              <a:xfrm>
                <a:off x="3584025" y="3208500"/>
                <a:ext cx="3524100" cy="1143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85" name="Shape 79">
                <a:extLst>
                  <a:ext uri="{FF2B5EF4-FFF2-40B4-BE49-F238E27FC236}">
                    <a16:creationId xmlns:a16="http://schemas.microsoft.com/office/drawing/2014/main" id="{00000000-0008-0000-0400-000055000000}"/>
                  </a:ext>
                </a:extLst>
              </xdr:cNvPr>
              <xdr:cNvCxnSpPr>
                <a:stCxn id="64" idx="2"/>
              </xdr:cNvCxnSpPr>
            </xdr:nvCxnSpPr>
            <xdr:spPr>
              <a:xfrm rot="10800000">
                <a:off x="3584025" y="3208500"/>
                <a:ext cx="3524100" cy="1143000"/>
              </a:xfrm>
              <a:prstGeom prst="straightConnector1">
                <a:avLst/>
              </a:prstGeom>
              <a:noFill/>
              <a:ln w="38100" cap="flat" cmpd="sng">
                <a:solidFill>
                  <a:schemeClr val="dk1"/>
                </a:solidFill>
                <a:prstDash val="solid"/>
                <a:miter lim="800000"/>
                <a:headEnd type="none" w="sm" len="sm"/>
                <a:tailEnd type="triangle" w="med" len="med"/>
              </a:ln>
            </xdr:spPr>
          </xdr:cxnSp>
        </xdr:grpSp>
      </xdr:grpSp>
    </xdr:grpSp>
    <xdr:clientData fLocksWithSheet="0"/>
  </xdr:oneCellAnchor>
  <xdr:oneCellAnchor>
    <xdr:from>
      <xdr:col>6</xdr:col>
      <xdr:colOff>600075</xdr:colOff>
      <xdr:row>140</xdr:row>
      <xdr:rowOff>76200</xdr:rowOff>
    </xdr:from>
    <xdr:ext cx="514350" cy="619125"/>
    <xdr:sp macro="" textlink="">
      <xdr:nvSpPr>
        <xdr:cNvPr id="86" name="Shape 80">
          <a:extLst>
            <a:ext uri="{FF2B5EF4-FFF2-40B4-BE49-F238E27FC236}">
              <a16:creationId xmlns:a16="http://schemas.microsoft.com/office/drawing/2014/main" id="{00000000-0008-0000-0400-000056000000}"/>
            </a:ext>
          </a:extLst>
        </xdr:cNvPr>
        <xdr:cNvSpPr/>
      </xdr:nvSpPr>
      <xdr:spPr>
        <a:xfrm>
          <a:off x="5107875" y="3489488"/>
          <a:ext cx="476250" cy="581025"/>
        </a:xfrm>
        <a:prstGeom prst="ellipse">
          <a:avLst/>
        </a:prstGeom>
        <a:noFill/>
        <a:ln w="38100" cap="flat" cmpd="sng">
          <a:solidFill>
            <a:srgbClr val="517E33"/>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342900</xdr:colOff>
      <xdr:row>137</xdr:row>
      <xdr:rowOff>142875</xdr:rowOff>
    </xdr:from>
    <xdr:ext cx="3152775" cy="800100"/>
    <xdr:grpSp>
      <xdr:nvGrpSpPr>
        <xdr:cNvPr id="87" name="Shape 2" title="Drawing">
          <a:extLst>
            <a:ext uri="{FF2B5EF4-FFF2-40B4-BE49-F238E27FC236}">
              <a16:creationId xmlns:a16="http://schemas.microsoft.com/office/drawing/2014/main" id="{00000000-0008-0000-0400-000057000000}"/>
            </a:ext>
          </a:extLst>
        </xdr:cNvPr>
        <xdr:cNvGrpSpPr/>
      </xdr:nvGrpSpPr>
      <xdr:grpSpPr>
        <a:xfrm>
          <a:off x="5516974" y="25044282"/>
          <a:ext cx="3152775" cy="800100"/>
          <a:chOff x="3769613" y="3379950"/>
          <a:chExt cx="3152775" cy="800100"/>
        </a:xfrm>
      </xdr:grpSpPr>
      <xdr:grpSp>
        <xdr:nvGrpSpPr>
          <xdr:cNvPr id="88" name="Shape 81">
            <a:extLst>
              <a:ext uri="{FF2B5EF4-FFF2-40B4-BE49-F238E27FC236}">
                <a16:creationId xmlns:a16="http://schemas.microsoft.com/office/drawing/2014/main" id="{00000000-0008-0000-0400-000058000000}"/>
              </a:ext>
            </a:extLst>
          </xdr:cNvPr>
          <xdr:cNvGrpSpPr/>
        </xdr:nvGrpSpPr>
        <xdr:grpSpPr>
          <a:xfrm>
            <a:off x="3769613" y="3379950"/>
            <a:ext cx="3152775" cy="800100"/>
            <a:chOff x="3769613" y="3379950"/>
            <a:chExt cx="3152775" cy="800100"/>
          </a:xfrm>
        </xdr:grpSpPr>
        <xdr:sp macro="" textlink="">
          <xdr:nvSpPr>
            <xdr:cNvPr id="89" name="Shape 4">
              <a:extLst>
                <a:ext uri="{FF2B5EF4-FFF2-40B4-BE49-F238E27FC236}">
                  <a16:creationId xmlns:a16="http://schemas.microsoft.com/office/drawing/2014/main" id="{00000000-0008-0000-0400-000059000000}"/>
                </a:ext>
              </a:extLst>
            </xdr:cNvPr>
            <xdr:cNvSpPr/>
          </xdr:nvSpPr>
          <xdr:spPr>
            <a:xfrm>
              <a:off x="3769613" y="3379950"/>
              <a:ext cx="3152775" cy="800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90" name="Shape 82">
              <a:extLst>
                <a:ext uri="{FF2B5EF4-FFF2-40B4-BE49-F238E27FC236}">
                  <a16:creationId xmlns:a16="http://schemas.microsoft.com/office/drawing/2014/main" id="{00000000-0008-0000-0400-00005A000000}"/>
                </a:ext>
              </a:extLst>
            </xdr:cNvPr>
            <xdr:cNvGrpSpPr/>
          </xdr:nvGrpSpPr>
          <xdr:grpSpPr>
            <a:xfrm>
              <a:off x="3769613" y="3379950"/>
              <a:ext cx="3152775" cy="800100"/>
              <a:chOff x="3788738" y="3399000"/>
              <a:chExt cx="3114600" cy="762000"/>
            </a:xfrm>
          </xdr:grpSpPr>
          <xdr:sp macro="" textlink="">
            <xdr:nvSpPr>
              <xdr:cNvPr id="91" name="Shape 83">
                <a:extLst>
                  <a:ext uri="{FF2B5EF4-FFF2-40B4-BE49-F238E27FC236}">
                    <a16:creationId xmlns:a16="http://schemas.microsoft.com/office/drawing/2014/main" id="{00000000-0008-0000-0400-00005B000000}"/>
                  </a:ext>
                </a:extLst>
              </xdr:cNvPr>
              <xdr:cNvSpPr/>
            </xdr:nvSpPr>
            <xdr:spPr>
              <a:xfrm>
                <a:off x="3788738" y="3399000"/>
                <a:ext cx="3114600" cy="762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92" name="Shape 84">
                <a:extLst>
                  <a:ext uri="{FF2B5EF4-FFF2-40B4-BE49-F238E27FC236}">
                    <a16:creationId xmlns:a16="http://schemas.microsoft.com/office/drawing/2014/main" id="{00000000-0008-0000-0400-00005C000000}"/>
                  </a:ext>
                </a:extLst>
              </xdr:cNvPr>
              <xdr:cNvCxnSpPr>
                <a:stCxn id="67" idx="2"/>
              </xdr:cNvCxnSpPr>
            </xdr:nvCxnSpPr>
            <xdr:spPr>
              <a:xfrm rot="10800000">
                <a:off x="3788738" y="3399000"/>
                <a:ext cx="3114600" cy="762000"/>
              </a:xfrm>
              <a:prstGeom prst="straightConnector1">
                <a:avLst/>
              </a:prstGeom>
              <a:noFill/>
              <a:ln w="38100" cap="flat" cmpd="sng">
                <a:solidFill>
                  <a:schemeClr val="accent6"/>
                </a:solidFill>
                <a:prstDash val="solid"/>
                <a:miter lim="800000"/>
                <a:headEnd type="none" w="sm" len="sm"/>
                <a:tailEnd type="triangle" w="med" len="med"/>
              </a:ln>
            </xdr:spPr>
          </xdr:cxnSp>
        </xdr:grpSp>
      </xdr:grpSp>
    </xdr:grpSp>
    <xdr:clientData fLocksWithSheet="0"/>
  </xdr:oneCellAnchor>
  <xdr:oneCellAnchor>
    <xdr:from>
      <xdr:col>9</xdr:col>
      <xdr:colOff>114300</xdr:colOff>
      <xdr:row>140</xdr:row>
      <xdr:rowOff>66675</xdr:rowOff>
    </xdr:from>
    <xdr:ext cx="561975" cy="600075"/>
    <xdr:sp macro="" textlink="">
      <xdr:nvSpPr>
        <xdr:cNvPr id="93" name="Shape 85">
          <a:extLst>
            <a:ext uri="{FF2B5EF4-FFF2-40B4-BE49-F238E27FC236}">
              <a16:creationId xmlns:a16="http://schemas.microsoft.com/office/drawing/2014/main" id="{00000000-0008-0000-0400-00005D000000}"/>
            </a:ext>
          </a:extLst>
        </xdr:cNvPr>
        <xdr:cNvSpPr/>
      </xdr:nvSpPr>
      <xdr:spPr>
        <a:xfrm rot="10800000" flipH="1">
          <a:off x="5084063" y="3499013"/>
          <a:ext cx="523875" cy="561975"/>
        </a:xfrm>
        <a:prstGeom prst="ellipse">
          <a:avLst/>
        </a:prstGeom>
        <a:noFill/>
        <a:ln w="38100" cap="flat" cmpd="sng">
          <a:solidFill>
            <a:srgbClr val="AC5B23"/>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xdr:col>
      <xdr:colOff>1638300</xdr:colOff>
      <xdr:row>139</xdr:row>
      <xdr:rowOff>114300</xdr:rowOff>
    </xdr:from>
    <xdr:ext cx="6972300" cy="476250"/>
    <xdr:grpSp>
      <xdr:nvGrpSpPr>
        <xdr:cNvPr id="94" name="Shape 2" title="Drawing">
          <a:extLst>
            <a:ext uri="{FF2B5EF4-FFF2-40B4-BE49-F238E27FC236}">
              <a16:creationId xmlns:a16="http://schemas.microsoft.com/office/drawing/2014/main" id="{00000000-0008-0000-0400-00005E000000}"/>
            </a:ext>
          </a:extLst>
        </xdr:cNvPr>
        <xdr:cNvGrpSpPr/>
      </xdr:nvGrpSpPr>
      <xdr:grpSpPr>
        <a:xfrm>
          <a:off x="2663707" y="25373189"/>
          <a:ext cx="6972300" cy="476250"/>
          <a:chOff x="1859850" y="3541875"/>
          <a:chExt cx="6972300" cy="476250"/>
        </a:xfrm>
      </xdr:grpSpPr>
      <xdr:grpSp>
        <xdr:nvGrpSpPr>
          <xdr:cNvPr id="95" name="Shape 86">
            <a:extLst>
              <a:ext uri="{FF2B5EF4-FFF2-40B4-BE49-F238E27FC236}">
                <a16:creationId xmlns:a16="http://schemas.microsoft.com/office/drawing/2014/main" id="{00000000-0008-0000-0400-00005F000000}"/>
              </a:ext>
            </a:extLst>
          </xdr:cNvPr>
          <xdr:cNvGrpSpPr/>
        </xdr:nvGrpSpPr>
        <xdr:grpSpPr>
          <a:xfrm>
            <a:off x="1859850" y="3541875"/>
            <a:ext cx="6972300" cy="476250"/>
            <a:chOff x="1859850" y="3541875"/>
            <a:chExt cx="6972300" cy="476250"/>
          </a:xfrm>
        </xdr:grpSpPr>
        <xdr:sp macro="" textlink="">
          <xdr:nvSpPr>
            <xdr:cNvPr id="96" name="Shape 4">
              <a:extLst>
                <a:ext uri="{FF2B5EF4-FFF2-40B4-BE49-F238E27FC236}">
                  <a16:creationId xmlns:a16="http://schemas.microsoft.com/office/drawing/2014/main" id="{00000000-0008-0000-0400-000060000000}"/>
                </a:ext>
              </a:extLst>
            </xdr:cNvPr>
            <xdr:cNvSpPr/>
          </xdr:nvSpPr>
          <xdr:spPr>
            <a:xfrm>
              <a:off x="1859850" y="3541875"/>
              <a:ext cx="6972300" cy="4762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97" name="Shape 87">
              <a:extLst>
                <a:ext uri="{FF2B5EF4-FFF2-40B4-BE49-F238E27FC236}">
                  <a16:creationId xmlns:a16="http://schemas.microsoft.com/office/drawing/2014/main" id="{00000000-0008-0000-0400-000061000000}"/>
                </a:ext>
              </a:extLst>
            </xdr:cNvPr>
            <xdr:cNvGrpSpPr/>
          </xdr:nvGrpSpPr>
          <xdr:grpSpPr>
            <a:xfrm>
              <a:off x="1859850" y="3541875"/>
              <a:ext cx="6972300" cy="476250"/>
              <a:chOff x="1878900" y="3560775"/>
              <a:chExt cx="6934200" cy="438300"/>
            </a:xfrm>
          </xdr:grpSpPr>
          <xdr:sp macro="" textlink="">
            <xdr:nvSpPr>
              <xdr:cNvPr id="98" name="Shape 88">
                <a:extLst>
                  <a:ext uri="{FF2B5EF4-FFF2-40B4-BE49-F238E27FC236}">
                    <a16:creationId xmlns:a16="http://schemas.microsoft.com/office/drawing/2014/main" id="{00000000-0008-0000-0400-000062000000}"/>
                  </a:ext>
                </a:extLst>
              </xdr:cNvPr>
              <xdr:cNvSpPr/>
            </xdr:nvSpPr>
            <xdr:spPr>
              <a:xfrm>
                <a:off x="1878900" y="3560775"/>
                <a:ext cx="6934200" cy="4383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99" name="Shape 89">
                <a:extLst>
                  <a:ext uri="{FF2B5EF4-FFF2-40B4-BE49-F238E27FC236}">
                    <a16:creationId xmlns:a16="http://schemas.microsoft.com/office/drawing/2014/main" id="{00000000-0008-0000-0400-000063000000}"/>
                  </a:ext>
                </a:extLst>
              </xdr:cNvPr>
              <xdr:cNvCxnSpPr>
                <a:stCxn id="70" idx="2"/>
              </xdr:cNvCxnSpPr>
            </xdr:nvCxnSpPr>
            <xdr:spPr>
              <a:xfrm rot="10800000">
                <a:off x="1878900" y="3560775"/>
                <a:ext cx="6934200" cy="438300"/>
              </a:xfrm>
              <a:prstGeom prst="straightConnector1">
                <a:avLst/>
              </a:prstGeom>
              <a:noFill/>
              <a:ln w="38100" cap="flat" cmpd="sng">
                <a:solidFill>
                  <a:schemeClr val="accent2"/>
                </a:solidFill>
                <a:prstDash val="solid"/>
                <a:miter lim="800000"/>
                <a:headEnd type="none" w="sm" len="sm"/>
                <a:tailEnd type="triangle" w="med" len="med"/>
              </a:ln>
            </xdr:spPr>
          </xdr:cxnSp>
        </xdr:grpSp>
      </xdr:grpSp>
    </xdr:grpSp>
    <xdr:clientData fLocksWithSheet="0"/>
  </xdr:oneCellAnchor>
  <xdr:oneCellAnchor>
    <xdr:from>
      <xdr:col>5</xdr:col>
      <xdr:colOff>457200</xdr:colOff>
      <xdr:row>97</xdr:row>
      <xdr:rowOff>9525</xdr:rowOff>
    </xdr:from>
    <xdr:ext cx="7029450" cy="5372100"/>
    <xdr:pic>
      <xdr:nvPicPr>
        <xdr:cNvPr id="101" name="image4.png">
          <a:extLst>
            <a:ext uri="{FF2B5EF4-FFF2-40B4-BE49-F238E27FC236}">
              <a16:creationId xmlns:a16="http://schemas.microsoft.com/office/drawing/2014/main" id="{00000000-0008-0000-0400-000065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30</xdr:col>
      <xdr:colOff>85725</xdr:colOff>
      <xdr:row>1</xdr:row>
      <xdr:rowOff>104775</xdr:rowOff>
    </xdr:from>
    <xdr:ext cx="4552950" cy="2286000"/>
    <xdr:pic>
      <xdr:nvPicPr>
        <xdr:cNvPr id="103" name="image8.png">
          <a:extLst>
            <a:ext uri="{FF2B5EF4-FFF2-40B4-BE49-F238E27FC236}">
              <a16:creationId xmlns:a16="http://schemas.microsoft.com/office/drawing/2014/main" id="{00000000-0008-0000-0400-000067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19</xdr:col>
      <xdr:colOff>104775</xdr:colOff>
      <xdr:row>1</xdr:row>
      <xdr:rowOff>123825</xdr:rowOff>
    </xdr:from>
    <xdr:ext cx="5553075" cy="3000375"/>
    <xdr:pic>
      <xdr:nvPicPr>
        <xdr:cNvPr id="104" name="image3.png">
          <a:extLst>
            <a:ext uri="{FF2B5EF4-FFF2-40B4-BE49-F238E27FC236}">
              <a16:creationId xmlns:a16="http://schemas.microsoft.com/office/drawing/2014/main" id="{00000000-0008-0000-0400-000068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19</xdr:col>
      <xdr:colOff>9525</xdr:colOff>
      <xdr:row>42</xdr:row>
      <xdr:rowOff>123825</xdr:rowOff>
    </xdr:from>
    <xdr:ext cx="5819775" cy="5095875"/>
    <xdr:pic>
      <xdr:nvPicPr>
        <xdr:cNvPr id="105" name="image6.png">
          <a:extLst>
            <a:ext uri="{FF2B5EF4-FFF2-40B4-BE49-F238E27FC236}">
              <a16:creationId xmlns:a16="http://schemas.microsoft.com/office/drawing/2014/main" id="{00000000-0008-0000-0400-000069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30</xdr:col>
      <xdr:colOff>85725</xdr:colOff>
      <xdr:row>42</xdr:row>
      <xdr:rowOff>104775</xdr:rowOff>
    </xdr:from>
    <xdr:ext cx="5743575" cy="3933825"/>
    <xdr:pic>
      <xdr:nvPicPr>
        <xdr:cNvPr id="106" name="image9.png">
          <a:extLst>
            <a:ext uri="{FF2B5EF4-FFF2-40B4-BE49-F238E27FC236}">
              <a16:creationId xmlns:a16="http://schemas.microsoft.com/office/drawing/2014/main" id="{00000000-0008-0000-0400-00006A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19</xdr:col>
      <xdr:colOff>533400</xdr:colOff>
      <xdr:row>79</xdr:row>
      <xdr:rowOff>104775</xdr:rowOff>
    </xdr:from>
    <xdr:ext cx="7038975" cy="2381250"/>
    <xdr:pic>
      <xdr:nvPicPr>
        <xdr:cNvPr id="107" name="image5.png">
          <a:extLst>
            <a:ext uri="{FF2B5EF4-FFF2-40B4-BE49-F238E27FC236}">
              <a16:creationId xmlns:a16="http://schemas.microsoft.com/office/drawing/2014/main" id="{00000000-0008-0000-0400-00006B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3</xdr:col>
      <xdr:colOff>533400</xdr:colOff>
      <xdr:row>133</xdr:row>
      <xdr:rowOff>57150</xdr:rowOff>
    </xdr:from>
    <xdr:ext cx="7010400" cy="3076575"/>
    <xdr:pic>
      <xdr:nvPicPr>
        <xdr:cNvPr id="100" name="image7.png" title="Image">
          <a:extLst>
            <a:ext uri="{FF2B5EF4-FFF2-40B4-BE49-F238E27FC236}">
              <a16:creationId xmlns:a16="http://schemas.microsoft.com/office/drawing/2014/main" id="{00000000-0008-0000-0400-000064000000}"/>
            </a:ext>
            <a:ext uri="{147F2762-F138-4A5C-976F-8EAC2B608ADB}">
              <a16:predDERef xmlns:a16="http://schemas.microsoft.com/office/drawing/2014/main" pred="{00000000-0008-0000-0400-000066000000}"/>
            </a:ext>
          </a:extLst>
        </xdr:cNvPr>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6</xdr:col>
      <xdr:colOff>600075</xdr:colOff>
      <xdr:row>31</xdr:row>
      <xdr:rowOff>-19050</xdr:rowOff>
    </xdr:from>
    <xdr:ext cx="6553200" cy="1800225"/>
    <xdr:sp macro="" textlink="">
      <xdr:nvSpPr>
        <xdr:cNvPr id="2" name="Shape 20">
          <a:extLst>
            <a:ext uri="{FF2B5EF4-FFF2-40B4-BE49-F238E27FC236}">
              <a16:creationId xmlns:a16="http://schemas.microsoft.com/office/drawing/2014/main" id="{2CCFEE20-65F9-4629-B1D8-8107724771D1}"/>
            </a:ext>
          </a:extLst>
        </xdr:cNvPr>
        <xdr:cNvSpPr/>
      </xdr:nvSpPr>
      <xdr:spPr>
        <a:xfrm>
          <a:off x="8669655" y="5459730"/>
          <a:ext cx="6553200" cy="1800225"/>
        </a:xfrm>
        <a:prstGeom prst="ellipse">
          <a:avLst/>
        </a:prstGeom>
        <a:noFill/>
        <a:ln w="38100" cap="flat" cmpd="sng">
          <a:solidFill>
            <a:srgbClr val="31538F"/>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xdr:col>
      <xdr:colOff>1057275</xdr:colOff>
      <xdr:row>31</xdr:row>
      <xdr:rowOff>66675</xdr:rowOff>
    </xdr:from>
    <xdr:ext cx="6477000" cy="342900"/>
    <xdr:grpSp>
      <xdr:nvGrpSpPr>
        <xdr:cNvPr id="3" name="Shape 2">
          <a:extLst>
            <a:ext uri="{FF2B5EF4-FFF2-40B4-BE49-F238E27FC236}">
              <a16:creationId xmlns:a16="http://schemas.microsoft.com/office/drawing/2014/main" id="{881AA4AE-B6EE-4229-ADD9-0A84CA39CD8D}"/>
            </a:ext>
          </a:extLst>
        </xdr:cNvPr>
        <xdr:cNvGrpSpPr/>
      </xdr:nvGrpSpPr>
      <xdr:grpSpPr>
        <a:xfrm>
          <a:off x="2087386" y="5386564"/>
          <a:ext cx="6477000" cy="342900"/>
          <a:chOff x="2107500" y="3608550"/>
          <a:chExt cx="6477001" cy="342900"/>
        </a:xfrm>
      </xdr:grpSpPr>
      <xdr:grpSp>
        <xdr:nvGrpSpPr>
          <xdr:cNvPr id="4" name="Shape 21">
            <a:extLst>
              <a:ext uri="{FF2B5EF4-FFF2-40B4-BE49-F238E27FC236}">
                <a16:creationId xmlns:a16="http://schemas.microsoft.com/office/drawing/2014/main" id="{FEBC0DB3-5BDA-C16E-D000-EC512E5A4301}"/>
              </a:ext>
            </a:extLst>
          </xdr:cNvPr>
          <xdr:cNvGrpSpPr/>
        </xdr:nvGrpSpPr>
        <xdr:grpSpPr>
          <a:xfrm>
            <a:off x="2107500" y="3608550"/>
            <a:ext cx="6477001" cy="342900"/>
            <a:chOff x="2107500" y="3608550"/>
            <a:chExt cx="6477001" cy="342900"/>
          </a:xfrm>
        </xdr:grpSpPr>
        <xdr:sp macro="" textlink="">
          <xdr:nvSpPr>
            <xdr:cNvPr id="5" name="Shape 4">
              <a:extLst>
                <a:ext uri="{FF2B5EF4-FFF2-40B4-BE49-F238E27FC236}">
                  <a16:creationId xmlns:a16="http://schemas.microsoft.com/office/drawing/2014/main" id="{577A3E44-C7F2-429E-5B38-3747E47F4BB6}"/>
                </a:ext>
              </a:extLst>
            </xdr:cNvPr>
            <xdr:cNvSpPr/>
          </xdr:nvSpPr>
          <xdr:spPr>
            <a:xfrm>
              <a:off x="2107500" y="3608550"/>
              <a:ext cx="6477000" cy="3429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 name="Shape 22">
              <a:extLst>
                <a:ext uri="{FF2B5EF4-FFF2-40B4-BE49-F238E27FC236}">
                  <a16:creationId xmlns:a16="http://schemas.microsoft.com/office/drawing/2014/main" id="{CB388701-5D50-5C71-9849-356DD9753BB2}"/>
                </a:ext>
              </a:extLst>
            </xdr:cNvPr>
            <xdr:cNvGrpSpPr/>
          </xdr:nvGrpSpPr>
          <xdr:grpSpPr>
            <a:xfrm>
              <a:off x="2107500" y="3608550"/>
              <a:ext cx="6477001" cy="342900"/>
              <a:chOff x="2126550" y="3627600"/>
              <a:chExt cx="6438900" cy="304800"/>
            </a:xfrm>
          </xdr:grpSpPr>
          <xdr:sp macro="" textlink="">
            <xdr:nvSpPr>
              <xdr:cNvPr id="7" name="Shape 23">
                <a:extLst>
                  <a:ext uri="{FF2B5EF4-FFF2-40B4-BE49-F238E27FC236}">
                    <a16:creationId xmlns:a16="http://schemas.microsoft.com/office/drawing/2014/main" id="{7AF46EFD-F2C2-089A-393C-9F10B74E7FD6}"/>
                  </a:ext>
                </a:extLst>
              </xdr:cNvPr>
              <xdr:cNvSpPr/>
            </xdr:nvSpPr>
            <xdr:spPr>
              <a:xfrm>
                <a:off x="2126550" y="3627600"/>
                <a:ext cx="6438900" cy="3048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8" name="Shape 24">
                <a:extLst>
                  <a:ext uri="{FF2B5EF4-FFF2-40B4-BE49-F238E27FC236}">
                    <a16:creationId xmlns:a16="http://schemas.microsoft.com/office/drawing/2014/main" id="{F69D5ED3-4DD7-5CBC-7205-ED8ACC6707C1}"/>
                  </a:ext>
                </a:extLst>
              </xdr:cNvPr>
              <xdr:cNvCxnSpPr/>
            </xdr:nvCxnSpPr>
            <xdr:spPr>
              <a:xfrm rot="10800000">
                <a:off x="2126550" y="3627600"/>
                <a:ext cx="6438900" cy="304800"/>
              </a:xfrm>
              <a:prstGeom prst="straightConnector1">
                <a:avLst/>
              </a:prstGeom>
              <a:noFill/>
              <a:ln w="38100" cap="flat" cmpd="sng">
                <a:solidFill>
                  <a:schemeClr val="accent1"/>
                </a:solidFill>
                <a:prstDash val="solid"/>
                <a:miter lim="800000"/>
                <a:headEnd type="none" w="sm" len="sm"/>
                <a:tailEnd type="triangle" w="med" len="med"/>
              </a:ln>
            </xdr:spPr>
          </xdr:cxnSp>
        </xdr:grpSp>
      </xdr:grpSp>
    </xdr:grpSp>
    <xdr:clientData fLocksWithSheet="0"/>
  </xdr:oneCellAnchor>
  <xdr:oneCellAnchor>
    <xdr:from>
      <xdr:col>10</xdr:col>
      <xdr:colOff>38100</xdr:colOff>
      <xdr:row>39</xdr:row>
      <xdr:rowOff>123825</xdr:rowOff>
    </xdr:from>
    <xdr:ext cx="1476375" cy="457200"/>
    <xdr:sp macro="" textlink="">
      <xdr:nvSpPr>
        <xdr:cNvPr id="9" name="Shape 25">
          <a:extLst>
            <a:ext uri="{FF2B5EF4-FFF2-40B4-BE49-F238E27FC236}">
              <a16:creationId xmlns:a16="http://schemas.microsoft.com/office/drawing/2014/main" id="{7B35E414-7AF8-4BDC-8B42-864F67DF14F3}"/>
            </a:ext>
          </a:extLst>
        </xdr:cNvPr>
        <xdr:cNvSpPr/>
      </xdr:nvSpPr>
      <xdr:spPr>
        <a:xfrm rot="10800000" flipH="1">
          <a:off x="11224260" y="7004685"/>
          <a:ext cx="1476375" cy="457200"/>
        </a:xfrm>
        <a:prstGeom prst="ellipse">
          <a:avLst/>
        </a:prstGeom>
        <a:noFill/>
        <a:ln w="38100" cap="flat" cmpd="sng">
          <a:solidFill>
            <a:srgbClr val="517E33"/>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5</xdr:col>
      <xdr:colOff>361950</xdr:colOff>
      <xdr:row>33</xdr:row>
      <xdr:rowOff>95250</xdr:rowOff>
    </xdr:from>
    <xdr:ext cx="3619500" cy="1362075"/>
    <xdr:grpSp>
      <xdr:nvGrpSpPr>
        <xdr:cNvPr id="10" name="Shape 2">
          <a:extLst>
            <a:ext uri="{FF2B5EF4-FFF2-40B4-BE49-F238E27FC236}">
              <a16:creationId xmlns:a16="http://schemas.microsoft.com/office/drawing/2014/main" id="{0E87B4B7-1F63-4EE4-9ED2-73B5B10BE61A}"/>
            </a:ext>
          </a:extLst>
        </xdr:cNvPr>
        <xdr:cNvGrpSpPr/>
      </xdr:nvGrpSpPr>
      <xdr:grpSpPr>
        <a:xfrm>
          <a:off x="7572728" y="5753806"/>
          <a:ext cx="3619500" cy="1362075"/>
          <a:chOff x="3536250" y="3098963"/>
          <a:chExt cx="3619500" cy="1362075"/>
        </a:xfrm>
      </xdr:grpSpPr>
      <xdr:grpSp>
        <xdr:nvGrpSpPr>
          <xdr:cNvPr id="11" name="Shape 26">
            <a:extLst>
              <a:ext uri="{FF2B5EF4-FFF2-40B4-BE49-F238E27FC236}">
                <a16:creationId xmlns:a16="http://schemas.microsoft.com/office/drawing/2014/main" id="{9698913D-60A3-5BB7-DF6B-18C056B958F3}"/>
              </a:ext>
            </a:extLst>
          </xdr:cNvPr>
          <xdr:cNvGrpSpPr/>
        </xdr:nvGrpSpPr>
        <xdr:grpSpPr>
          <a:xfrm>
            <a:off x="3536250" y="3098963"/>
            <a:ext cx="3619500" cy="1362075"/>
            <a:chOff x="3536250" y="3098963"/>
            <a:chExt cx="3619500" cy="1362075"/>
          </a:xfrm>
        </xdr:grpSpPr>
        <xdr:sp macro="" textlink="">
          <xdr:nvSpPr>
            <xdr:cNvPr id="12" name="Shape 4">
              <a:extLst>
                <a:ext uri="{FF2B5EF4-FFF2-40B4-BE49-F238E27FC236}">
                  <a16:creationId xmlns:a16="http://schemas.microsoft.com/office/drawing/2014/main" id="{845F7C73-13D2-048F-434D-28F8220227BE}"/>
                </a:ext>
              </a:extLst>
            </xdr:cNvPr>
            <xdr:cNvSpPr/>
          </xdr:nvSpPr>
          <xdr:spPr>
            <a:xfrm>
              <a:off x="3536250" y="3098963"/>
              <a:ext cx="3619500" cy="13620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13" name="Shape 27">
              <a:extLst>
                <a:ext uri="{FF2B5EF4-FFF2-40B4-BE49-F238E27FC236}">
                  <a16:creationId xmlns:a16="http://schemas.microsoft.com/office/drawing/2014/main" id="{595C7E8E-2B41-EF75-1A5C-81021D246893}"/>
                </a:ext>
              </a:extLst>
            </xdr:cNvPr>
            <xdr:cNvGrpSpPr/>
          </xdr:nvGrpSpPr>
          <xdr:grpSpPr>
            <a:xfrm>
              <a:off x="3536250" y="3098963"/>
              <a:ext cx="3619500" cy="1362075"/>
              <a:chOff x="3555300" y="3118088"/>
              <a:chExt cx="3581400" cy="1323900"/>
            </a:xfrm>
          </xdr:grpSpPr>
          <xdr:sp macro="" textlink="">
            <xdr:nvSpPr>
              <xdr:cNvPr id="14" name="Shape 28">
                <a:extLst>
                  <a:ext uri="{FF2B5EF4-FFF2-40B4-BE49-F238E27FC236}">
                    <a16:creationId xmlns:a16="http://schemas.microsoft.com/office/drawing/2014/main" id="{7E3F14AD-60A5-77AC-D5D4-C6209AD6DC38}"/>
                  </a:ext>
                </a:extLst>
              </xdr:cNvPr>
              <xdr:cNvSpPr/>
            </xdr:nvSpPr>
            <xdr:spPr>
              <a:xfrm>
                <a:off x="3555300" y="3118088"/>
                <a:ext cx="3581400" cy="13239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15" name="Shape 29">
                <a:extLst>
                  <a:ext uri="{FF2B5EF4-FFF2-40B4-BE49-F238E27FC236}">
                    <a16:creationId xmlns:a16="http://schemas.microsoft.com/office/drawing/2014/main" id="{7E563ADB-5D19-22C7-4013-6409AE3CA0B5}"/>
                  </a:ext>
                </a:extLst>
              </xdr:cNvPr>
              <xdr:cNvCxnSpPr>
                <a:stCxn id="54" idx="2"/>
              </xdr:cNvCxnSpPr>
            </xdr:nvCxnSpPr>
            <xdr:spPr>
              <a:xfrm rot="10800000">
                <a:off x="3555300" y="3118088"/>
                <a:ext cx="3581400" cy="1323900"/>
              </a:xfrm>
              <a:prstGeom prst="straightConnector1">
                <a:avLst/>
              </a:prstGeom>
              <a:noFill/>
              <a:ln w="38100" cap="flat" cmpd="sng">
                <a:solidFill>
                  <a:schemeClr val="accent6"/>
                </a:solidFill>
                <a:prstDash val="solid"/>
                <a:miter lim="800000"/>
                <a:headEnd type="none" w="sm" len="sm"/>
                <a:tailEnd type="triangle" w="med" len="med"/>
              </a:ln>
            </xdr:spPr>
          </xdr:cxnSp>
        </xdr:grpSp>
      </xdr:grpSp>
    </xdr:grpSp>
    <xdr:clientData fLocksWithSheet="0"/>
  </xdr:oneCellAnchor>
  <xdr:oneCellAnchor>
    <xdr:from>
      <xdr:col>9</xdr:col>
      <xdr:colOff>571500</xdr:colOff>
      <xdr:row>41</xdr:row>
      <xdr:rowOff>47625</xdr:rowOff>
    </xdr:from>
    <xdr:ext cx="2066925" cy="419100"/>
    <xdr:sp macro="" textlink="">
      <xdr:nvSpPr>
        <xdr:cNvPr id="16" name="Shape 30">
          <a:extLst>
            <a:ext uri="{FF2B5EF4-FFF2-40B4-BE49-F238E27FC236}">
              <a16:creationId xmlns:a16="http://schemas.microsoft.com/office/drawing/2014/main" id="{6D824606-F3B9-4FA5-AC2B-4112C2E0FD59}"/>
            </a:ext>
          </a:extLst>
        </xdr:cNvPr>
        <xdr:cNvSpPr/>
      </xdr:nvSpPr>
      <xdr:spPr>
        <a:xfrm rot="10800000" flipH="1">
          <a:off x="10942320" y="7301865"/>
          <a:ext cx="2066925" cy="419100"/>
        </a:xfrm>
        <a:prstGeom prst="ellipse">
          <a:avLst/>
        </a:prstGeom>
        <a:noFill/>
        <a:ln w="38100" cap="flat" cmpd="sng">
          <a:solidFill>
            <a:srgbClr val="BA8C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180975</xdr:colOff>
      <xdr:row>35</xdr:row>
      <xdr:rowOff>104775</xdr:rowOff>
    </xdr:from>
    <xdr:ext cx="4200525" cy="1276350"/>
    <xdr:grpSp>
      <xdr:nvGrpSpPr>
        <xdr:cNvPr id="17" name="Shape 2">
          <a:extLst>
            <a:ext uri="{FF2B5EF4-FFF2-40B4-BE49-F238E27FC236}">
              <a16:creationId xmlns:a16="http://schemas.microsoft.com/office/drawing/2014/main" id="{868BB6E2-A188-42A1-8F7C-FFB7674516B7}"/>
            </a:ext>
          </a:extLst>
        </xdr:cNvPr>
        <xdr:cNvGrpSpPr/>
      </xdr:nvGrpSpPr>
      <xdr:grpSpPr>
        <a:xfrm>
          <a:off x="6672086" y="6101997"/>
          <a:ext cx="4200525" cy="1276350"/>
          <a:chOff x="3245738" y="3141825"/>
          <a:chExt cx="4200526" cy="1276350"/>
        </a:xfrm>
      </xdr:grpSpPr>
      <xdr:grpSp>
        <xdr:nvGrpSpPr>
          <xdr:cNvPr id="18" name="Shape 31">
            <a:extLst>
              <a:ext uri="{FF2B5EF4-FFF2-40B4-BE49-F238E27FC236}">
                <a16:creationId xmlns:a16="http://schemas.microsoft.com/office/drawing/2014/main" id="{B808B256-CACB-9FF8-9617-E71B647D6BAD}"/>
              </a:ext>
            </a:extLst>
          </xdr:cNvPr>
          <xdr:cNvGrpSpPr/>
        </xdr:nvGrpSpPr>
        <xdr:grpSpPr>
          <a:xfrm>
            <a:off x="3245738" y="3141825"/>
            <a:ext cx="4200526" cy="1276350"/>
            <a:chOff x="3245738" y="3141825"/>
            <a:chExt cx="4200526" cy="1276350"/>
          </a:xfrm>
        </xdr:grpSpPr>
        <xdr:sp macro="" textlink="">
          <xdr:nvSpPr>
            <xdr:cNvPr id="19" name="Shape 4">
              <a:extLst>
                <a:ext uri="{FF2B5EF4-FFF2-40B4-BE49-F238E27FC236}">
                  <a16:creationId xmlns:a16="http://schemas.microsoft.com/office/drawing/2014/main" id="{85892CA8-E2B0-6F09-BFF5-C608BEACDF34}"/>
                </a:ext>
              </a:extLst>
            </xdr:cNvPr>
            <xdr:cNvSpPr/>
          </xdr:nvSpPr>
          <xdr:spPr>
            <a:xfrm>
              <a:off x="3245738" y="3141825"/>
              <a:ext cx="4200525" cy="12763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20" name="Shape 32">
              <a:extLst>
                <a:ext uri="{FF2B5EF4-FFF2-40B4-BE49-F238E27FC236}">
                  <a16:creationId xmlns:a16="http://schemas.microsoft.com/office/drawing/2014/main" id="{FC0F52DB-56AF-7DA7-5D96-1345DE7CFEC8}"/>
                </a:ext>
              </a:extLst>
            </xdr:cNvPr>
            <xdr:cNvGrpSpPr/>
          </xdr:nvGrpSpPr>
          <xdr:grpSpPr>
            <a:xfrm>
              <a:off x="3245738" y="3141825"/>
              <a:ext cx="4200525" cy="1276350"/>
              <a:chOff x="3264788" y="3156113"/>
              <a:chExt cx="4162425" cy="1247775"/>
            </a:xfrm>
          </xdr:grpSpPr>
          <xdr:sp macro="" textlink="">
            <xdr:nvSpPr>
              <xdr:cNvPr id="21" name="Shape 33">
                <a:extLst>
                  <a:ext uri="{FF2B5EF4-FFF2-40B4-BE49-F238E27FC236}">
                    <a16:creationId xmlns:a16="http://schemas.microsoft.com/office/drawing/2014/main" id="{708E1265-EFCE-F346-354D-9BD14EBE92EB}"/>
                  </a:ext>
                </a:extLst>
              </xdr:cNvPr>
              <xdr:cNvSpPr/>
            </xdr:nvSpPr>
            <xdr:spPr>
              <a:xfrm>
                <a:off x="3264788" y="3156113"/>
                <a:ext cx="4162425" cy="12477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22" name="Shape 34">
                <a:extLst>
                  <a:ext uri="{FF2B5EF4-FFF2-40B4-BE49-F238E27FC236}">
                    <a16:creationId xmlns:a16="http://schemas.microsoft.com/office/drawing/2014/main" id="{39340D91-B32F-ABE1-AFB0-9D585262FEB4}"/>
                  </a:ext>
                </a:extLst>
              </xdr:cNvPr>
              <xdr:cNvCxnSpPr/>
            </xdr:nvCxnSpPr>
            <xdr:spPr>
              <a:xfrm rot="10800000">
                <a:off x="3264788" y="3156113"/>
                <a:ext cx="4162425" cy="1247775"/>
              </a:xfrm>
              <a:prstGeom prst="straightConnector1">
                <a:avLst/>
              </a:prstGeom>
              <a:noFill/>
              <a:ln w="38100" cap="flat" cmpd="sng">
                <a:solidFill>
                  <a:schemeClr val="accent4"/>
                </a:solidFill>
                <a:prstDash val="solid"/>
                <a:miter lim="800000"/>
                <a:headEnd type="none" w="sm" len="sm"/>
                <a:tailEnd type="triangle" w="med" len="med"/>
              </a:ln>
            </xdr:spPr>
          </xdr:cxnSp>
        </xdr:grpSp>
      </xdr:grpSp>
    </xdr:grpSp>
    <xdr:clientData fLocksWithSheet="0"/>
  </xdr:oneCellAnchor>
  <xdr:oneCellAnchor>
    <xdr:from>
      <xdr:col>9</xdr:col>
      <xdr:colOff>600075</xdr:colOff>
      <xdr:row>43</xdr:row>
      <xdr:rowOff>-38100</xdr:rowOff>
    </xdr:from>
    <xdr:ext cx="2076450" cy="428625"/>
    <xdr:sp macro="" textlink="">
      <xdr:nvSpPr>
        <xdr:cNvPr id="23" name="Shape 35">
          <a:extLst>
            <a:ext uri="{FF2B5EF4-FFF2-40B4-BE49-F238E27FC236}">
              <a16:creationId xmlns:a16="http://schemas.microsoft.com/office/drawing/2014/main" id="{6FF70715-BE57-4EEB-A8E6-6DE2FF6B3918}"/>
            </a:ext>
          </a:extLst>
        </xdr:cNvPr>
        <xdr:cNvSpPr/>
      </xdr:nvSpPr>
      <xdr:spPr>
        <a:xfrm rot="10800000" flipH="1">
          <a:off x="10970895" y="7566660"/>
          <a:ext cx="2076450" cy="428625"/>
        </a:xfrm>
        <a:prstGeom prst="ellipse">
          <a:avLst/>
        </a:prstGeom>
        <a:noFill/>
        <a:ln w="38100" cap="flat" cmpd="sng">
          <a:solidFill>
            <a:schemeClr val="dk1"/>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66675</xdr:colOff>
      <xdr:row>37</xdr:row>
      <xdr:rowOff>95250</xdr:rowOff>
    </xdr:from>
    <xdr:ext cx="4381500" cy="1200150"/>
    <xdr:grpSp>
      <xdr:nvGrpSpPr>
        <xdr:cNvPr id="24" name="Shape 2">
          <a:extLst>
            <a:ext uri="{FF2B5EF4-FFF2-40B4-BE49-F238E27FC236}">
              <a16:creationId xmlns:a16="http://schemas.microsoft.com/office/drawing/2014/main" id="{E925240C-418F-44C2-9B54-8B40765D3784}"/>
            </a:ext>
          </a:extLst>
        </xdr:cNvPr>
        <xdr:cNvGrpSpPr/>
      </xdr:nvGrpSpPr>
      <xdr:grpSpPr>
        <a:xfrm>
          <a:off x="6557786" y="6431139"/>
          <a:ext cx="4381500" cy="1200150"/>
          <a:chOff x="3155250" y="3179925"/>
          <a:chExt cx="4381500" cy="1200150"/>
        </a:xfrm>
      </xdr:grpSpPr>
      <xdr:grpSp>
        <xdr:nvGrpSpPr>
          <xdr:cNvPr id="25" name="Shape 36">
            <a:extLst>
              <a:ext uri="{FF2B5EF4-FFF2-40B4-BE49-F238E27FC236}">
                <a16:creationId xmlns:a16="http://schemas.microsoft.com/office/drawing/2014/main" id="{65CC271A-9E6B-C15C-13A3-1541EACB00A5}"/>
              </a:ext>
            </a:extLst>
          </xdr:cNvPr>
          <xdr:cNvGrpSpPr/>
        </xdr:nvGrpSpPr>
        <xdr:grpSpPr>
          <a:xfrm>
            <a:off x="3155250" y="3179925"/>
            <a:ext cx="4381500" cy="1200150"/>
            <a:chOff x="3155250" y="3179925"/>
            <a:chExt cx="4381500" cy="1200150"/>
          </a:xfrm>
        </xdr:grpSpPr>
        <xdr:sp macro="" textlink="">
          <xdr:nvSpPr>
            <xdr:cNvPr id="26" name="Shape 4">
              <a:extLst>
                <a:ext uri="{FF2B5EF4-FFF2-40B4-BE49-F238E27FC236}">
                  <a16:creationId xmlns:a16="http://schemas.microsoft.com/office/drawing/2014/main" id="{F061057B-7F96-4E94-D448-4FA570CBA9DF}"/>
                </a:ext>
              </a:extLst>
            </xdr:cNvPr>
            <xdr:cNvSpPr/>
          </xdr:nvSpPr>
          <xdr:spPr>
            <a:xfrm>
              <a:off x="3155250" y="3179925"/>
              <a:ext cx="4381500" cy="1200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27" name="Shape 37">
              <a:extLst>
                <a:ext uri="{FF2B5EF4-FFF2-40B4-BE49-F238E27FC236}">
                  <a16:creationId xmlns:a16="http://schemas.microsoft.com/office/drawing/2014/main" id="{45586B46-8433-4851-167E-CF23F8085342}"/>
                </a:ext>
              </a:extLst>
            </xdr:cNvPr>
            <xdr:cNvGrpSpPr/>
          </xdr:nvGrpSpPr>
          <xdr:grpSpPr>
            <a:xfrm>
              <a:off x="3155250" y="3179925"/>
              <a:ext cx="4381500" cy="1200150"/>
              <a:chOff x="3174300" y="3199125"/>
              <a:chExt cx="4343400" cy="1161900"/>
            </a:xfrm>
          </xdr:grpSpPr>
          <xdr:sp macro="" textlink="">
            <xdr:nvSpPr>
              <xdr:cNvPr id="28" name="Shape 38">
                <a:extLst>
                  <a:ext uri="{FF2B5EF4-FFF2-40B4-BE49-F238E27FC236}">
                    <a16:creationId xmlns:a16="http://schemas.microsoft.com/office/drawing/2014/main" id="{25B6FF97-5ED4-576C-EC87-DC4A436A545F}"/>
                  </a:ext>
                </a:extLst>
              </xdr:cNvPr>
              <xdr:cNvSpPr/>
            </xdr:nvSpPr>
            <xdr:spPr>
              <a:xfrm>
                <a:off x="3174300" y="3199125"/>
                <a:ext cx="4343400" cy="11619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29" name="Shape 39">
                <a:extLst>
                  <a:ext uri="{FF2B5EF4-FFF2-40B4-BE49-F238E27FC236}">
                    <a16:creationId xmlns:a16="http://schemas.microsoft.com/office/drawing/2014/main" id="{304E6A79-99A9-6472-9230-0D5153F6D74E}"/>
                  </a:ext>
                </a:extLst>
              </xdr:cNvPr>
              <xdr:cNvCxnSpPr>
                <a:stCxn id="23" idx="2"/>
              </xdr:cNvCxnSpPr>
            </xdr:nvCxnSpPr>
            <xdr:spPr>
              <a:xfrm rot="10800000">
                <a:off x="3174300" y="3199125"/>
                <a:ext cx="4343400" cy="1161900"/>
              </a:xfrm>
              <a:prstGeom prst="straightConnector1">
                <a:avLst/>
              </a:prstGeom>
              <a:noFill/>
              <a:ln w="38100" cap="flat" cmpd="sng">
                <a:solidFill>
                  <a:schemeClr val="dk1"/>
                </a:solidFill>
                <a:prstDash val="solid"/>
                <a:miter lim="800000"/>
                <a:headEnd type="none" w="sm" len="sm"/>
                <a:tailEnd type="triangle" w="med" len="med"/>
              </a:ln>
            </xdr:spPr>
          </xdr:cxnSp>
        </xdr:grpSp>
      </xdr:grpSp>
    </xdr:grpSp>
    <xdr:clientData fLocksWithSheet="0"/>
  </xdr:oneCellAnchor>
  <xdr:oneCellAnchor>
    <xdr:from>
      <xdr:col>5</xdr:col>
      <xdr:colOff>352425</xdr:colOff>
      <xdr:row>47</xdr:row>
      <xdr:rowOff>66675</xdr:rowOff>
    </xdr:from>
    <xdr:ext cx="1524000" cy="552450"/>
    <xdr:sp macro="" textlink="">
      <xdr:nvSpPr>
        <xdr:cNvPr id="30" name="Shape 40">
          <a:extLst>
            <a:ext uri="{FF2B5EF4-FFF2-40B4-BE49-F238E27FC236}">
              <a16:creationId xmlns:a16="http://schemas.microsoft.com/office/drawing/2014/main" id="{4ADCE1D0-4676-4347-8AD3-079744603477}"/>
            </a:ext>
          </a:extLst>
        </xdr:cNvPr>
        <xdr:cNvSpPr/>
      </xdr:nvSpPr>
      <xdr:spPr>
        <a:xfrm>
          <a:off x="7560945" y="8372475"/>
          <a:ext cx="1524000" cy="552450"/>
        </a:xfrm>
        <a:prstGeom prst="ellipse">
          <a:avLst/>
        </a:prstGeom>
        <a:noFill/>
        <a:ln w="38100" cap="flat" cmpd="sng">
          <a:solidFill>
            <a:srgbClr val="AC5B23"/>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57150</xdr:colOff>
      <xdr:row>39</xdr:row>
      <xdr:rowOff>66675</xdr:rowOff>
    </xdr:from>
    <xdr:ext cx="1066800" cy="1752600"/>
    <xdr:grpSp>
      <xdr:nvGrpSpPr>
        <xdr:cNvPr id="31" name="Shape 2">
          <a:extLst>
            <a:ext uri="{FF2B5EF4-FFF2-40B4-BE49-F238E27FC236}">
              <a16:creationId xmlns:a16="http://schemas.microsoft.com/office/drawing/2014/main" id="{C7C5B7ED-94EB-4CD4-B2A8-9088814E03FC}"/>
            </a:ext>
          </a:extLst>
        </xdr:cNvPr>
        <xdr:cNvGrpSpPr/>
      </xdr:nvGrpSpPr>
      <xdr:grpSpPr>
        <a:xfrm>
          <a:off x="6548261" y="6741231"/>
          <a:ext cx="1066800" cy="1752600"/>
          <a:chOff x="4812600" y="2903700"/>
          <a:chExt cx="1066800" cy="1752600"/>
        </a:xfrm>
      </xdr:grpSpPr>
      <xdr:grpSp>
        <xdr:nvGrpSpPr>
          <xdr:cNvPr id="32" name="Shape 41">
            <a:extLst>
              <a:ext uri="{FF2B5EF4-FFF2-40B4-BE49-F238E27FC236}">
                <a16:creationId xmlns:a16="http://schemas.microsoft.com/office/drawing/2014/main" id="{46832CA0-F3D3-90EB-BAC8-C3AE9D1BFB71}"/>
              </a:ext>
            </a:extLst>
          </xdr:cNvPr>
          <xdr:cNvGrpSpPr/>
        </xdr:nvGrpSpPr>
        <xdr:grpSpPr>
          <a:xfrm>
            <a:off x="4812600" y="2903700"/>
            <a:ext cx="1066800" cy="1752600"/>
            <a:chOff x="4812600" y="2903700"/>
            <a:chExt cx="1066800" cy="1752600"/>
          </a:xfrm>
        </xdr:grpSpPr>
        <xdr:sp macro="" textlink="">
          <xdr:nvSpPr>
            <xdr:cNvPr id="33" name="Shape 4">
              <a:extLst>
                <a:ext uri="{FF2B5EF4-FFF2-40B4-BE49-F238E27FC236}">
                  <a16:creationId xmlns:a16="http://schemas.microsoft.com/office/drawing/2014/main" id="{505C8725-9D86-163B-7B84-C9AD07C30EC5}"/>
                </a:ext>
              </a:extLst>
            </xdr:cNvPr>
            <xdr:cNvSpPr/>
          </xdr:nvSpPr>
          <xdr:spPr>
            <a:xfrm>
              <a:off x="4812600" y="2903700"/>
              <a:ext cx="1066800" cy="1752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34" name="Shape 42">
              <a:extLst>
                <a:ext uri="{FF2B5EF4-FFF2-40B4-BE49-F238E27FC236}">
                  <a16:creationId xmlns:a16="http://schemas.microsoft.com/office/drawing/2014/main" id="{370AC6FA-6178-E476-11A7-1485CB853533}"/>
                </a:ext>
              </a:extLst>
            </xdr:cNvPr>
            <xdr:cNvGrpSpPr/>
          </xdr:nvGrpSpPr>
          <xdr:grpSpPr>
            <a:xfrm>
              <a:off x="4812600" y="2903700"/>
              <a:ext cx="1066800" cy="1752600"/>
              <a:chOff x="4831650" y="2922750"/>
              <a:chExt cx="1028700" cy="1714500"/>
            </a:xfrm>
          </xdr:grpSpPr>
          <xdr:sp macro="" textlink="">
            <xdr:nvSpPr>
              <xdr:cNvPr id="35" name="Shape 43">
                <a:extLst>
                  <a:ext uri="{FF2B5EF4-FFF2-40B4-BE49-F238E27FC236}">
                    <a16:creationId xmlns:a16="http://schemas.microsoft.com/office/drawing/2014/main" id="{2450EE15-2E0D-C54E-BBF5-6E4BCFED6786}"/>
                  </a:ext>
                </a:extLst>
              </xdr:cNvPr>
              <xdr:cNvSpPr/>
            </xdr:nvSpPr>
            <xdr:spPr>
              <a:xfrm>
                <a:off x="4831650" y="2922750"/>
                <a:ext cx="1028700" cy="17145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36" name="Shape 44">
                <a:extLst>
                  <a:ext uri="{FF2B5EF4-FFF2-40B4-BE49-F238E27FC236}">
                    <a16:creationId xmlns:a16="http://schemas.microsoft.com/office/drawing/2014/main" id="{4E026729-D670-194B-6582-D30338FE8668}"/>
                  </a:ext>
                </a:extLst>
              </xdr:cNvPr>
              <xdr:cNvCxnSpPr>
                <a:stCxn id="30" idx="2"/>
              </xdr:cNvCxnSpPr>
            </xdr:nvCxnSpPr>
            <xdr:spPr>
              <a:xfrm rot="10800000">
                <a:off x="4831650" y="2922750"/>
                <a:ext cx="1028700" cy="1714500"/>
              </a:xfrm>
              <a:prstGeom prst="straightConnector1">
                <a:avLst/>
              </a:prstGeom>
              <a:noFill/>
              <a:ln w="38100" cap="flat" cmpd="sng">
                <a:solidFill>
                  <a:schemeClr val="accent2"/>
                </a:solidFill>
                <a:prstDash val="solid"/>
                <a:miter lim="800000"/>
                <a:headEnd type="none" w="sm" len="sm"/>
                <a:tailEnd type="triangle" w="med" len="med"/>
              </a:ln>
            </xdr:spPr>
          </xdr:cxnSp>
        </xdr:grpSp>
      </xdr:grpSp>
    </xdr:grpSp>
    <xdr:clientData fLocksWithSheet="0"/>
  </xdr:oneCellAnchor>
  <xdr:oneCellAnchor>
    <xdr:from>
      <xdr:col>9</xdr:col>
      <xdr:colOff>638175</xdr:colOff>
      <xdr:row>47</xdr:row>
      <xdr:rowOff>28575</xdr:rowOff>
    </xdr:from>
    <xdr:ext cx="1104900" cy="581025"/>
    <xdr:sp macro="" textlink="">
      <xdr:nvSpPr>
        <xdr:cNvPr id="37" name="Shape 45">
          <a:extLst>
            <a:ext uri="{FF2B5EF4-FFF2-40B4-BE49-F238E27FC236}">
              <a16:creationId xmlns:a16="http://schemas.microsoft.com/office/drawing/2014/main" id="{FD4E797A-C048-49FA-80B4-99B256B041C8}"/>
            </a:ext>
          </a:extLst>
        </xdr:cNvPr>
        <xdr:cNvSpPr/>
      </xdr:nvSpPr>
      <xdr:spPr>
        <a:xfrm>
          <a:off x="11008995" y="8334375"/>
          <a:ext cx="1104900" cy="581025"/>
        </a:xfrm>
        <a:prstGeom prst="ellipse">
          <a:avLst/>
        </a:prstGeom>
        <a:noFill/>
        <a:ln w="38100" cap="flat" cmpd="sng">
          <a:solidFill>
            <a:srgbClr val="FF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xdr:col>
      <xdr:colOff>2581275</xdr:colOff>
      <xdr:row>41</xdr:row>
      <xdr:rowOff>95250</xdr:rowOff>
    </xdr:from>
    <xdr:ext cx="6543675" cy="1352550"/>
    <xdr:grpSp>
      <xdr:nvGrpSpPr>
        <xdr:cNvPr id="38" name="Shape 2">
          <a:extLst>
            <a:ext uri="{FF2B5EF4-FFF2-40B4-BE49-F238E27FC236}">
              <a16:creationId xmlns:a16="http://schemas.microsoft.com/office/drawing/2014/main" id="{78F2492B-8BC7-47A0-B079-7B4C4EE10817}"/>
            </a:ext>
          </a:extLst>
        </xdr:cNvPr>
        <xdr:cNvGrpSpPr/>
      </xdr:nvGrpSpPr>
      <xdr:grpSpPr>
        <a:xfrm>
          <a:off x="3611386" y="7136694"/>
          <a:ext cx="6543675" cy="1352550"/>
          <a:chOff x="2074163" y="3103725"/>
          <a:chExt cx="6543675" cy="1352550"/>
        </a:xfrm>
      </xdr:grpSpPr>
      <xdr:grpSp>
        <xdr:nvGrpSpPr>
          <xdr:cNvPr id="39" name="Shape 46">
            <a:extLst>
              <a:ext uri="{FF2B5EF4-FFF2-40B4-BE49-F238E27FC236}">
                <a16:creationId xmlns:a16="http://schemas.microsoft.com/office/drawing/2014/main" id="{39F4D816-32AE-314E-5CF0-45CBA45D3DBD}"/>
              </a:ext>
            </a:extLst>
          </xdr:cNvPr>
          <xdr:cNvGrpSpPr/>
        </xdr:nvGrpSpPr>
        <xdr:grpSpPr>
          <a:xfrm>
            <a:off x="2074163" y="3103725"/>
            <a:ext cx="6543675" cy="1352550"/>
            <a:chOff x="2074163" y="3103725"/>
            <a:chExt cx="6543675" cy="1352550"/>
          </a:xfrm>
        </xdr:grpSpPr>
        <xdr:sp macro="" textlink="">
          <xdr:nvSpPr>
            <xdr:cNvPr id="40" name="Shape 4">
              <a:extLst>
                <a:ext uri="{FF2B5EF4-FFF2-40B4-BE49-F238E27FC236}">
                  <a16:creationId xmlns:a16="http://schemas.microsoft.com/office/drawing/2014/main" id="{72A48DBF-AEFD-AAA8-CF41-2AD10B50D3F6}"/>
                </a:ext>
              </a:extLst>
            </xdr:cNvPr>
            <xdr:cNvSpPr/>
          </xdr:nvSpPr>
          <xdr:spPr>
            <a:xfrm>
              <a:off x="2074163" y="3103725"/>
              <a:ext cx="6543675" cy="13525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41" name="Shape 47">
              <a:extLst>
                <a:ext uri="{FF2B5EF4-FFF2-40B4-BE49-F238E27FC236}">
                  <a16:creationId xmlns:a16="http://schemas.microsoft.com/office/drawing/2014/main" id="{463C9977-4458-370F-A429-C78367983F58}"/>
                </a:ext>
              </a:extLst>
            </xdr:cNvPr>
            <xdr:cNvGrpSpPr/>
          </xdr:nvGrpSpPr>
          <xdr:grpSpPr>
            <a:xfrm>
              <a:off x="2074163" y="3103725"/>
              <a:ext cx="6543675" cy="1352550"/>
              <a:chOff x="2093213" y="3122775"/>
              <a:chExt cx="6505575" cy="1314450"/>
            </a:xfrm>
          </xdr:grpSpPr>
          <xdr:sp macro="" textlink="">
            <xdr:nvSpPr>
              <xdr:cNvPr id="42" name="Shape 48">
                <a:extLst>
                  <a:ext uri="{FF2B5EF4-FFF2-40B4-BE49-F238E27FC236}">
                    <a16:creationId xmlns:a16="http://schemas.microsoft.com/office/drawing/2014/main" id="{3A1F8894-0384-E821-7AAD-6398B981B5C6}"/>
                  </a:ext>
                </a:extLst>
              </xdr:cNvPr>
              <xdr:cNvSpPr/>
            </xdr:nvSpPr>
            <xdr:spPr>
              <a:xfrm>
                <a:off x="2093213" y="3122775"/>
                <a:ext cx="6505575" cy="13144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43" name="Shape 49">
                <a:extLst>
                  <a:ext uri="{FF2B5EF4-FFF2-40B4-BE49-F238E27FC236}">
                    <a16:creationId xmlns:a16="http://schemas.microsoft.com/office/drawing/2014/main" id="{14146A29-ABF7-FAAF-6A09-DD8E213FB95C}"/>
                  </a:ext>
                </a:extLst>
              </xdr:cNvPr>
              <xdr:cNvCxnSpPr/>
            </xdr:nvCxnSpPr>
            <xdr:spPr>
              <a:xfrm rot="10800000">
                <a:off x="2093213" y="3122775"/>
                <a:ext cx="6505575" cy="1314450"/>
              </a:xfrm>
              <a:prstGeom prst="straightConnector1">
                <a:avLst/>
              </a:prstGeom>
              <a:noFill/>
              <a:ln w="38100" cap="flat" cmpd="sng">
                <a:solidFill>
                  <a:srgbClr val="FF0000"/>
                </a:solidFill>
                <a:prstDash val="solid"/>
                <a:miter lim="800000"/>
                <a:headEnd type="none" w="sm" len="sm"/>
                <a:tailEnd type="triangle" w="med" len="med"/>
              </a:ln>
            </xdr:spPr>
          </xdr:cxnSp>
        </xdr:grpSp>
      </xdr:grpSp>
    </xdr:grpSp>
    <xdr:clientData fLocksWithSheet="0"/>
  </xdr:oneCellAnchor>
  <xdr:oneCellAnchor>
    <xdr:from>
      <xdr:col>8</xdr:col>
      <xdr:colOff>47625</xdr:colOff>
      <xdr:row>73</xdr:row>
      <xdr:rowOff>85725</xdr:rowOff>
    </xdr:from>
    <xdr:ext cx="3962400" cy="781050"/>
    <xdr:sp macro="" textlink="">
      <xdr:nvSpPr>
        <xdr:cNvPr id="44" name="Shape 50">
          <a:extLst>
            <a:ext uri="{FF2B5EF4-FFF2-40B4-BE49-F238E27FC236}">
              <a16:creationId xmlns:a16="http://schemas.microsoft.com/office/drawing/2014/main" id="{294DBEB2-AD63-4A13-8CDB-92E8B2B3AAD9}"/>
            </a:ext>
          </a:extLst>
        </xdr:cNvPr>
        <xdr:cNvSpPr/>
      </xdr:nvSpPr>
      <xdr:spPr>
        <a:xfrm rot="10800000" flipH="1">
          <a:off x="9770745" y="13047345"/>
          <a:ext cx="3962400" cy="781050"/>
        </a:xfrm>
        <a:prstGeom prst="ellipse">
          <a:avLst/>
        </a:prstGeom>
        <a:noFill/>
        <a:ln w="38100" cap="flat" cmpd="sng">
          <a:solidFill>
            <a:srgbClr val="FF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xdr:col>
      <xdr:colOff>1638300</xdr:colOff>
      <xdr:row>69</xdr:row>
      <xdr:rowOff>123825</xdr:rowOff>
    </xdr:from>
    <xdr:ext cx="6334125" cy="1200150"/>
    <xdr:grpSp>
      <xdr:nvGrpSpPr>
        <xdr:cNvPr id="45" name="Shape 2">
          <a:extLst>
            <a:ext uri="{FF2B5EF4-FFF2-40B4-BE49-F238E27FC236}">
              <a16:creationId xmlns:a16="http://schemas.microsoft.com/office/drawing/2014/main" id="{FA6BBC3F-2703-4BD8-A34F-B00F6B78E03A}"/>
            </a:ext>
          </a:extLst>
        </xdr:cNvPr>
        <xdr:cNvGrpSpPr/>
      </xdr:nvGrpSpPr>
      <xdr:grpSpPr>
        <a:xfrm>
          <a:off x="2668411" y="12005381"/>
          <a:ext cx="6334125" cy="1200150"/>
          <a:chOff x="2178938" y="3179925"/>
          <a:chExt cx="6334125" cy="1200150"/>
        </a:xfrm>
      </xdr:grpSpPr>
      <xdr:grpSp>
        <xdr:nvGrpSpPr>
          <xdr:cNvPr id="46" name="Shape 51">
            <a:extLst>
              <a:ext uri="{FF2B5EF4-FFF2-40B4-BE49-F238E27FC236}">
                <a16:creationId xmlns:a16="http://schemas.microsoft.com/office/drawing/2014/main" id="{6364213A-3C00-B2E5-E380-E4CCCE675221}"/>
              </a:ext>
            </a:extLst>
          </xdr:cNvPr>
          <xdr:cNvGrpSpPr/>
        </xdr:nvGrpSpPr>
        <xdr:grpSpPr>
          <a:xfrm>
            <a:off x="2178938" y="3179925"/>
            <a:ext cx="6334125" cy="1200150"/>
            <a:chOff x="2178938" y="3179925"/>
            <a:chExt cx="6334125" cy="1200150"/>
          </a:xfrm>
        </xdr:grpSpPr>
        <xdr:sp macro="" textlink="">
          <xdr:nvSpPr>
            <xdr:cNvPr id="47" name="Shape 4">
              <a:extLst>
                <a:ext uri="{FF2B5EF4-FFF2-40B4-BE49-F238E27FC236}">
                  <a16:creationId xmlns:a16="http://schemas.microsoft.com/office/drawing/2014/main" id="{6A539FF2-432A-D9A4-97EE-3550E9D72F4E}"/>
                </a:ext>
              </a:extLst>
            </xdr:cNvPr>
            <xdr:cNvSpPr/>
          </xdr:nvSpPr>
          <xdr:spPr>
            <a:xfrm>
              <a:off x="2178938" y="3179925"/>
              <a:ext cx="6334125" cy="1200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48" name="Shape 52">
              <a:extLst>
                <a:ext uri="{FF2B5EF4-FFF2-40B4-BE49-F238E27FC236}">
                  <a16:creationId xmlns:a16="http://schemas.microsoft.com/office/drawing/2014/main" id="{0B03D0E7-8222-F89F-ECAE-DBD9A1FC4F3D}"/>
                </a:ext>
              </a:extLst>
            </xdr:cNvPr>
            <xdr:cNvGrpSpPr/>
          </xdr:nvGrpSpPr>
          <xdr:grpSpPr>
            <a:xfrm>
              <a:off x="2178938" y="3179925"/>
              <a:ext cx="6334125" cy="1200150"/>
              <a:chOff x="2197988" y="3198975"/>
              <a:chExt cx="6296025" cy="1162050"/>
            </a:xfrm>
          </xdr:grpSpPr>
          <xdr:sp macro="" textlink="">
            <xdr:nvSpPr>
              <xdr:cNvPr id="49" name="Shape 53">
                <a:extLst>
                  <a:ext uri="{FF2B5EF4-FFF2-40B4-BE49-F238E27FC236}">
                    <a16:creationId xmlns:a16="http://schemas.microsoft.com/office/drawing/2014/main" id="{F7BA7FC9-83D2-D4CF-30E9-ADF454202429}"/>
                  </a:ext>
                </a:extLst>
              </xdr:cNvPr>
              <xdr:cNvSpPr/>
            </xdr:nvSpPr>
            <xdr:spPr>
              <a:xfrm>
                <a:off x="2197988" y="3198975"/>
                <a:ext cx="6296025" cy="11620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50" name="Shape 54">
                <a:extLst>
                  <a:ext uri="{FF2B5EF4-FFF2-40B4-BE49-F238E27FC236}">
                    <a16:creationId xmlns:a16="http://schemas.microsoft.com/office/drawing/2014/main" id="{3BFF7683-CB77-5B72-76B6-BD5D62A0327D}"/>
                  </a:ext>
                </a:extLst>
              </xdr:cNvPr>
              <xdr:cNvCxnSpPr/>
            </xdr:nvCxnSpPr>
            <xdr:spPr>
              <a:xfrm rot="10800000">
                <a:off x="2197988" y="3198975"/>
                <a:ext cx="6296025" cy="1162050"/>
              </a:xfrm>
              <a:prstGeom prst="straightConnector1">
                <a:avLst/>
              </a:prstGeom>
              <a:noFill/>
              <a:ln w="38100" cap="flat" cmpd="sng">
                <a:solidFill>
                  <a:srgbClr val="FF0000"/>
                </a:solidFill>
                <a:prstDash val="solid"/>
                <a:miter lim="800000"/>
                <a:headEnd type="none" w="sm" len="sm"/>
                <a:tailEnd type="triangle" w="med" len="med"/>
              </a:ln>
            </xdr:spPr>
          </xdr:cxnSp>
        </xdr:grpSp>
      </xdr:grpSp>
    </xdr:grpSp>
    <xdr:clientData fLocksWithSheet="0"/>
  </xdr:oneCellAnchor>
  <xdr:oneCellAnchor>
    <xdr:from>
      <xdr:col>5</xdr:col>
      <xdr:colOff>457200</xdr:colOff>
      <xdr:row>77</xdr:row>
      <xdr:rowOff>0</xdr:rowOff>
    </xdr:from>
    <xdr:ext cx="1524000" cy="552450"/>
    <xdr:sp macro="" textlink="">
      <xdr:nvSpPr>
        <xdr:cNvPr id="51" name="Shape 55">
          <a:extLst>
            <a:ext uri="{FF2B5EF4-FFF2-40B4-BE49-F238E27FC236}">
              <a16:creationId xmlns:a16="http://schemas.microsoft.com/office/drawing/2014/main" id="{8170D2D1-0E77-49B4-8872-5935239E8B60}"/>
            </a:ext>
          </a:extLst>
        </xdr:cNvPr>
        <xdr:cNvSpPr/>
      </xdr:nvSpPr>
      <xdr:spPr>
        <a:xfrm rot="10800000" flipH="1">
          <a:off x="7665720" y="13662660"/>
          <a:ext cx="1524000" cy="552450"/>
        </a:xfrm>
        <a:prstGeom prst="ellipse">
          <a:avLst/>
        </a:prstGeom>
        <a:noFill/>
        <a:ln w="38100" cap="flat" cmpd="sng">
          <a:solidFill>
            <a:srgbClr val="AC5B23"/>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xdr:col>
      <xdr:colOff>1028700</xdr:colOff>
      <xdr:row>71</xdr:row>
      <xdr:rowOff>104775</xdr:rowOff>
    </xdr:from>
    <xdr:ext cx="4848225" cy="1276350"/>
    <xdr:grpSp>
      <xdr:nvGrpSpPr>
        <xdr:cNvPr id="52" name="Shape 2">
          <a:extLst>
            <a:ext uri="{FF2B5EF4-FFF2-40B4-BE49-F238E27FC236}">
              <a16:creationId xmlns:a16="http://schemas.microsoft.com/office/drawing/2014/main" id="{D0EAEBCF-EC63-4183-989B-38B9C432FDB2}"/>
            </a:ext>
          </a:extLst>
        </xdr:cNvPr>
        <xdr:cNvGrpSpPr/>
      </xdr:nvGrpSpPr>
      <xdr:grpSpPr>
        <a:xfrm>
          <a:off x="2058811" y="12324997"/>
          <a:ext cx="4848225" cy="1276350"/>
          <a:chOff x="2921888" y="3141825"/>
          <a:chExt cx="4848226" cy="1276350"/>
        </a:xfrm>
      </xdr:grpSpPr>
      <xdr:grpSp>
        <xdr:nvGrpSpPr>
          <xdr:cNvPr id="53" name="Shape 56">
            <a:extLst>
              <a:ext uri="{FF2B5EF4-FFF2-40B4-BE49-F238E27FC236}">
                <a16:creationId xmlns:a16="http://schemas.microsoft.com/office/drawing/2014/main" id="{F85CC862-9018-3AB8-2DB6-9D1BFA76854E}"/>
              </a:ext>
            </a:extLst>
          </xdr:cNvPr>
          <xdr:cNvGrpSpPr/>
        </xdr:nvGrpSpPr>
        <xdr:grpSpPr>
          <a:xfrm>
            <a:off x="2921888" y="3141825"/>
            <a:ext cx="4848226" cy="1276350"/>
            <a:chOff x="2921888" y="3141825"/>
            <a:chExt cx="4848226" cy="1276350"/>
          </a:xfrm>
        </xdr:grpSpPr>
        <xdr:sp macro="" textlink="">
          <xdr:nvSpPr>
            <xdr:cNvPr id="54" name="Shape 4">
              <a:extLst>
                <a:ext uri="{FF2B5EF4-FFF2-40B4-BE49-F238E27FC236}">
                  <a16:creationId xmlns:a16="http://schemas.microsoft.com/office/drawing/2014/main" id="{B98FD635-0880-B9CC-508C-7FB7667A88C1}"/>
                </a:ext>
              </a:extLst>
            </xdr:cNvPr>
            <xdr:cNvSpPr/>
          </xdr:nvSpPr>
          <xdr:spPr>
            <a:xfrm>
              <a:off x="2921888" y="3141825"/>
              <a:ext cx="4848225" cy="12763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55" name="Shape 57">
              <a:extLst>
                <a:ext uri="{FF2B5EF4-FFF2-40B4-BE49-F238E27FC236}">
                  <a16:creationId xmlns:a16="http://schemas.microsoft.com/office/drawing/2014/main" id="{03C6DF54-9994-4AD3-1AD6-3F23F2D9DB16}"/>
                </a:ext>
              </a:extLst>
            </xdr:cNvPr>
            <xdr:cNvGrpSpPr/>
          </xdr:nvGrpSpPr>
          <xdr:grpSpPr>
            <a:xfrm>
              <a:off x="2921888" y="3141825"/>
              <a:ext cx="4848225" cy="1276350"/>
              <a:chOff x="2940863" y="3156188"/>
              <a:chExt cx="4810200" cy="1247700"/>
            </a:xfrm>
          </xdr:grpSpPr>
          <xdr:sp macro="" textlink="">
            <xdr:nvSpPr>
              <xdr:cNvPr id="56" name="Shape 58">
                <a:extLst>
                  <a:ext uri="{FF2B5EF4-FFF2-40B4-BE49-F238E27FC236}">
                    <a16:creationId xmlns:a16="http://schemas.microsoft.com/office/drawing/2014/main" id="{B229E808-4697-F67A-0988-8211BA9833DB}"/>
                  </a:ext>
                </a:extLst>
              </xdr:cNvPr>
              <xdr:cNvSpPr/>
            </xdr:nvSpPr>
            <xdr:spPr>
              <a:xfrm>
                <a:off x="2940863" y="3156188"/>
                <a:ext cx="4810200" cy="12477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57" name="Shape 59">
                <a:extLst>
                  <a:ext uri="{FF2B5EF4-FFF2-40B4-BE49-F238E27FC236}">
                    <a16:creationId xmlns:a16="http://schemas.microsoft.com/office/drawing/2014/main" id="{AA73CF8B-1BFA-509C-8D7C-7F75C3F9E0DC}"/>
                  </a:ext>
                </a:extLst>
              </xdr:cNvPr>
              <xdr:cNvCxnSpPr>
                <a:stCxn id="48" idx="2"/>
              </xdr:cNvCxnSpPr>
            </xdr:nvCxnSpPr>
            <xdr:spPr>
              <a:xfrm rot="10800000">
                <a:off x="2940863" y="3156188"/>
                <a:ext cx="4810200" cy="1247700"/>
              </a:xfrm>
              <a:prstGeom prst="straightConnector1">
                <a:avLst/>
              </a:prstGeom>
              <a:noFill/>
              <a:ln w="38100" cap="flat" cmpd="sng">
                <a:solidFill>
                  <a:schemeClr val="accent2"/>
                </a:solidFill>
                <a:prstDash val="solid"/>
                <a:miter lim="800000"/>
                <a:headEnd type="none" w="sm" len="sm"/>
                <a:tailEnd type="triangle" w="med" len="med"/>
              </a:ln>
            </xdr:spPr>
          </xdr:cxnSp>
        </xdr:grpSp>
      </xdr:grpSp>
    </xdr:grpSp>
    <xdr:clientData fLocksWithSheet="0"/>
  </xdr:oneCellAnchor>
  <xdr:oneCellAnchor>
    <xdr:from>
      <xdr:col>8</xdr:col>
      <xdr:colOff>85725</xdr:colOff>
      <xdr:row>77</xdr:row>
      <xdr:rowOff>-9525</xdr:rowOff>
    </xdr:from>
    <xdr:ext cx="533400" cy="619125"/>
    <xdr:sp macro="" textlink="">
      <xdr:nvSpPr>
        <xdr:cNvPr id="58" name="Shape 60">
          <a:extLst>
            <a:ext uri="{FF2B5EF4-FFF2-40B4-BE49-F238E27FC236}">
              <a16:creationId xmlns:a16="http://schemas.microsoft.com/office/drawing/2014/main" id="{0900E556-E352-444D-87DC-477BAEBA0DEE}"/>
            </a:ext>
          </a:extLst>
        </xdr:cNvPr>
        <xdr:cNvSpPr/>
      </xdr:nvSpPr>
      <xdr:spPr>
        <a:xfrm>
          <a:off x="9808845" y="13653135"/>
          <a:ext cx="533400" cy="619125"/>
        </a:xfrm>
        <a:prstGeom prst="ellipse">
          <a:avLst/>
        </a:prstGeom>
        <a:noFill/>
        <a:ln w="38100" cap="flat" cmpd="sng">
          <a:solidFill>
            <a:srgbClr val="517E33"/>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542925</xdr:colOff>
      <xdr:row>73</xdr:row>
      <xdr:rowOff>85725</xdr:rowOff>
    </xdr:from>
    <xdr:ext cx="4048125" cy="962025"/>
    <xdr:grpSp>
      <xdr:nvGrpSpPr>
        <xdr:cNvPr id="59" name="Shape 2">
          <a:extLst>
            <a:ext uri="{FF2B5EF4-FFF2-40B4-BE49-F238E27FC236}">
              <a16:creationId xmlns:a16="http://schemas.microsoft.com/office/drawing/2014/main" id="{CC9CE0A7-C548-4CA4-872F-D27E74C2F8F7}"/>
            </a:ext>
          </a:extLst>
        </xdr:cNvPr>
        <xdr:cNvGrpSpPr/>
      </xdr:nvGrpSpPr>
      <xdr:grpSpPr>
        <a:xfrm>
          <a:off x="5721703" y="12644614"/>
          <a:ext cx="4048125" cy="962025"/>
          <a:chOff x="3321938" y="3298988"/>
          <a:chExt cx="4048125" cy="962025"/>
        </a:xfrm>
      </xdr:grpSpPr>
      <xdr:grpSp>
        <xdr:nvGrpSpPr>
          <xdr:cNvPr id="60" name="Shape 61">
            <a:extLst>
              <a:ext uri="{FF2B5EF4-FFF2-40B4-BE49-F238E27FC236}">
                <a16:creationId xmlns:a16="http://schemas.microsoft.com/office/drawing/2014/main" id="{D9B459A6-F728-BB8B-F414-E151AB850FD9}"/>
              </a:ext>
            </a:extLst>
          </xdr:cNvPr>
          <xdr:cNvGrpSpPr/>
        </xdr:nvGrpSpPr>
        <xdr:grpSpPr>
          <a:xfrm>
            <a:off x="3321938" y="3298988"/>
            <a:ext cx="4048125" cy="962025"/>
            <a:chOff x="3321938" y="3298988"/>
            <a:chExt cx="4048125" cy="962025"/>
          </a:xfrm>
        </xdr:grpSpPr>
        <xdr:sp macro="" textlink="">
          <xdr:nvSpPr>
            <xdr:cNvPr id="61" name="Shape 4">
              <a:extLst>
                <a:ext uri="{FF2B5EF4-FFF2-40B4-BE49-F238E27FC236}">
                  <a16:creationId xmlns:a16="http://schemas.microsoft.com/office/drawing/2014/main" id="{3896B9D8-DF4C-E64D-3DE5-D0C43D0E5550}"/>
                </a:ext>
              </a:extLst>
            </xdr:cNvPr>
            <xdr:cNvSpPr/>
          </xdr:nvSpPr>
          <xdr:spPr>
            <a:xfrm>
              <a:off x="3321938" y="3298988"/>
              <a:ext cx="4048125" cy="9620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2" name="Shape 62">
              <a:extLst>
                <a:ext uri="{FF2B5EF4-FFF2-40B4-BE49-F238E27FC236}">
                  <a16:creationId xmlns:a16="http://schemas.microsoft.com/office/drawing/2014/main" id="{C9E348B3-8A49-EFF3-E75E-F439C3D928E2}"/>
                </a:ext>
              </a:extLst>
            </xdr:cNvPr>
            <xdr:cNvGrpSpPr/>
          </xdr:nvGrpSpPr>
          <xdr:grpSpPr>
            <a:xfrm>
              <a:off x="3321938" y="3298988"/>
              <a:ext cx="4048125" cy="962025"/>
              <a:chOff x="3340913" y="3317963"/>
              <a:chExt cx="4010100" cy="924000"/>
            </a:xfrm>
          </xdr:grpSpPr>
          <xdr:sp macro="" textlink="">
            <xdr:nvSpPr>
              <xdr:cNvPr id="63" name="Shape 63">
                <a:extLst>
                  <a:ext uri="{FF2B5EF4-FFF2-40B4-BE49-F238E27FC236}">
                    <a16:creationId xmlns:a16="http://schemas.microsoft.com/office/drawing/2014/main" id="{E1B4D586-1CF2-7D37-B451-490DC75E7E0C}"/>
                  </a:ext>
                </a:extLst>
              </xdr:cNvPr>
              <xdr:cNvSpPr/>
            </xdr:nvSpPr>
            <xdr:spPr>
              <a:xfrm>
                <a:off x="3340913" y="3317963"/>
                <a:ext cx="4010100" cy="924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64" name="Shape 64">
                <a:extLst>
                  <a:ext uri="{FF2B5EF4-FFF2-40B4-BE49-F238E27FC236}">
                    <a16:creationId xmlns:a16="http://schemas.microsoft.com/office/drawing/2014/main" id="{3523BCC5-35A4-4C61-E5F6-CA9AC7B31EF8}"/>
                  </a:ext>
                </a:extLst>
              </xdr:cNvPr>
              <xdr:cNvCxnSpPr>
                <a:stCxn id="51" idx="2"/>
              </xdr:cNvCxnSpPr>
            </xdr:nvCxnSpPr>
            <xdr:spPr>
              <a:xfrm rot="10800000">
                <a:off x="3340913" y="3317963"/>
                <a:ext cx="4010100" cy="924000"/>
              </a:xfrm>
              <a:prstGeom prst="straightConnector1">
                <a:avLst/>
              </a:prstGeom>
              <a:noFill/>
              <a:ln w="38100" cap="flat" cmpd="sng">
                <a:solidFill>
                  <a:schemeClr val="accent6"/>
                </a:solidFill>
                <a:prstDash val="solid"/>
                <a:miter lim="800000"/>
                <a:headEnd type="none" w="sm" len="sm"/>
                <a:tailEnd type="triangle" w="med" len="med"/>
              </a:ln>
            </xdr:spPr>
          </xdr:cxnSp>
        </xdr:grpSp>
      </xdr:grpSp>
    </xdr:grpSp>
    <xdr:clientData fLocksWithSheet="0"/>
  </xdr:oneCellAnchor>
  <xdr:oneCellAnchor>
    <xdr:from>
      <xdr:col>12</xdr:col>
      <xdr:colOff>542925</xdr:colOff>
      <xdr:row>77</xdr:row>
      <xdr:rowOff>28575</xdr:rowOff>
    </xdr:from>
    <xdr:ext cx="1314450" cy="1714500"/>
    <xdr:sp macro="" textlink="">
      <xdr:nvSpPr>
        <xdr:cNvPr id="65" name="Shape 65">
          <a:extLst>
            <a:ext uri="{FF2B5EF4-FFF2-40B4-BE49-F238E27FC236}">
              <a16:creationId xmlns:a16="http://schemas.microsoft.com/office/drawing/2014/main" id="{85925010-C039-4B7A-9FD2-AAE631A68885}"/>
            </a:ext>
          </a:extLst>
        </xdr:cNvPr>
        <xdr:cNvSpPr/>
      </xdr:nvSpPr>
      <xdr:spPr>
        <a:xfrm>
          <a:off x="13908405" y="13691235"/>
          <a:ext cx="1314450" cy="1714500"/>
        </a:xfrm>
        <a:prstGeom prst="ellipse">
          <a:avLst/>
        </a:prstGeom>
        <a:noFill/>
        <a:ln w="38100" cap="flat" cmpd="sng">
          <a:solidFill>
            <a:schemeClr val="dk1"/>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76200</xdr:colOff>
      <xdr:row>78</xdr:row>
      <xdr:rowOff>76200</xdr:rowOff>
    </xdr:from>
    <xdr:ext cx="8162925" cy="647700"/>
    <xdr:grpSp>
      <xdr:nvGrpSpPr>
        <xdr:cNvPr id="66" name="Shape 2">
          <a:extLst>
            <a:ext uri="{FF2B5EF4-FFF2-40B4-BE49-F238E27FC236}">
              <a16:creationId xmlns:a16="http://schemas.microsoft.com/office/drawing/2014/main" id="{10676CFE-08F5-4D5E-B9DC-C124AA8D640E}"/>
            </a:ext>
          </a:extLst>
        </xdr:cNvPr>
        <xdr:cNvGrpSpPr/>
      </xdr:nvGrpSpPr>
      <xdr:grpSpPr>
        <a:xfrm>
          <a:off x="5254978" y="13481756"/>
          <a:ext cx="8162925" cy="647700"/>
          <a:chOff x="1264538" y="3456150"/>
          <a:chExt cx="8162925" cy="647700"/>
        </a:xfrm>
      </xdr:grpSpPr>
      <xdr:grpSp>
        <xdr:nvGrpSpPr>
          <xdr:cNvPr id="67" name="Shape 66">
            <a:extLst>
              <a:ext uri="{FF2B5EF4-FFF2-40B4-BE49-F238E27FC236}">
                <a16:creationId xmlns:a16="http://schemas.microsoft.com/office/drawing/2014/main" id="{6B823D36-6C6C-DED4-7E79-DA0FA05A2EDA}"/>
              </a:ext>
            </a:extLst>
          </xdr:cNvPr>
          <xdr:cNvGrpSpPr/>
        </xdr:nvGrpSpPr>
        <xdr:grpSpPr>
          <a:xfrm>
            <a:off x="1264538" y="3456150"/>
            <a:ext cx="8162925" cy="647700"/>
            <a:chOff x="1264538" y="3456150"/>
            <a:chExt cx="8162925" cy="647700"/>
          </a:xfrm>
        </xdr:grpSpPr>
        <xdr:sp macro="" textlink="">
          <xdr:nvSpPr>
            <xdr:cNvPr id="68" name="Shape 4">
              <a:extLst>
                <a:ext uri="{FF2B5EF4-FFF2-40B4-BE49-F238E27FC236}">
                  <a16:creationId xmlns:a16="http://schemas.microsoft.com/office/drawing/2014/main" id="{A3F81126-42B8-8D4C-851F-52121FFB6F6C}"/>
                </a:ext>
              </a:extLst>
            </xdr:cNvPr>
            <xdr:cNvSpPr/>
          </xdr:nvSpPr>
          <xdr:spPr>
            <a:xfrm>
              <a:off x="1264538" y="3456150"/>
              <a:ext cx="8162925" cy="6477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9" name="Shape 67">
              <a:extLst>
                <a:ext uri="{FF2B5EF4-FFF2-40B4-BE49-F238E27FC236}">
                  <a16:creationId xmlns:a16="http://schemas.microsoft.com/office/drawing/2014/main" id="{83E76655-B9A8-F52C-67C8-81602194BA8D}"/>
                </a:ext>
              </a:extLst>
            </xdr:cNvPr>
            <xdr:cNvGrpSpPr/>
          </xdr:nvGrpSpPr>
          <xdr:grpSpPr>
            <a:xfrm>
              <a:off x="1264538" y="3456150"/>
              <a:ext cx="8162925" cy="647700"/>
              <a:chOff x="1283513" y="3475200"/>
              <a:chExt cx="8124900" cy="609600"/>
            </a:xfrm>
          </xdr:grpSpPr>
          <xdr:sp macro="" textlink="">
            <xdr:nvSpPr>
              <xdr:cNvPr id="70" name="Shape 68">
                <a:extLst>
                  <a:ext uri="{FF2B5EF4-FFF2-40B4-BE49-F238E27FC236}">
                    <a16:creationId xmlns:a16="http://schemas.microsoft.com/office/drawing/2014/main" id="{089C0ECD-95BE-987F-977C-FAE5D1D1176A}"/>
                  </a:ext>
                </a:extLst>
              </xdr:cNvPr>
              <xdr:cNvSpPr/>
            </xdr:nvSpPr>
            <xdr:spPr>
              <a:xfrm>
                <a:off x="1283513" y="3475200"/>
                <a:ext cx="8124900" cy="609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71" name="Shape 69">
                <a:extLst>
                  <a:ext uri="{FF2B5EF4-FFF2-40B4-BE49-F238E27FC236}">
                    <a16:creationId xmlns:a16="http://schemas.microsoft.com/office/drawing/2014/main" id="{97108491-33D5-D2D8-D9AA-C513E499ECE6}"/>
                  </a:ext>
                </a:extLst>
              </xdr:cNvPr>
              <xdr:cNvCxnSpPr>
                <a:stCxn id="56" idx="2"/>
              </xdr:cNvCxnSpPr>
            </xdr:nvCxnSpPr>
            <xdr:spPr>
              <a:xfrm rot="10800000">
                <a:off x="1283513" y="3475200"/>
                <a:ext cx="8124900" cy="609600"/>
              </a:xfrm>
              <a:prstGeom prst="straightConnector1">
                <a:avLst/>
              </a:prstGeom>
              <a:noFill/>
              <a:ln w="38100" cap="flat" cmpd="sng">
                <a:solidFill>
                  <a:schemeClr val="dk1"/>
                </a:solidFill>
                <a:prstDash val="solid"/>
                <a:miter lim="800000"/>
                <a:headEnd type="none" w="sm" len="sm"/>
                <a:tailEnd type="triangle" w="med" len="med"/>
              </a:ln>
            </xdr:spPr>
          </xdr:cxnSp>
        </xdr:grpSp>
      </xdr:grpSp>
    </xdr:grpSp>
    <xdr:clientData fLocksWithSheet="0"/>
  </xdr:oneCellAnchor>
  <xdr:oneCellAnchor>
    <xdr:from>
      <xdr:col>8</xdr:col>
      <xdr:colOff>95250</xdr:colOff>
      <xdr:row>105</xdr:row>
      <xdr:rowOff>142875</xdr:rowOff>
    </xdr:from>
    <xdr:ext cx="3971925" cy="666750"/>
    <xdr:sp macro="" textlink="">
      <xdr:nvSpPr>
        <xdr:cNvPr id="72" name="Shape 70">
          <a:extLst>
            <a:ext uri="{FF2B5EF4-FFF2-40B4-BE49-F238E27FC236}">
              <a16:creationId xmlns:a16="http://schemas.microsoft.com/office/drawing/2014/main" id="{AA7F9C93-80B5-450C-9CEE-E4335ED93B58}"/>
            </a:ext>
          </a:extLst>
        </xdr:cNvPr>
        <xdr:cNvSpPr/>
      </xdr:nvSpPr>
      <xdr:spPr>
        <a:xfrm rot="10800000" flipH="1">
          <a:off x="9818370" y="18949035"/>
          <a:ext cx="3971925" cy="666750"/>
        </a:xfrm>
        <a:prstGeom prst="ellipse">
          <a:avLst/>
        </a:prstGeom>
        <a:noFill/>
        <a:ln w="38100" cap="flat" cmpd="sng">
          <a:solidFill>
            <a:srgbClr val="FF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xdr:col>
      <xdr:colOff>3028950</xdr:colOff>
      <xdr:row>105</xdr:row>
      <xdr:rowOff>142875</xdr:rowOff>
    </xdr:from>
    <xdr:ext cx="4933950" cy="352425"/>
    <xdr:grpSp>
      <xdr:nvGrpSpPr>
        <xdr:cNvPr id="73" name="Shape 2" title="Drawing">
          <a:extLst>
            <a:ext uri="{FF2B5EF4-FFF2-40B4-BE49-F238E27FC236}">
              <a16:creationId xmlns:a16="http://schemas.microsoft.com/office/drawing/2014/main" id="{D0385165-1BDD-4D21-BBF2-5007BAC29CAA}"/>
            </a:ext>
          </a:extLst>
        </xdr:cNvPr>
        <xdr:cNvGrpSpPr/>
      </xdr:nvGrpSpPr>
      <xdr:grpSpPr>
        <a:xfrm>
          <a:off x="4059061" y="18374431"/>
          <a:ext cx="4933950" cy="352425"/>
          <a:chOff x="2879025" y="3603788"/>
          <a:chExt cx="4933950" cy="352425"/>
        </a:xfrm>
      </xdr:grpSpPr>
      <xdr:grpSp>
        <xdr:nvGrpSpPr>
          <xdr:cNvPr id="74" name="Shape 71">
            <a:extLst>
              <a:ext uri="{FF2B5EF4-FFF2-40B4-BE49-F238E27FC236}">
                <a16:creationId xmlns:a16="http://schemas.microsoft.com/office/drawing/2014/main" id="{C400649F-301F-72F4-000F-C7BC0FA3D707}"/>
              </a:ext>
            </a:extLst>
          </xdr:cNvPr>
          <xdr:cNvGrpSpPr/>
        </xdr:nvGrpSpPr>
        <xdr:grpSpPr>
          <a:xfrm>
            <a:off x="2879025" y="3603788"/>
            <a:ext cx="4933950" cy="352425"/>
            <a:chOff x="2879025" y="3603788"/>
            <a:chExt cx="4933950" cy="352425"/>
          </a:xfrm>
        </xdr:grpSpPr>
        <xdr:sp macro="" textlink="">
          <xdr:nvSpPr>
            <xdr:cNvPr id="75" name="Shape 4">
              <a:extLst>
                <a:ext uri="{FF2B5EF4-FFF2-40B4-BE49-F238E27FC236}">
                  <a16:creationId xmlns:a16="http://schemas.microsoft.com/office/drawing/2014/main" id="{75ADACF0-0C65-B6AA-3AB5-6BBF411E17B2}"/>
                </a:ext>
              </a:extLst>
            </xdr:cNvPr>
            <xdr:cNvSpPr/>
          </xdr:nvSpPr>
          <xdr:spPr>
            <a:xfrm>
              <a:off x="2879025" y="3603788"/>
              <a:ext cx="4933950" cy="3524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76" name="Shape 72">
              <a:extLst>
                <a:ext uri="{FF2B5EF4-FFF2-40B4-BE49-F238E27FC236}">
                  <a16:creationId xmlns:a16="http://schemas.microsoft.com/office/drawing/2014/main" id="{77220418-F0B1-0192-8587-79DA8208A1E4}"/>
                </a:ext>
              </a:extLst>
            </xdr:cNvPr>
            <xdr:cNvGrpSpPr/>
          </xdr:nvGrpSpPr>
          <xdr:grpSpPr>
            <a:xfrm>
              <a:off x="2879025" y="3603788"/>
              <a:ext cx="4933950" cy="352425"/>
              <a:chOff x="2897925" y="3622763"/>
              <a:chExt cx="4896000" cy="314400"/>
            </a:xfrm>
          </xdr:grpSpPr>
          <xdr:sp macro="" textlink="">
            <xdr:nvSpPr>
              <xdr:cNvPr id="77" name="Shape 73">
                <a:extLst>
                  <a:ext uri="{FF2B5EF4-FFF2-40B4-BE49-F238E27FC236}">
                    <a16:creationId xmlns:a16="http://schemas.microsoft.com/office/drawing/2014/main" id="{3F450FE0-6CD7-490B-952A-7D1D42DABA3C}"/>
                  </a:ext>
                </a:extLst>
              </xdr:cNvPr>
              <xdr:cNvSpPr/>
            </xdr:nvSpPr>
            <xdr:spPr>
              <a:xfrm>
                <a:off x="2897925" y="3622763"/>
                <a:ext cx="4896000" cy="3144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78" name="Shape 74">
                <a:extLst>
                  <a:ext uri="{FF2B5EF4-FFF2-40B4-BE49-F238E27FC236}">
                    <a16:creationId xmlns:a16="http://schemas.microsoft.com/office/drawing/2014/main" id="{BA84C587-C15A-8535-D237-7F248EBF829B}"/>
                  </a:ext>
                </a:extLst>
              </xdr:cNvPr>
              <xdr:cNvCxnSpPr>
                <a:stCxn id="60" idx="2"/>
              </xdr:cNvCxnSpPr>
            </xdr:nvCxnSpPr>
            <xdr:spPr>
              <a:xfrm rot="10800000">
                <a:off x="2897925" y="3622763"/>
                <a:ext cx="4896000" cy="314400"/>
              </a:xfrm>
              <a:prstGeom prst="straightConnector1">
                <a:avLst/>
              </a:prstGeom>
              <a:noFill/>
              <a:ln w="38100" cap="flat" cmpd="sng">
                <a:solidFill>
                  <a:srgbClr val="FF0000"/>
                </a:solidFill>
                <a:prstDash val="solid"/>
                <a:miter lim="800000"/>
                <a:headEnd type="none" w="sm" len="sm"/>
                <a:tailEnd type="triangle" w="med" len="med"/>
              </a:ln>
            </xdr:spPr>
          </xdr:cxnSp>
        </xdr:grpSp>
      </xdr:grpSp>
    </xdr:grpSp>
    <xdr:clientData fLocksWithSheet="0"/>
  </xdr:oneCellAnchor>
  <xdr:oneCellAnchor>
    <xdr:from>
      <xdr:col>3</xdr:col>
      <xdr:colOff>476250</xdr:colOff>
      <xdr:row>111</xdr:row>
      <xdr:rowOff>123825</xdr:rowOff>
    </xdr:from>
    <xdr:ext cx="1314450" cy="838200"/>
    <xdr:sp macro="" textlink="">
      <xdr:nvSpPr>
        <xdr:cNvPr id="79" name="Shape 75">
          <a:extLst>
            <a:ext uri="{FF2B5EF4-FFF2-40B4-BE49-F238E27FC236}">
              <a16:creationId xmlns:a16="http://schemas.microsoft.com/office/drawing/2014/main" id="{B7F307B7-AD67-4126-AD14-6B882AFF42FF}"/>
            </a:ext>
          </a:extLst>
        </xdr:cNvPr>
        <xdr:cNvSpPr/>
      </xdr:nvSpPr>
      <xdr:spPr>
        <a:xfrm>
          <a:off x="6351270" y="19981545"/>
          <a:ext cx="1314450" cy="838200"/>
        </a:xfrm>
        <a:prstGeom prst="ellipse">
          <a:avLst/>
        </a:prstGeom>
        <a:noFill/>
        <a:ln w="38100" cap="flat" cmpd="sng">
          <a:solidFill>
            <a:schemeClr val="dk1"/>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xdr:col>
      <xdr:colOff>1038225</xdr:colOff>
      <xdr:row>107</xdr:row>
      <xdr:rowOff>95250</xdr:rowOff>
    </xdr:from>
    <xdr:ext cx="3562350" cy="1181100"/>
    <xdr:grpSp>
      <xdr:nvGrpSpPr>
        <xdr:cNvPr id="80" name="Shape 2" title="Drawing">
          <a:extLst>
            <a:ext uri="{FF2B5EF4-FFF2-40B4-BE49-F238E27FC236}">
              <a16:creationId xmlns:a16="http://schemas.microsoft.com/office/drawing/2014/main" id="{08BB0A20-97D9-410A-81C7-CA198636CBD0}"/>
            </a:ext>
          </a:extLst>
        </xdr:cNvPr>
        <xdr:cNvGrpSpPr/>
      </xdr:nvGrpSpPr>
      <xdr:grpSpPr>
        <a:xfrm>
          <a:off x="2068336" y="18665472"/>
          <a:ext cx="3562350" cy="1181100"/>
          <a:chOff x="3564825" y="3189450"/>
          <a:chExt cx="3562350" cy="1181100"/>
        </a:xfrm>
      </xdr:grpSpPr>
      <xdr:grpSp>
        <xdr:nvGrpSpPr>
          <xdr:cNvPr id="81" name="Shape 76">
            <a:extLst>
              <a:ext uri="{FF2B5EF4-FFF2-40B4-BE49-F238E27FC236}">
                <a16:creationId xmlns:a16="http://schemas.microsoft.com/office/drawing/2014/main" id="{3930A099-CB14-EB25-6943-0F9CC919DCFF}"/>
              </a:ext>
            </a:extLst>
          </xdr:cNvPr>
          <xdr:cNvGrpSpPr/>
        </xdr:nvGrpSpPr>
        <xdr:grpSpPr>
          <a:xfrm>
            <a:off x="3564825" y="3189450"/>
            <a:ext cx="3562350" cy="1181100"/>
            <a:chOff x="3564825" y="3189450"/>
            <a:chExt cx="3562350" cy="1181100"/>
          </a:xfrm>
        </xdr:grpSpPr>
        <xdr:sp macro="" textlink="">
          <xdr:nvSpPr>
            <xdr:cNvPr id="82" name="Shape 4">
              <a:extLst>
                <a:ext uri="{FF2B5EF4-FFF2-40B4-BE49-F238E27FC236}">
                  <a16:creationId xmlns:a16="http://schemas.microsoft.com/office/drawing/2014/main" id="{13BAA7D4-1268-F7D0-7FE2-ED3D9C29B4FC}"/>
                </a:ext>
              </a:extLst>
            </xdr:cNvPr>
            <xdr:cNvSpPr/>
          </xdr:nvSpPr>
          <xdr:spPr>
            <a:xfrm>
              <a:off x="3564825" y="3189450"/>
              <a:ext cx="3562350" cy="1181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83" name="Shape 77">
              <a:extLst>
                <a:ext uri="{FF2B5EF4-FFF2-40B4-BE49-F238E27FC236}">
                  <a16:creationId xmlns:a16="http://schemas.microsoft.com/office/drawing/2014/main" id="{37B13524-6A72-55BA-B8F8-E03C63FBFFC6}"/>
                </a:ext>
              </a:extLst>
            </xdr:cNvPr>
            <xdr:cNvGrpSpPr/>
          </xdr:nvGrpSpPr>
          <xdr:grpSpPr>
            <a:xfrm>
              <a:off x="3564825" y="3189450"/>
              <a:ext cx="3562350" cy="1181100"/>
              <a:chOff x="3584025" y="3208500"/>
              <a:chExt cx="3524100" cy="1143000"/>
            </a:xfrm>
          </xdr:grpSpPr>
          <xdr:sp macro="" textlink="">
            <xdr:nvSpPr>
              <xdr:cNvPr id="84" name="Shape 78">
                <a:extLst>
                  <a:ext uri="{FF2B5EF4-FFF2-40B4-BE49-F238E27FC236}">
                    <a16:creationId xmlns:a16="http://schemas.microsoft.com/office/drawing/2014/main" id="{96CF9632-F342-D1CF-2275-2D5CD56FABDF}"/>
                  </a:ext>
                </a:extLst>
              </xdr:cNvPr>
              <xdr:cNvSpPr/>
            </xdr:nvSpPr>
            <xdr:spPr>
              <a:xfrm>
                <a:off x="3584025" y="3208500"/>
                <a:ext cx="3524100" cy="1143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85" name="Shape 79">
                <a:extLst>
                  <a:ext uri="{FF2B5EF4-FFF2-40B4-BE49-F238E27FC236}">
                    <a16:creationId xmlns:a16="http://schemas.microsoft.com/office/drawing/2014/main" id="{D6CFA415-4553-B182-E454-72A9BBE0EBB5}"/>
                  </a:ext>
                </a:extLst>
              </xdr:cNvPr>
              <xdr:cNvCxnSpPr>
                <a:stCxn id="64" idx="2"/>
              </xdr:cNvCxnSpPr>
            </xdr:nvCxnSpPr>
            <xdr:spPr>
              <a:xfrm rot="10800000">
                <a:off x="3584025" y="3208500"/>
                <a:ext cx="3524100" cy="1143000"/>
              </a:xfrm>
              <a:prstGeom prst="straightConnector1">
                <a:avLst/>
              </a:prstGeom>
              <a:noFill/>
              <a:ln w="38100" cap="flat" cmpd="sng">
                <a:solidFill>
                  <a:schemeClr val="dk1"/>
                </a:solidFill>
                <a:prstDash val="solid"/>
                <a:miter lim="800000"/>
                <a:headEnd type="none" w="sm" len="sm"/>
                <a:tailEnd type="triangle" w="med" len="med"/>
              </a:ln>
            </xdr:spPr>
          </xdr:cxnSp>
        </xdr:grpSp>
      </xdr:grpSp>
    </xdr:grpSp>
    <xdr:clientData fLocksWithSheet="0"/>
  </xdr:oneCellAnchor>
  <xdr:oneCellAnchor>
    <xdr:from>
      <xdr:col>6</xdr:col>
      <xdr:colOff>600075</xdr:colOff>
      <xdr:row>112</xdr:row>
      <xdr:rowOff>76200</xdr:rowOff>
    </xdr:from>
    <xdr:ext cx="514350" cy="619125"/>
    <xdr:sp macro="" textlink="">
      <xdr:nvSpPr>
        <xdr:cNvPr id="86" name="Shape 80">
          <a:extLst>
            <a:ext uri="{FF2B5EF4-FFF2-40B4-BE49-F238E27FC236}">
              <a16:creationId xmlns:a16="http://schemas.microsoft.com/office/drawing/2014/main" id="{81B72D1E-6627-44A4-AA61-B9F9D09EDB6E}"/>
            </a:ext>
          </a:extLst>
        </xdr:cNvPr>
        <xdr:cNvSpPr/>
      </xdr:nvSpPr>
      <xdr:spPr>
        <a:xfrm>
          <a:off x="8669655" y="20109180"/>
          <a:ext cx="514350" cy="619125"/>
        </a:xfrm>
        <a:prstGeom prst="ellipse">
          <a:avLst/>
        </a:prstGeom>
        <a:noFill/>
        <a:ln w="38100" cap="flat" cmpd="sng">
          <a:solidFill>
            <a:srgbClr val="517E33"/>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342900</xdr:colOff>
      <xdr:row>109</xdr:row>
      <xdr:rowOff>142875</xdr:rowOff>
    </xdr:from>
    <xdr:ext cx="3152775" cy="800100"/>
    <xdr:grpSp>
      <xdr:nvGrpSpPr>
        <xdr:cNvPr id="87" name="Shape 2" title="Drawing">
          <a:extLst>
            <a:ext uri="{FF2B5EF4-FFF2-40B4-BE49-F238E27FC236}">
              <a16:creationId xmlns:a16="http://schemas.microsoft.com/office/drawing/2014/main" id="{DFB3E376-9F73-4441-9713-B93028021764}"/>
            </a:ext>
          </a:extLst>
        </xdr:cNvPr>
        <xdr:cNvGrpSpPr/>
      </xdr:nvGrpSpPr>
      <xdr:grpSpPr>
        <a:xfrm>
          <a:off x="5521678" y="19051764"/>
          <a:ext cx="3152775" cy="800100"/>
          <a:chOff x="3769613" y="3379950"/>
          <a:chExt cx="3152775" cy="800100"/>
        </a:xfrm>
      </xdr:grpSpPr>
      <xdr:grpSp>
        <xdr:nvGrpSpPr>
          <xdr:cNvPr id="88" name="Shape 81">
            <a:extLst>
              <a:ext uri="{FF2B5EF4-FFF2-40B4-BE49-F238E27FC236}">
                <a16:creationId xmlns:a16="http://schemas.microsoft.com/office/drawing/2014/main" id="{C20158BA-A06A-8CAD-C720-C7EDA39DB50F}"/>
              </a:ext>
            </a:extLst>
          </xdr:cNvPr>
          <xdr:cNvGrpSpPr/>
        </xdr:nvGrpSpPr>
        <xdr:grpSpPr>
          <a:xfrm>
            <a:off x="3769613" y="3379950"/>
            <a:ext cx="3152775" cy="800100"/>
            <a:chOff x="3769613" y="3379950"/>
            <a:chExt cx="3152775" cy="800100"/>
          </a:xfrm>
        </xdr:grpSpPr>
        <xdr:sp macro="" textlink="">
          <xdr:nvSpPr>
            <xdr:cNvPr id="89" name="Shape 4">
              <a:extLst>
                <a:ext uri="{FF2B5EF4-FFF2-40B4-BE49-F238E27FC236}">
                  <a16:creationId xmlns:a16="http://schemas.microsoft.com/office/drawing/2014/main" id="{50F34BB7-05FF-0036-1D07-CE7EB7F93927}"/>
                </a:ext>
              </a:extLst>
            </xdr:cNvPr>
            <xdr:cNvSpPr/>
          </xdr:nvSpPr>
          <xdr:spPr>
            <a:xfrm>
              <a:off x="3769613" y="3379950"/>
              <a:ext cx="3152775" cy="800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90" name="Shape 82">
              <a:extLst>
                <a:ext uri="{FF2B5EF4-FFF2-40B4-BE49-F238E27FC236}">
                  <a16:creationId xmlns:a16="http://schemas.microsoft.com/office/drawing/2014/main" id="{C7443814-C486-7258-E2E3-5A2F2EAE7E44}"/>
                </a:ext>
              </a:extLst>
            </xdr:cNvPr>
            <xdr:cNvGrpSpPr/>
          </xdr:nvGrpSpPr>
          <xdr:grpSpPr>
            <a:xfrm>
              <a:off x="3769613" y="3379950"/>
              <a:ext cx="3152775" cy="800100"/>
              <a:chOff x="3788738" y="3399000"/>
              <a:chExt cx="3114600" cy="762000"/>
            </a:xfrm>
          </xdr:grpSpPr>
          <xdr:sp macro="" textlink="">
            <xdr:nvSpPr>
              <xdr:cNvPr id="91" name="Shape 83">
                <a:extLst>
                  <a:ext uri="{FF2B5EF4-FFF2-40B4-BE49-F238E27FC236}">
                    <a16:creationId xmlns:a16="http://schemas.microsoft.com/office/drawing/2014/main" id="{5DBE708B-0394-CB41-9669-AFDB715890B9}"/>
                  </a:ext>
                </a:extLst>
              </xdr:cNvPr>
              <xdr:cNvSpPr/>
            </xdr:nvSpPr>
            <xdr:spPr>
              <a:xfrm>
                <a:off x="3788738" y="3399000"/>
                <a:ext cx="3114600" cy="762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92" name="Shape 84">
                <a:extLst>
                  <a:ext uri="{FF2B5EF4-FFF2-40B4-BE49-F238E27FC236}">
                    <a16:creationId xmlns:a16="http://schemas.microsoft.com/office/drawing/2014/main" id="{2FACECFB-E056-9B75-A49D-DC4E20121D89}"/>
                  </a:ext>
                </a:extLst>
              </xdr:cNvPr>
              <xdr:cNvCxnSpPr>
                <a:stCxn id="67" idx="2"/>
              </xdr:cNvCxnSpPr>
            </xdr:nvCxnSpPr>
            <xdr:spPr>
              <a:xfrm rot="10800000">
                <a:off x="3788738" y="3399000"/>
                <a:ext cx="3114600" cy="762000"/>
              </a:xfrm>
              <a:prstGeom prst="straightConnector1">
                <a:avLst/>
              </a:prstGeom>
              <a:noFill/>
              <a:ln w="38100" cap="flat" cmpd="sng">
                <a:solidFill>
                  <a:schemeClr val="accent6"/>
                </a:solidFill>
                <a:prstDash val="solid"/>
                <a:miter lim="800000"/>
                <a:headEnd type="none" w="sm" len="sm"/>
                <a:tailEnd type="triangle" w="med" len="med"/>
              </a:ln>
            </xdr:spPr>
          </xdr:cxnSp>
        </xdr:grpSp>
      </xdr:grpSp>
    </xdr:grpSp>
    <xdr:clientData fLocksWithSheet="0"/>
  </xdr:oneCellAnchor>
  <xdr:oneCellAnchor>
    <xdr:from>
      <xdr:col>9</xdr:col>
      <xdr:colOff>114300</xdr:colOff>
      <xdr:row>112</xdr:row>
      <xdr:rowOff>66675</xdr:rowOff>
    </xdr:from>
    <xdr:ext cx="561975" cy="600075"/>
    <xdr:sp macro="" textlink="">
      <xdr:nvSpPr>
        <xdr:cNvPr id="93" name="Shape 85">
          <a:extLst>
            <a:ext uri="{FF2B5EF4-FFF2-40B4-BE49-F238E27FC236}">
              <a16:creationId xmlns:a16="http://schemas.microsoft.com/office/drawing/2014/main" id="{4F4D54BA-392E-44A5-8B2F-9A675E02BC93}"/>
            </a:ext>
          </a:extLst>
        </xdr:cNvPr>
        <xdr:cNvSpPr/>
      </xdr:nvSpPr>
      <xdr:spPr>
        <a:xfrm rot="10800000" flipH="1">
          <a:off x="10485120" y="20099655"/>
          <a:ext cx="561975" cy="600075"/>
        </a:xfrm>
        <a:prstGeom prst="ellipse">
          <a:avLst/>
        </a:prstGeom>
        <a:noFill/>
        <a:ln w="38100" cap="flat" cmpd="sng">
          <a:solidFill>
            <a:srgbClr val="AC5B23"/>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xdr:col>
      <xdr:colOff>1638300</xdr:colOff>
      <xdr:row>111</xdr:row>
      <xdr:rowOff>114300</xdr:rowOff>
    </xdr:from>
    <xdr:ext cx="6972300" cy="476250"/>
    <xdr:grpSp>
      <xdr:nvGrpSpPr>
        <xdr:cNvPr id="94" name="Shape 2" title="Drawing">
          <a:extLst>
            <a:ext uri="{FF2B5EF4-FFF2-40B4-BE49-F238E27FC236}">
              <a16:creationId xmlns:a16="http://schemas.microsoft.com/office/drawing/2014/main" id="{D5A85D5F-9FE7-42F8-97C3-D70AB37FEC19}"/>
            </a:ext>
          </a:extLst>
        </xdr:cNvPr>
        <xdr:cNvGrpSpPr/>
      </xdr:nvGrpSpPr>
      <xdr:grpSpPr>
        <a:xfrm>
          <a:off x="2668411" y="19361856"/>
          <a:ext cx="6972300" cy="476250"/>
          <a:chOff x="1859850" y="3541875"/>
          <a:chExt cx="6972300" cy="476250"/>
        </a:xfrm>
      </xdr:grpSpPr>
      <xdr:grpSp>
        <xdr:nvGrpSpPr>
          <xdr:cNvPr id="95" name="Shape 86">
            <a:extLst>
              <a:ext uri="{FF2B5EF4-FFF2-40B4-BE49-F238E27FC236}">
                <a16:creationId xmlns:a16="http://schemas.microsoft.com/office/drawing/2014/main" id="{A4E477D2-3941-7627-5971-3D563B608390}"/>
              </a:ext>
            </a:extLst>
          </xdr:cNvPr>
          <xdr:cNvGrpSpPr/>
        </xdr:nvGrpSpPr>
        <xdr:grpSpPr>
          <a:xfrm>
            <a:off x="1859850" y="3541875"/>
            <a:ext cx="6972300" cy="476250"/>
            <a:chOff x="1859850" y="3541875"/>
            <a:chExt cx="6972300" cy="476250"/>
          </a:xfrm>
        </xdr:grpSpPr>
        <xdr:sp macro="" textlink="">
          <xdr:nvSpPr>
            <xdr:cNvPr id="96" name="Shape 4">
              <a:extLst>
                <a:ext uri="{FF2B5EF4-FFF2-40B4-BE49-F238E27FC236}">
                  <a16:creationId xmlns:a16="http://schemas.microsoft.com/office/drawing/2014/main" id="{E5D2CDFB-45A0-034E-A5BE-57596DE1CF21}"/>
                </a:ext>
              </a:extLst>
            </xdr:cNvPr>
            <xdr:cNvSpPr/>
          </xdr:nvSpPr>
          <xdr:spPr>
            <a:xfrm>
              <a:off x="1859850" y="3541875"/>
              <a:ext cx="6972300" cy="4762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97" name="Shape 87">
              <a:extLst>
                <a:ext uri="{FF2B5EF4-FFF2-40B4-BE49-F238E27FC236}">
                  <a16:creationId xmlns:a16="http://schemas.microsoft.com/office/drawing/2014/main" id="{11A376D9-1AE5-EDCE-B695-E68E7B0AD0F9}"/>
                </a:ext>
              </a:extLst>
            </xdr:cNvPr>
            <xdr:cNvGrpSpPr/>
          </xdr:nvGrpSpPr>
          <xdr:grpSpPr>
            <a:xfrm>
              <a:off x="1859850" y="3541875"/>
              <a:ext cx="6972300" cy="476250"/>
              <a:chOff x="1878900" y="3560775"/>
              <a:chExt cx="6934200" cy="438300"/>
            </a:xfrm>
          </xdr:grpSpPr>
          <xdr:sp macro="" textlink="">
            <xdr:nvSpPr>
              <xdr:cNvPr id="98" name="Shape 88">
                <a:extLst>
                  <a:ext uri="{FF2B5EF4-FFF2-40B4-BE49-F238E27FC236}">
                    <a16:creationId xmlns:a16="http://schemas.microsoft.com/office/drawing/2014/main" id="{87A681E9-5671-86EE-8989-E0CF57723755}"/>
                  </a:ext>
                </a:extLst>
              </xdr:cNvPr>
              <xdr:cNvSpPr/>
            </xdr:nvSpPr>
            <xdr:spPr>
              <a:xfrm>
                <a:off x="1878900" y="3560775"/>
                <a:ext cx="6934200" cy="4383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99" name="Shape 89">
                <a:extLst>
                  <a:ext uri="{FF2B5EF4-FFF2-40B4-BE49-F238E27FC236}">
                    <a16:creationId xmlns:a16="http://schemas.microsoft.com/office/drawing/2014/main" id="{E0CC8FEB-9A9E-913D-A638-82180249E051}"/>
                  </a:ext>
                </a:extLst>
              </xdr:cNvPr>
              <xdr:cNvCxnSpPr>
                <a:stCxn id="70" idx="2"/>
              </xdr:cNvCxnSpPr>
            </xdr:nvCxnSpPr>
            <xdr:spPr>
              <a:xfrm rot="10800000">
                <a:off x="1878900" y="3560775"/>
                <a:ext cx="6934200" cy="438300"/>
              </a:xfrm>
              <a:prstGeom prst="straightConnector1">
                <a:avLst/>
              </a:prstGeom>
              <a:noFill/>
              <a:ln w="38100" cap="flat" cmpd="sng">
                <a:solidFill>
                  <a:schemeClr val="accent2"/>
                </a:solidFill>
                <a:prstDash val="solid"/>
                <a:miter lim="800000"/>
                <a:headEnd type="none" w="sm" len="sm"/>
                <a:tailEnd type="triangle" w="med" len="med"/>
              </a:ln>
            </xdr:spPr>
          </xdr:cxnSp>
        </xdr:grpSp>
      </xdr:grpSp>
    </xdr:grpSp>
    <xdr:clientData fLocksWithSheet="0"/>
  </xdr:oneCellAnchor>
  <xdr:oneCellAnchor>
    <xdr:from>
      <xdr:col>5</xdr:col>
      <xdr:colOff>457200</xdr:colOff>
      <xdr:row>69</xdr:row>
      <xdr:rowOff>9525</xdr:rowOff>
    </xdr:from>
    <xdr:ext cx="7029450" cy="5372100"/>
    <xdr:pic>
      <xdr:nvPicPr>
        <xdr:cNvPr id="100" name="image4.png">
          <a:extLst>
            <a:ext uri="{FF2B5EF4-FFF2-40B4-BE49-F238E27FC236}">
              <a16:creationId xmlns:a16="http://schemas.microsoft.com/office/drawing/2014/main" id="{E81FDB68-02D9-44C5-8CC9-0D0204C714FB}"/>
            </a:ext>
          </a:extLst>
        </xdr:cNvPr>
        <xdr:cNvPicPr preferRelativeResize="0"/>
      </xdr:nvPicPr>
      <xdr:blipFill>
        <a:blip xmlns:r="http://schemas.openxmlformats.org/officeDocument/2006/relationships" r:embed="rId1" cstate="print"/>
        <a:stretch>
          <a:fillRect/>
        </a:stretch>
      </xdr:blipFill>
      <xdr:spPr>
        <a:xfrm>
          <a:off x="7665720" y="12270105"/>
          <a:ext cx="7029450" cy="5372100"/>
        </a:xfrm>
        <a:prstGeom prst="rect">
          <a:avLst/>
        </a:prstGeom>
        <a:noFill/>
      </xdr:spPr>
    </xdr:pic>
    <xdr:clientData fLocksWithSheet="0"/>
  </xdr:oneCellAnchor>
  <xdr:oneCellAnchor>
    <xdr:from>
      <xdr:col>30</xdr:col>
      <xdr:colOff>85725</xdr:colOff>
      <xdr:row>1</xdr:row>
      <xdr:rowOff>104775</xdr:rowOff>
    </xdr:from>
    <xdr:ext cx="4552950" cy="2286000"/>
    <xdr:pic>
      <xdr:nvPicPr>
        <xdr:cNvPr id="101" name="image8.png">
          <a:extLst>
            <a:ext uri="{FF2B5EF4-FFF2-40B4-BE49-F238E27FC236}">
              <a16:creationId xmlns:a16="http://schemas.microsoft.com/office/drawing/2014/main" id="{EC9EF176-3763-451B-8AF8-B72E610681D7}"/>
            </a:ext>
          </a:extLst>
        </xdr:cNvPr>
        <xdr:cNvPicPr preferRelativeResize="0"/>
      </xdr:nvPicPr>
      <xdr:blipFill>
        <a:blip xmlns:r="http://schemas.openxmlformats.org/officeDocument/2006/relationships" r:embed="rId2" cstate="print"/>
        <a:stretch>
          <a:fillRect/>
        </a:stretch>
      </xdr:blipFill>
      <xdr:spPr>
        <a:xfrm>
          <a:off x="29125545" y="280035"/>
          <a:ext cx="4552950" cy="2286000"/>
        </a:xfrm>
        <a:prstGeom prst="rect">
          <a:avLst/>
        </a:prstGeom>
        <a:noFill/>
      </xdr:spPr>
    </xdr:pic>
    <xdr:clientData fLocksWithSheet="0"/>
  </xdr:oneCellAnchor>
  <xdr:oneCellAnchor>
    <xdr:from>
      <xdr:col>19</xdr:col>
      <xdr:colOff>104775</xdr:colOff>
      <xdr:row>1</xdr:row>
      <xdr:rowOff>123825</xdr:rowOff>
    </xdr:from>
    <xdr:ext cx="5553075" cy="3000375"/>
    <xdr:pic>
      <xdr:nvPicPr>
        <xdr:cNvPr id="102" name="image3.png">
          <a:extLst>
            <a:ext uri="{FF2B5EF4-FFF2-40B4-BE49-F238E27FC236}">
              <a16:creationId xmlns:a16="http://schemas.microsoft.com/office/drawing/2014/main" id="{022006A6-EF06-4403-902B-75232126FAB7}"/>
            </a:ext>
          </a:extLst>
        </xdr:cNvPr>
        <xdr:cNvPicPr preferRelativeResize="0"/>
      </xdr:nvPicPr>
      <xdr:blipFill>
        <a:blip xmlns:r="http://schemas.openxmlformats.org/officeDocument/2006/relationships" r:embed="rId3" cstate="print"/>
        <a:stretch>
          <a:fillRect/>
        </a:stretch>
      </xdr:blipFill>
      <xdr:spPr>
        <a:xfrm>
          <a:off x="21669375" y="299085"/>
          <a:ext cx="5553075" cy="3000375"/>
        </a:xfrm>
        <a:prstGeom prst="rect">
          <a:avLst/>
        </a:prstGeom>
        <a:noFill/>
      </xdr:spPr>
    </xdr:pic>
    <xdr:clientData fLocksWithSheet="0"/>
  </xdr:oneCellAnchor>
  <xdr:oneCellAnchor>
    <xdr:from>
      <xdr:col>19</xdr:col>
      <xdr:colOff>9525</xdr:colOff>
      <xdr:row>25</xdr:row>
      <xdr:rowOff>0</xdr:rowOff>
    </xdr:from>
    <xdr:ext cx="5819775" cy="5095875"/>
    <xdr:pic>
      <xdr:nvPicPr>
        <xdr:cNvPr id="103" name="image6.png">
          <a:extLst>
            <a:ext uri="{FF2B5EF4-FFF2-40B4-BE49-F238E27FC236}">
              <a16:creationId xmlns:a16="http://schemas.microsoft.com/office/drawing/2014/main" id="{24CD4F77-DBBB-4163-921D-7F332B7E47AE}"/>
            </a:ext>
          </a:extLst>
        </xdr:cNvPr>
        <xdr:cNvPicPr preferRelativeResize="0"/>
      </xdr:nvPicPr>
      <xdr:blipFill>
        <a:blip xmlns:r="http://schemas.openxmlformats.org/officeDocument/2006/relationships" r:embed="rId4" cstate="print"/>
        <a:stretch>
          <a:fillRect/>
        </a:stretch>
      </xdr:blipFill>
      <xdr:spPr>
        <a:xfrm>
          <a:off x="21574125" y="4358640"/>
          <a:ext cx="5819775" cy="5095875"/>
        </a:xfrm>
        <a:prstGeom prst="rect">
          <a:avLst/>
        </a:prstGeom>
        <a:noFill/>
      </xdr:spPr>
    </xdr:pic>
    <xdr:clientData fLocksWithSheet="0"/>
  </xdr:oneCellAnchor>
  <xdr:oneCellAnchor>
    <xdr:from>
      <xdr:col>30</xdr:col>
      <xdr:colOff>85725</xdr:colOff>
      <xdr:row>25</xdr:row>
      <xdr:rowOff>0</xdr:rowOff>
    </xdr:from>
    <xdr:ext cx="5743575" cy="3933825"/>
    <xdr:pic>
      <xdr:nvPicPr>
        <xdr:cNvPr id="104" name="image9.png">
          <a:extLst>
            <a:ext uri="{FF2B5EF4-FFF2-40B4-BE49-F238E27FC236}">
              <a16:creationId xmlns:a16="http://schemas.microsoft.com/office/drawing/2014/main" id="{649729B0-4E7B-4A68-8AC3-EB2DB30796DA}"/>
            </a:ext>
          </a:extLst>
        </xdr:cNvPr>
        <xdr:cNvPicPr preferRelativeResize="0"/>
      </xdr:nvPicPr>
      <xdr:blipFill>
        <a:blip xmlns:r="http://schemas.openxmlformats.org/officeDocument/2006/relationships" r:embed="rId5" cstate="print"/>
        <a:stretch>
          <a:fillRect/>
        </a:stretch>
      </xdr:blipFill>
      <xdr:spPr>
        <a:xfrm>
          <a:off x="29125545" y="4358640"/>
          <a:ext cx="5743575" cy="3933825"/>
        </a:xfrm>
        <a:prstGeom prst="rect">
          <a:avLst/>
        </a:prstGeom>
        <a:noFill/>
      </xdr:spPr>
    </xdr:pic>
    <xdr:clientData fLocksWithSheet="0"/>
  </xdr:oneCellAnchor>
  <xdr:oneCellAnchor>
    <xdr:from>
      <xdr:col>19</xdr:col>
      <xdr:colOff>533400</xdr:colOff>
      <xdr:row>51</xdr:row>
      <xdr:rowOff>104775</xdr:rowOff>
    </xdr:from>
    <xdr:ext cx="7038975" cy="2381250"/>
    <xdr:pic>
      <xdr:nvPicPr>
        <xdr:cNvPr id="105" name="image5.png">
          <a:extLst>
            <a:ext uri="{FF2B5EF4-FFF2-40B4-BE49-F238E27FC236}">
              <a16:creationId xmlns:a16="http://schemas.microsoft.com/office/drawing/2014/main" id="{280F9801-23A1-4E6F-AB03-2440E0BC1D6C}"/>
            </a:ext>
          </a:extLst>
        </xdr:cNvPr>
        <xdr:cNvPicPr preferRelativeResize="0"/>
      </xdr:nvPicPr>
      <xdr:blipFill>
        <a:blip xmlns:r="http://schemas.openxmlformats.org/officeDocument/2006/relationships" r:embed="rId6" cstate="print"/>
        <a:stretch>
          <a:fillRect/>
        </a:stretch>
      </xdr:blipFill>
      <xdr:spPr>
        <a:xfrm>
          <a:off x="22098000" y="9111615"/>
          <a:ext cx="7038975" cy="2381250"/>
        </a:xfrm>
        <a:prstGeom prst="rect">
          <a:avLst/>
        </a:prstGeom>
        <a:noFill/>
      </xdr:spPr>
    </xdr:pic>
    <xdr:clientData fLocksWithSheet="0"/>
  </xdr:oneCellAnchor>
  <xdr:oneCellAnchor>
    <xdr:from>
      <xdr:col>6</xdr:col>
      <xdr:colOff>28575</xdr:colOff>
      <xdr:row>30</xdr:row>
      <xdr:rowOff>142875</xdr:rowOff>
    </xdr:from>
    <xdr:ext cx="7391400" cy="5962650"/>
    <xdr:pic>
      <xdr:nvPicPr>
        <xdr:cNvPr id="106" name="image10.png">
          <a:extLst>
            <a:ext uri="{FF2B5EF4-FFF2-40B4-BE49-F238E27FC236}">
              <a16:creationId xmlns:a16="http://schemas.microsoft.com/office/drawing/2014/main" id="{1EEE520B-29B2-4C71-9CF0-4BBA503DEA8C}"/>
            </a:ext>
            <a:ext uri="{147F2762-F138-4A5C-976F-8EAC2B608ADB}">
              <a16:predDERef xmlns:a16="http://schemas.microsoft.com/office/drawing/2014/main" pred="{00000000-0008-0000-0400-00006B000000}"/>
            </a:ext>
          </a:extLst>
        </xdr:cNvPr>
        <xdr:cNvPicPr preferRelativeResize="0"/>
      </xdr:nvPicPr>
      <xdr:blipFill>
        <a:blip xmlns:r="http://schemas.openxmlformats.org/officeDocument/2006/relationships" r:embed="rId7" cstate="print"/>
        <a:stretch>
          <a:fillRect/>
        </a:stretch>
      </xdr:blipFill>
      <xdr:spPr>
        <a:xfrm>
          <a:off x="8098155" y="5446395"/>
          <a:ext cx="7391400" cy="5962650"/>
        </a:xfrm>
        <a:prstGeom prst="rect">
          <a:avLst/>
        </a:prstGeom>
        <a:noFill/>
      </xdr:spPr>
    </xdr:pic>
    <xdr:clientData fLocksWithSheet="0"/>
  </xdr:oneCellAnchor>
  <xdr:oneCellAnchor>
    <xdr:from>
      <xdr:col>3</xdr:col>
      <xdr:colOff>533400</xdr:colOff>
      <xdr:row>105</xdr:row>
      <xdr:rowOff>57150</xdr:rowOff>
    </xdr:from>
    <xdr:ext cx="7010400" cy="3076575"/>
    <xdr:pic>
      <xdr:nvPicPr>
        <xdr:cNvPr id="107" name="image7.png" title="Image">
          <a:extLst>
            <a:ext uri="{FF2B5EF4-FFF2-40B4-BE49-F238E27FC236}">
              <a16:creationId xmlns:a16="http://schemas.microsoft.com/office/drawing/2014/main" id="{A58D2762-1E5D-48BC-822C-85560AAA31A6}"/>
            </a:ext>
            <a:ext uri="{147F2762-F138-4A5C-976F-8EAC2B608ADB}">
              <a16:predDERef xmlns:a16="http://schemas.microsoft.com/office/drawing/2014/main" pred="{00000000-0008-0000-0400-000066000000}"/>
            </a:ext>
          </a:extLst>
        </xdr:cNvPr>
        <xdr:cNvPicPr preferRelativeResize="0"/>
      </xdr:nvPicPr>
      <xdr:blipFill>
        <a:blip xmlns:r="http://schemas.openxmlformats.org/officeDocument/2006/relationships" r:embed="rId8" cstate="print"/>
        <a:stretch>
          <a:fillRect/>
        </a:stretch>
      </xdr:blipFill>
      <xdr:spPr>
        <a:xfrm>
          <a:off x="6408420" y="18863310"/>
          <a:ext cx="7010400" cy="3076575"/>
        </a:xfrm>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twoCellAnchor editAs="oneCell">
    <xdr:from>
      <xdr:col>10</xdr:col>
      <xdr:colOff>487865</xdr:colOff>
      <xdr:row>1</xdr:row>
      <xdr:rowOff>53146</xdr:rowOff>
    </xdr:from>
    <xdr:to>
      <xdr:col>13</xdr:col>
      <xdr:colOff>116159</xdr:colOff>
      <xdr:row>7</xdr:row>
      <xdr:rowOff>84048</xdr:rowOff>
    </xdr:to>
    <xdr:pic>
      <xdr:nvPicPr>
        <xdr:cNvPr id="2" name="Gambar 1">
          <a:extLst>
            <a:ext uri="{FF2B5EF4-FFF2-40B4-BE49-F238E27FC236}">
              <a16:creationId xmlns:a16="http://schemas.microsoft.com/office/drawing/2014/main" id="{A0F61A7E-743F-49DE-B557-854F087ED3C0}"/>
            </a:ext>
          </a:extLst>
        </xdr:cNvPr>
        <xdr:cNvPicPr>
          <a:picLocks noChangeAspect="1"/>
        </xdr:cNvPicPr>
      </xdr:nvPicPr>
      <xdr:blipFill>
        <a:blip xmlns:r="http://schemas.openxmlformats.org/officeDocument/2006/relationships" r:embed="rId1"/>
        <a:stretch>
          <a:fillRect/>
        </a:stretch>
      </xdr:blipFill>
      <xdr:spPr>
        <a:xfrm>
          <a:off x="9875705" y="228406"/>
          <a:ext cx="1457094" cy="108246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11</xdr:col>
      <xdr:colOff>0</xdr:colOff>
      <xdr:row>1</xdr:row>
      <xdr:rowOff>84667</xdr:rowOff>
    </xdr:from>
    <xdr:to>
      <xdr:col>12</xdr:col>
      <xdr:colOff>522112</xdr:colOff>
      <xdr:row>7</xdr:row>
      <xdr:rowOff>40364</xdr:rowOff>
    </xdr:to>
    <xdr:pic>
      <xdr:nvPicPr>
        <xdr:cNvPr id="3" name="Picture 2">
          <a:extLst>
            <a:ext uri="{FF2B5EF4-FFF2-40B4-BE49-F238E27FC236}">
              <a16:creationId xmlns:a16="http://schemas.microsoft.com/office/drawing/2014/main" id="{AFDD41CD-9AFC-49DE-77DB-56212D669D72}"/>
            </a:ext>
          </a:extLst>
        </xdr:cNvPr>
        <xdr:cNvPicPr>
          <a:picLocks noChangeAspect="1"/>
        </xdr:cNvPicPr>
      </xdr:nvPicPr>
      <xdr:blipFill>
        <a:blip xmlns:r="http://schemas.openxmlformats.org/officeDocument/2006/relationships" r:embed="rId1"/>
        <a:stretch>
          <a:fillRect/>
        </a:stretch>
      </xdr:blipFill>
      <xdr:spPr>
        <a:xfrm>
          <a:off x="9736667" y="254000"/>
          <a:ext cx="1128889" cy="97169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oneCellAnchor>
    <xdr:from>
      <xdr:col>6</xdr:col>
      <xdr:colOff>600075</xdr:colOff>
      <xdr:row>31</xdr:row>
      <xdr:rowOff>-19050</xdr:rowOff>
    </xdr:from>
    <xdr:ext cx="6553200" cy="1800225"/>
    <xdr:sp macro="" textlink="">
      <xdr:nvSpPr>
        <xdr:cNvPr id="2" name="Shape 20">
          <a:extLst>
            <a:ext uri="{FF2B5EF4-FFF2-40B4-BE49-F238E27FC236}">
              <a16:creationId xmlns:a16="http://schemas.microsoft.com/office/drawing/2014/main" id="{F749B45E-1626-47C6-B608-F43A7ED374ED}"/>
            </a:ext>
          </a:extLst>
        </xdr:cNvPr>
        <xdr:cNvSpPr/>
      </xdr:nvSpPr>
      <xdr:spPr>
        <a:xfrm>
          <a:off x="9010650" y="10725150"/>
          <a:ext cx="6553200" cy="1800225"/>
        </a:xfrm>
        <a:prstGeom prst="ellipse">
          <a:avLst/>
        </a:prstGeom>
        <a:noFill/>
        <a:ln w="38100" cap="flat" cmpd="sng">
          <a:solidFill>
            <a:srgbClr val="31538F"/>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xdr:col>
      <xdr:colOff>1057275</xdr:colOff>
      <xdr:row>31</xdr:row>
      <xdr:rowOff>66675</xdr:rowOff>
    </xdr:from>
    <xdr:ext cx="6477000" cy="342900"/>
    <xdr:grpSp>
      <xdr:nvGrpSpPr>
        <xdr:cNvPr id="3" name="Shape 2">
          <a:extLst>
            <a:ext uri="{FF2B5EF4-FFF2-40B4-BE49-F238E27FC236}">
              <a16:creationId xmlns:a16="http://schemas.microsoft.com/office/drawing/2014/main" id="{14201BC0-66DA-4271-A958-45D9FEDB749A}"/>
            </a:ext>
          </a:extLst>
        </xdr:cNvPr>
        <xdr:cNvGrpSpPr/>
      </xdr:nvGrpSpPr>
      <xdr:grpSpPr>
        <a:xfrm>
          <a:off x="2084820" y="5504584"/>
          <a:ext cx="6477000" cy="342900"/>
          <a:chOff x="2107500" y="3608550"/>
          <a:chExt cx="6477001" cy="342900"/>
        </a:xfrm>
      </xdr:grpSpPr>
      <xdr:grpSp>
        <xdr:nvGrpSpPr>
          <xdr:cNvPr id="4" name="Shape 21">
            <a:extLst>
              <a:ext uri="{FF2B5EF4-FFF2-40B4-BE49-F238E27FC236}">
                <a16:creationId xmlns:a16="http://schemas.microsoft.com/office/drawing/2014/main" id="{35509F62-3C1B-BA4D-0A21-58FBA4212266}"/>
              </a:ext>
            </a:extLst>
          </xdr:cNvPr>
          <xdr:cNvGrpSpPr/>
        </xdr:nvGrpSpPr>
        <xdr:grpSpPr>
          <a:xfrm>
            <a:off x="2107500" y="3608550"/>
            <a:ext cx="6477001" cy="342900"/>
            <a:chOff x="2107500" y="3608550"/>
            <a:chExt cx="6477001" cy="342900"/>
          </a:xfrm>
        </xdr:grpSpPr>
        <xdr:sp macro="" textlink="">
          <xdr:nvSpPr>
            <xdr:cNvPr id="5" name="Shape 4">
              <a:extLst>
                <a:ext uri="{FF2B5EF4-FFF2-40B4-BE49-F238E27FC236}">
                  <a16:creationId xmlns:a16="http://schemas.microsoft.com/office/drawing/2014/main" id="{84DD8795-F309-6B88-FF31-8947E2837A8A}"/>
                </a:ext>
              </a:extLst>
            </xdr:cNvPr>
            <xdr:cNvSpPr/>
          </xdr:nvSpPr>
          <xdr:spPr>
            <a:xfrm>
              <a:off x="2107500" y="3608550"/>
              <a:ext cx="6477000" cy="3429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 name="Shape 22">
              <a:extLst>
                <a:ext uri="{FF2B5EF4-FFF2-40B4-BE49-F238E27FC236}">
                  <a16:creationId xmlns:a16="http://schemas.microsoft.com/office/drawing/2014/main" id="{52174F9A-6A00-8516-E3EF-A84CB196A0D0}"/>
                </a:ext>
              </a:extLst>
            </xdr:cNvPr>
            <xdr:cNvGrpSpPr/>
          </xdr:nvGrpSpPr>
          <xdr:grpSpPr>
            <a:xfrm>
              <a:off x="2107500" y="3608550"/>
              <a:ext cx="6477001" cy="342900"/>
              <a:chOff x="2126550" y="3627600"/>
              <a:chExt cx="6438900" cy="304800"/>
            </a:xfrm>
          </xdr:grpSpPr>
          <xdr:sp macro="" textlink="">
            <xdr:nvSpPr>
              <xdr:cNvPr id="7" name="Shape 23">
                <a:extLst>
                  <a:ext uri="{FF2B5EF4-FFF2-40B4-BE49-F238E27FC236}">
                    <a16:creationId xmlns:a16="http://schemas.microsoft.com/office/drawing/2014/main" id="{0B6A4E70-ECB5-C79A-9710-F788F6C3DAA2}"/>
                  </a:ext>
                </a:extLst>
              </xdr:cNvPr>
              <xdr:cNvSpPr/>
            </xdr:nvSpPr>
            <xdr:spPr>
              <a:xfrm>
                <a:off x="2126550" y="3627600"/>
                <a:ext cx="6438900" cy="3048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8" name="Shape 24">
                <a:extLst>
                  <a:ext uri="{FF2B5EF4-FFF2-40B4-BE49-F238E27FC236}">
                    <a16:creationId xmlns:a16="http://schemas.microsoft.com/office/drawing/2014/main" id="{64796BD9-015D-1937-4CBC-650BB80E4107}"/>
                  </a:ext>
                </a:extLst>
              </xdr:cNvPr>
              <xdr:cNvCxnSpPr/>
            </xdr:nvCxnSpPr>
            <xdr:spPr>
              <a:xfrm rot="10800000">
                <a:off x="2126550" y="3627600"/>
                <a:ext cx="6438900" cy="304800"/>
              </a:xfrm>
              <a:prstGeom prst="straightConnector1">
                <a:avLst/>
              </a:prstGeom>
              <a:noFill/>
              <a:ln w="38100" cap="flat" cmpd="sng">
                <a:solidFill>
                  <a:schemeClr val="accent1"/>
                </a:solidFill>
                <a:prstDash val="solid"/>
                <a:miter lim="800000"/>
                <a:headEnd type="none" w="sm" len="sm"/>
                <a:tailEnd type="triangle" w="med" len="med"/>
              </a:ln>
            </xdr:spPr>
          </xdr:cxnSp>
        </xdr:grpSp>
      </xdr:grpSp>
    </xdr:grpSp>
    <xdr:clientData fLocksWithSheet="0"/>
  </xdr:oneCellAnchor>
  <xdr:oneCellAnchor>
    <xdr:from>
      <xdr:col>10</xdr:col>
      <xdr:colOff>38100</xdr:colOff>
      <xdr:row>39</xdr:row>
      <xdr:rowOff>123825</xdr:rowOff>
    </xdr:from>
    <xdr:ext cx="1476375" cy="457200"/>
    <xdr:sp macro="" textlink="">
      <xdr:nvSpPr>
        <xdr:cNvPr id="9" name="Shape 25">
          <a:extLst>
            <a:ext uri="{FF2B5EF4-FFF2-40B4-BE49-F238E27FC236}">
              <a16:creationId xmlns:a16="http://schemas.microsoft.com/office/drawing/2014/main" id="{27D21350-040B-47E5-B72B-100D883793EC}"/>
            </a:ext>
          </a:extLst>
        </xdr:cNvPr>
        <xdr:cNvSpPr/>
      </xdr:nvSpPr>
      <xdr:spPr>
        <a:xfrm rot="10800000" flipH="1">
          <a:off x="11687175" y="12315825"/>
          <a:ext cx="1476375" cy="457200"/>
        </a:xfrm>
        <a:prstGeom prst="ellipse">
          <a:avLst/>
        </a:prstGeom>
        <a:noFill/>
        <a:ln w="38100" cap="flat" cmpd="sng">
          <a:solidFill>
            <a:srgbClr val="517E33"/>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5</xdr:col>
      <xdr:colOff>361950</xdr:colOff>
      <xdr:row>33</xdr:row>
      <xdr:rowOff>95250</xdr:rowOff>
    </xdr:from>
    <xdr:ext cx="3619500" cy="1362075"/>
    <xdr:grpSp>
      <xdr:nvGrpSpPr>
        <xdr:cNvPr id="10" name="Shape 2">
          <a:extLst>
            <a:ext uri="{FF2B5EF4-FFF2-40B4-BE49-F238E27FC236}">
              <a16:creationId xmlns:a16="http://schemas.microsoft.com/office/drawing/2014/main" id="{BD4DB437-1C49-41BC-B402-EEFCBE0F355C}"/>
            </a:ext>
          </a:extLst>
        </xdr:cNvPr>
        <xdr:cNvGrpSpPr/>
      </xdr:nvGrpSpPr>
      <xdr:grpSpPr>
        <a:xfrm>
          <a:off x="7577859" y="5879523"/>
          <a:ext cx="3619500" cy="1362075"/>
          <a:chOff x="3536250" y="3098963"/>
          <a:chExt cx="3619500" cy="1362075"/>
        </a:xfrm>
      </xdr:grpSpPr>
      <xdr:grpSp>
        <xdr:nvGrpSpPr>
          <xdr:cNvPr id="11" name="Shape 26">
            <a:extLst>
              <a:ext uri="{FF2B5EF4-FFF2-40B4-BE49-F238E27FC236}">
                <a16:creationId xmlns:a16="http://schemas.microsoft.com/office/drawing/2014/main" id="{0025AC6D-79B2-6448-B2DD-BFCF668C0A24}"/>
              </a:ext>
            </a:extLst>
          </xdr:cNvPr>
          <xdr:cNvGrpSpPr/>
        </xdr:nvGrpSpPr>
        <xdr:grpSpPr>
          <a:xfrm>
            <a:off x="3536250" y="3098963"/>
            <a:ext cx="3619500" cy="1362075"/>
            <a:chOff x="3536250" y="3098963"/>
            <a:chExt cx="3619500" cy="1362075"/>
          </a:xfrm>
        </xdr:grpSpPr>
        <xdr:sp macro="" textlink="">
          <xdr:nvSpPr>
            <xdr:cNvPr id="12" name="Shape 4">
              <a:extLst>
                <a:ext uri="{FF2B5EF4-FFF2-40B4-BE49-F238E27FC236}">
                  <a16:creationId xmlns:a16="http://schemas.microsoft.com/office/drawing/2014/main" id="{2C24658C-42ED-311B-9074-537C8AC42E69}"/>
                </a:ext>
              </a:extLst>
            </xdr:cNvPr>
            <xdr:cNvSpPr/>
          </xdr:nvSpPr>
          <xdr:spPr>
            <a:xfrm>
              <a:off x="3536250" y="3098963"/>
              <a:ext cx="3619500" cy="13620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13" name="Shape 27">
              <a:extLst>
                <a:ext uri="{FF2B5EF4-FFF2-40B4-BE49-F238E27FC236}">
                  <a16:creationId xmlns:a16="http://schemas.microsoft.com/office/drawing/2014/main" id="{E80C3B22-C813-82D6-53CD-02BF47BE7264}"/>
                </a:ext>
              </a:extLst>
            </xdr:cNvPr>
            <xdr:cNvGrpSpPr/>
          </xdr:nvGrpSpPr>
          <xdr:grpSpPr>
            <a:xfrm>
              <a:off x="3536250" y="3098963"/>
              <a:ext cx="3619500" cy="1362075"/>
              <a:chOff x="3555300" y="3118088"/>
              <a:chExt cx="3581400" cy="1323900"/>
            </a:xfrm>
          </xdr:grpSpPr>
          <xdr:sp macro="" textlink="">
            <xdr:nvSpPr>
              <xdr:cNvPr id="14" name="Shape 28">
                <a:extLst>
                  <a:ext uri="{FF2B5EF4-FFF2-40B4-BE49-F238E27FC236}">
                    <a16:creationId xmlns:a16="http://schemas.microsoft.com/office/drawing/2014/main" id="{BE36ED7B-414D-6760-C8B3-CBBE4EE6BF61}"/>
                  </a:ext>
                </a:extLst>
              </xdr:cNvPr>
              <xdr:cNvSpPr/>
            </xdr:nvSpPr>
            <xdr:spPr>
              <a:xfrm>
                <a:off x="3555300" y="3118088"/>
                <a:ext cx="3581400" cy="13239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15" name="Shape 29">
                <a:extLst>
                  <a:ext uri="{FF2B5EF4-FFF2-40B4-BE49-F238E27FC236}">
                    <a16:creationId xmlns:a16="http://schemas.microsoft.com/office/drawing/2014/main" id="{EB26F978-C257-AF6B-C93F-4651126ED03E}"/>
                  </a:ext>
                </a:extLst>
              </xdr:cNvPr>
              <xdr:cNvCxnSpPr>
                <a:stCxn id="54" idx="2"/>
              </xdr:cNvCxnSpPr>
            </xdr:nvCxnSpPr>
            <xdr:spPr>
              <a:xfrm rot="10800000">
                <a:off x="3555300" y="3118088"/>
                <a:ext cx="3581400" cy="1323900"/>
              </a:xfrm>
              <a:prstGeom prst="straightConnector1">
                <a:avLst/>
              </a:prstGeom>
              <a:noFill/>
              <a:ln w="38100" cap="flat" cmpd="sng">
                <a:solidFill>
                  <a:schemeClr val="accent6"/>
                </a:solidFill>
                <a:prstDash val="solid"/>
                <a:miter lim="800000"/>
                <a:headEnd type="none" w="sm" len="sm"/>
                <a:tailEnd type="triangle" w="med" len="med"/>
              </a:ln>
            </xdr:spPr>
          </xdr:cxnSp>
        </xdr:grpSp>
      </xdr:grpSp>
    </xdr:grpSp>
    <xdr:clientData fLocksWithSheet="0"/>
  </xdr:oneCellAnchor>
  <xdr:oneCellAnchor>
    <xdr:from>
      <xdr:col>9</xdr:col>
      <xdr:colOff>571500</xdr:colOff>
      <xdr:row>41</xdr:row>
      <xdr:rowOff>47625</xdr:rowOff>
    </xdr:from>
    <xdr:ext cx="2066925" cy="419100"/>
    <xdr:sp macro="" textlink="">
      <xdr:nvSpPr>
        <xdr:cNvPr id="16" name="Shape 30">
          <a:extLst>
            <a:ext uri="{FF2B5EF4-FFF2-40B4-BE49-F238E27FC236}">
              <a16:creationId xmlns:a16="http://schemas.microsoft.com/office/drawing/2014/main" id="{BAF4185E-95DB-4166-9DA1-C837F5FA2811}"/>
            </a:ext>
          </a:extLst>
        </xdr:cNvPr>
        <xdr:cNvSpPr/>
      </xdr:nvSpPr>
      <xdr:spPr>
        <a:xfrm rot="10800000" flipH="1">
          <a:off x="11377613" y="12620625"/>
          <a:ext cx="2066925" cy="419100"/>
        </a:xfrm>
        <a:prstGeom prst="ellipse">
          <a:avLst/>
        </a:prstGeom>
        <a:noFill/>
        <a:ln w="38100" cap="flat" cmpd="sng">
          <a:solidFill>
            <a:srgbClr val="BA8C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180975</xdr:colOff>
      <xdr:row>35</xdr:row>
      <xdr:rowOff>104775</xdr:rowOff>
    </xdr:from>
    <xdr:ext cx="4200525" cy="1276350"/>
    <xdr:grpSp>
      <xdr:nvGrpSpPr>
        <xdr:cNvPr id="17" name="Shape 2">
          <a:extLst>
            <a:ext uri="{FF2B5EF4-FFF2-40B4-BE49-F238E27FC236}">
              <a16:creationId xmlns:a16="http://schemas.microsoft.com/office/drawing/2014/main" id="{B2D45B9F-EFD2-4EC9-A558-AD8E962FE8FF}"/>
            </a:ext>
          </a:extLst>
        </xdr:cNvPr>
        <xdr:cNvGrpSpPr/>
      </xdr:nvGrpSpPr>
      <xdr:grpSpPr>
        <a:xfrm>
          <a:off x="6681066" y="6235411"/>
          <a:ext cx="4200525" cy="1276350"/>
          <a:chOff x="3245738" y="3141825"/>
          <a:chExt cx="4200526" cy="1276350"/>
        </a:xfrm>
      </xdr:grpSpPr>
      <xdr:grpSp>
        <xdr:nvGrpSpPr>
          <xdr:cNvPr id="18" name="Shape 31">
            <a:extLst>
              <a:ext uri="{FF2B5EF4-FFF2-40B4-BE49-F238E27FC236}">
                <a16:creationId xmlns:a16="http://schemas.microsoft.com/office/drawing/2014/main" id="{B0375EA6-50B0-74D2-009B-4EF1F2EAE886}"/>
              </a:ext>
            </a:extLst>
          </xdr:cNvPr>
          <xdr:cNvGrpSpPr/>
        </xdr:nvGrpSpPr>
        <xdr:grpSpPr>
          <a:xfrm>
            <a:off x="3245738" y="3141825"/>
            <a:ext cx="4200526" cy="1276350"/>
            <a:chOff x="3245738" y="3141825"/>
            <a:chExt cx="4200526" cy="1276350"/>
          </a:xfrm>
        </xdr:grpSpPr>
        <xdr:sp macro="" textlink="">
          <xdr:nvSpPr>
            <xdr:cNvPr id="19" name="Shape 4">
              <a:extLst>
                <a:ext uri="{FF2B5EF4-FFF2-40B4-BE49-F238E27FC236}">
                  <a16:creationId xmlns:a16="http://schemas.microsoft.com/office/drawing/2014/main" id="{862BCA87-B3A2-EFA6-84C3-F97A525731B3}"/>
                </a:ext>
              </a:extLst>
            </xdr:cNvPr>
            <xdr:cNvSpPr/>
          </xdr:nvSpPr>
          <xdr:spPr>
            <a:xfrm>
              <a:off x="3245738" y="3141825"/>
              <a:ext cx="4200525" cy="12763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20" name="Shape 32">
              <a:extLst>
                <a:ext uri="{FF2B5EF4-FFF2-40B4-BE49-F238E27FC236}">
                  <a16:creationId xmlns:a16="http://schemas.microsoft.com/office/drawing/2014/main" id="{9DCD36C2-2A6D-DBBB-BA15-BB046FE0ACE7}"/>
                </a:ext>
              </a:extLst>
            </xdr:cNvPr>
            <xdr:cNvGrpSpPr/>
          </xdr:nvGrpSpPr>
          <xdr:grpSpPr>
            <a:xfrm>
              <a:off x="3245738" y="3141825"/>
              <a:ext cx="4200525" cy="1276350"/>
              <a:chOff x="3264788" y="3156113"/>
              <a:chExt cx="4162425" cy="1247775"/>
            </a:xfrm>
          </xdr:grpSpPr>
          <xdr:sp macro="" textlink="">
            <xdr:nvSpPr>
              <xdr:cNvPr id="21" name="Shape 33">
                <a:extLst>
                  <a:ext uri="{FF2B5EF4-FFF2-40B4-BE49-F238E27FC236}">
                    <a16:creationId xmlns:a16="http://schemas.microsoft.com/office/drawing/2014/main" id="{E181F49A-6E92-F6C4-C93C-70E9D5BAAD13}"/>
                  </a:ext>
                </a:extLst>
              </xdr:cNvPr>
              <xdr:cNvSpPr/>
            </xdr:nvSpPr>
            <xdr:spPr>
              <a:xfrm>
                <a:off x="3264788" y="3156113"/>
                <a:ext cx="4162425" cy="12477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22" name="Shape 34">
                <a:extLst>
                  <a:ext uri="{FF2B5EF4-FFF2-40B4-BE49-F238E27FC236}">
                    <a16:creationId xmlns:a16="http://schemas.microsoft.com/office/drawing/2014/main" id="{33189E04-4647-B17D-F07C-28D143B57B39}"/>
                  </a:ext>
                </a:extLst>
              </xdr:cNvPr>
              <xdr:cNvCxnSpPr/>
            </xdr:nvCxnSpPr>
            <xdr:spPr>
              <a:xfrm rot="10800000">
                <a:off x="3264788" y="3156113"/>
                <a:ext cx="4162425" cy="1247775"/>
              </a:xfrm>
              <a:prstGeom prst="straightConnector1">
                <a:avLst/>
              </a:prstGeom>
              <a:noFill/>
              <a:ln w="38100" cap="flat" cmpd="sng">
                <a:solidFill>
                  <a:schemeClr val="accent4"/>
                </a:solidFill>
                <a:prstDash val="solid"/>
                <a:miter lim="800000"/>
                <a:headEnd type="none" w="sm" len="sm"/>
                <a:tailEnd type="triangle" w="med" len="med"/>
              </a:ln>
            </xdr:spPr>
          </xdr:cxnSp>
        </xdr:grpSp>
      </xdr:grpSp>
    </xdr:grpSp>
    <xdr:clientData fLocksWithSheet="0"/>
  </xdr:oneCellAnchor>
  <xdr:oneCellAnchor>
    <xdr:from>
      <xdr:col>9</xdr:col>
      <xdr:colOff>600075</xdr:colOff>
      <xdr:row>43</xdr:row>
      <xdr:rowOff>-38100</xdr:rowOff>
    </xdr:from>
    <xdr:ext cx="2076450" cy="428625"/>
    <xdr:sp macro="" textlink="">
      <xdr:nvSpPr>
        <xdr:cNvPr id="23" name="Shape 35">
          <a:extLst>
            <a:ext uri="{FF2B5EF4-FFF2-40B4-BE49-F238E27FC236}">
              <a16:creationId xmlns:a16="http://schemas.microsoft.com/office/drawing/2014/main" id="{6CF11BEF-E0DE-4E86-A22A-88C55F7CD766}"/>
            </a:ext>
          </a:extLst>
        </xdr:cNvPr>
        <xdr:cNvSpPr/>
      </xdr:nvSpPr>
      <xdr:spPr>
        <a:xfrm rot="10800000" flipH="1">
          <a:off x="11406188" y="12896850"/>
          <a:ext cx="2076450" cy="428625"/>
        </a:xfrm>
        <a:prstGeom prst="ellipse">
          <a:avLst/>
        </a:prstGeom>
        <a:noFill/>
        <a:ln w="38100" cap="flat" cmpd="sng">
          <a:solidFill>
            <a:schemeClr val="dk1"/>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66675</xdr:colOff>
      <xdr:row>37</xdr:row>
      <xdr:rowOff>95250</xdr:rowOff>
    </xdr:from>
    <xdr:ext cx="4381500" cy="1200150"/>
    <xdr:grpSp>
      <xdr:nvGrpSpPr>
        <xdr:cNvPr id="24" name="Shape 2">
          <a:extLst>
            <a:ext uri="{FF2B5EF4-FFF2-40B4-BE49-F238E27FC236}">
              <a16:creationId xmlns:a16="http://schemas.microsoft.com/office/drawing/2014/main" id="{BB96A133-2582-47DA-8D67-365FFDCFED5D}"/>
            </a:ext>
          </a:extLst>
        </xdr:cNvPr>
        <xdr:cNvGrpSpPr/>
      </xdr:nvGrpSpPr>
      <xdr:grpSpPr>
        <a:xfrm>
          <a:off x="6566766" y="6572250"/>
          <a:ext cx="4381500" cy="1200150"/>
          <a:chOff x="3155250" y="3179925"/>
          <a:chExt cx="4381500" cy="1200150"/>
        </a:xfrm>
      </xdr:grpSpPr>
      <xdr:grpSp>
        <xdr:nvGrpSpPr>
          <xdr:cNvPr id="25" name="Shape 36">
            <a:extLst>
              <a:ext uri="{FF2B5EF4-FFF2-40B4-BE49-F238E27FC236}">
                <a16:creationId xmlns:a16="http://schemas.microsoft.com/office/drawing/2014/main" id="{2E1EC5A7-77E7-3C9E-6A81-ECD8BD53463E}"/>
              </a:ext>
            </a:extLst>
          </xdr:cNvPr>
          <xdr:cNvGrpSpPr/>
        </xdr:nvGrpSpPr>
        <xdr:grpSpPr>
          <a:xfrm>
            <a:off x="3155250" y="3179925"/>
            <a:ext cx="4381500" cy="1200150"/>
            <a:chOff x="3155250" y="3179925"/>
            <a:chExt cx="4381500" cy="1200150"/>
          </a:xfrm>
        </xdr:grpSpPr>
        <xdr:sp macro="" textlink="">
          <xdr:nvSpPr>
            <xdr:cNvPr id="26" name="Shape 4">
              <a:extLst>
                <a:ext uri="{FF2B5EF4-FFF2-40B4-BE49-F238E27FC236}">
                  <a16:creationId xmlns:a16="http://schemas.microsoft.com/office/drawing/2014/main" id="{408B04F5-7723-14E3-DC62-A352CE600419}"/>
                </a:ext>
              </a:extLst>
            </xdr:cNvPr>
            <xdr:cNvSpPr/>
          </xdr:nvSpPr>
          <xdr:spPr>
            <a:xfrm>
              <a:off x="3155250" y="3179925"/>
              <a:ext cx="4381500" cy="1200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27" name="Shape 37">
              <a:extLst>
                <a:ext uri="{FF2B5EF4-FFF2-40B4-BE49-F238E27FC236}">
                  <a16:creationId xmlns:a16="http://schemas.microsoft.com/office/drawing/2014/main" id="{23D3E36E-C697-CB52-864E-508EBB114FD9}"/>
                </a:ext>
              </a:extLst>
            </xdr:cNvPr>
            <xdr:cNvGrpSpPr/>
          </xdr:nvGrpSpPr>
          <xdr:grpSpPr>
            <a:xfrm>
              <a:off x="3155250" y="3179925"/>
              <a:ext cx="4381500" cy="1200150"/>
              <a:chOff x="3174300" y="3199125"/>
              <a:chExt cx="4343400" cy="1161900"/>
            </a:xfrm>
          </xdr:grpSpPr>
          <xdr:sp macro="" textlink="">
            <xdr:nvSpPr>
              <xdr:cNvPr id="28" name="Shape 38">
                <a:extLst>
                  <a:ext uri="{FF2B5EF4-FFF2-40B4-BE49-F238E27FC236}">
                    <a16:creationId xmlns:a16="http://schemas.microsoft.com/office/drawing/2014/main" id="{FF6B98DE-B873-F481-7ADA-2886ABB96E63}"/>
                  </a:ext>
                </a:extLst>
              </xdr:cNvPr>
              <xdr:cNvSpPr/>
            </xdr:nvSpPr>
            <xdr:spPr>
              <a:xfrm>
                <a:off x="3174300" y="3199125"/>
                <a:ext cx="4343400" cy="11619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29" name="Shape 39">
                <a:extLst>
                  <a:ext uri="{FF2B5EF4-FFF2-40B4-BE49-F238E27FC236}">
                    <a16:creationId xmlns:a16="http://schemas.microsoft.com/office/drawing/2014/main" id="{28DF9F87-377E-8E45-91CB-1E4D955C23B8}"/>
                  </a:ext>
                </a:extLst>
              </xdr:cNvPr>
              <xdr:cNvCxnSpPr>
                <a:stCxn id="23" idx="2"/>
              </xdr:cNvCxnSpPr>
            </xdr:nvCxnSpPr>
            <xdr:spPr>
              <a:xfrm rot="10800000">
                <a:off x="3174300" y="3199125"/>
                <a:ext cx="4343400" cy="1161900"/>
              </a:xfrm>
              <a:prstGeom prst="straightConnector1">
                <a:avLst/>
              </a:prstGeom>
              <a:noFill/>
              <a:ln w="38100" cap="flat" cmpd="sng">
                <a:solidFill>
                  <a:schemeClr val="dk1"/>
                </a:solidFill>
                <a:prstDash val="solid"/>
                <a:miter lim="800000"/>
                <a:headEnd type="none" w="sm" len="sm"/>
                <a:tailEnd type="triangle" w="med" len="med"/>
              </a:ln>
            </xdr:spPr>
          </xdr:cxnSp>
        </xdr:grpSp>
      </xdr:grpSp>
    </xdr:grpSp>
    <xdr:clientData fLocksWithSheet="0"/>
  </xdr:oneCellAnchor>
  <xdr:oneCellAnchor>
    <xdr:from>
      <xdr:col>5</xdr:col>
      <xdr:colOff>352425</xdr:colOff>
      <xdr:row>47</xdr:row>
      <xdr:rowOff>66675</xdr:rowOff>
    </xdr:from>
    <xdr:ext cx="1524000" cy="552450"/>
    <xdr:sp macro="" textlink="">
      <xdr:nvSpPr>
        <xdr:cNvPr id="30" name="Shape 40">
          <a:extLst>
            <a:ext uri="{FF2B5EF4-FFF2-40B4-BE49-F238E27FC236}">
              <a16:creationId xmlns:a16="http://schemas.microsoft.com/office/drawing/2014/main" id="{00B06DC8-750F-41DA-9DCE-ACEBD1109621}"/>
            </a:ext>
          </a:extLst>
        </xdr:cNvPr>
        <xdr:cNvSpPr/>
      </xdr:nvSpPr>
      <xdr:spPr>
        <a:xfrm>
          <a:off x="7867650" y="13725525"/>
          <a:ext cx="1524000" cy="552450"/>
        </a:xfrm>
        <a:prstGeom prst="ellipse">
          <a:avLst/>
        </a:prstGeom>
        <a:noFill/>
        <a:ln w="38100" cap="flat" cmpd="sng">
          <a:solidFill>
            <a:srgbClr val="AC5B23"/>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57150</xdr:colOff>
      <xdr:row>39</xdr:row>
      <xdr:rowOff>66675</xdr:rowOff>
    </xdr:from>
    <xdr:ext cx="1066800" cy="1752600"/>
    <xdr:grpSp>
      <xdr:nvGrpSpPr>
        <xdr:cNvPr id="31" name="Shape 2">
          <a:extLst>
            <a:ext uri="{FF2B5EF4-FFF2-40B4-BE49-F238E27FC236}">
              <a16:creationId xmlns:a16="http://schemas.microsoft.com/office/drawing/2014/main" id="{4D677DA9-552C-4547-97E3-A3CB79C4B3EA}"/>
            </a:ext>
          </a:extLst>
        </xdr:cNvPr>
        <xdr:cNvGrpSpPr/>
      </xdr:nvGrpSpPr>
      <xdr:grpSpPr>
        <a:xfrm>
          <a:off x="6557241" y="6890039"/>
          <a:ext cx="1066800" cy="1752600"/>
          <a:chOff x="4812600" y="2903700"/>
          <a:chExt cx="1066800" cy="1752600"/>
        </a:xfrm>
      </xdr:grpSpPr>
      <xdr:grpSp>
        <xdr:nvGrpSpPr>
          <xdr:cNvPr id="32" name="Shape 41">
            <a:extLst>
              <a:ext uri="{FF2B5EF4-FFF2-40B4-BE49-F238E27FC236}">
                <a16:creationId xmlns:a16="http://schemas.microsoft.com/office/drawing/2014/main" id="{0D4B199C-6DCA-F566-5675-9CF06D612486}"/>
              </a:ext>
            </a:extLst>
          </xdr:cNvPr>
          <xdr:cNvGrpSpPr/>
        </xdr:nvGrpSpPr>
        <xdr:grpSpPr>
          <a:xfrm>
            <a:off x="4812600" y="2903700"/>
            <a:ext cx="1066800" cy="1752600"/>
            <a:chOff x="4812600" y="2903700"/>
            <a:chExt cx="1066800" cy="1752600"/>
          </a:xfrm>
        </xdr:grpSpPr>
        <xdr:sp macro="" textlink="">
          <xdr:nvSpPr>
            <xdr:cNvPr id="33" name="Shape 4">
              <a:extLst>
                <a:ext uri="{FF2B5EF4-FFF2-40B4-BE49-F238E27FC236}">
                  <a16:creationId xmlns:a16="http://schemas.microsoft.com/office/drawing/2014/main" id="{FE5AAB41-5D69-3480-BB75-01AAB132627B}"/>
                </a:ext>
              </a:extLst>
            </xdr:cNvPr>
            <xdr:cNvSpPr/>
          </xdr:nvSpPr>
          <xdr:spPr>
            <a:xfrm>
              <a:off x="4812600" y="2903700"/>
              <a:ext cx="1066800" cy="1752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34" name="Shape 42">
              <a:extLst>
                <a:ext uri="{FF2B5EF4-FFF2-40B4-BE49-F238E27FC236}">
                  <a16:creationId xmlns:a16="http://schemas.microsoft.com/office/drawing/2014/main" id="{F929566F-2C94-3DC4-C97F-53CBD2827611}"/>
                </a:ext>
              </a:extLst>
            </xdr:cNvPr>
            <xdr:cNvGrpSpPr/>
          </xdr:nvGrpSpPr>
          <xdr:grpSpPr>
            <a:xfrm>
              <a:off x="4812600" y="2903700"/>
              <a:ext cx="1066800" cy="1752600"/>
              <a:chOff x="4831650" y="2922750"/>
              <a:chExt cx="1028700" cy="1714500"/>
            </a:xfrm>
          </xdr:grpSpPr>
          <xdr:sp macro="" textlink="">
            <xdr:nvSpPr>
              <xdr:cNvPr id="35" name="Shape 43">
                <a:extLst>
                  <a:ext uri="{FF2B5EF4-FFF2-40B4-BE49-F238E27FC236}">
                    <a16:creationId xmlns:a16="http://schemas.microsoft.com/office/drawing/2014/main" id="{2120C61C-9529-816F-6FD8-474D2E42CC64}"/>
                  </a:ext>
                </a:extLst>
              </xdr:cNvPr>
              <xdr:cNvSpPr/>
            </xdr:nvSpPr>
            <xdr:spPr>
              <a:xfrm>
                <a:off x="4831650" y="2922750"/>
                <a:ext cx="1028700" cy="17145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36" name="Shape 44">
                <a:extLst>
                  <a:ext uri="{FF2B5EF4-FFF2-40B4-BE49-F238E27FC236}">
                    <a16:creationId xmlns:a16="http://schemas.microsoft.com/office/drawing/2014/main" id="{5FAC9338-08D9-66D7-DB28-AF06AAD3C4CA}"/>
                  </a:ext>
                </a:extLst>
              </xdr:cNvPr>
              <xdr:cNvCxnSpPr>
                <a:stCxn id="30" idx="2"/>
              </xdr:cNvCxnSpPr>
            </xdr:nvCxnSpPr>
            <xdr:spPr>
              <a:xfrm rot="10800000">
                <a:off x="4831650" y="2922750"/>
                <a:ext cx="1028700" cy="1714500"/>
              </a:xfrm>
              <a:prstGeom prst="straightConnector1">
                <a:avLst/>
              </a:prstGeom>
              <a:noFill/>
              <a:ln w="38100" cap="flat" cmpd="sng">
                <a:solidFill>
                  <a:schemeClr val="accent2"/>
                </a:solidFill>
                <a:prstDash val="solid"/>
                <a:miter lim="800000"/>
                <a:headEnd type="none" w="sm" len="sm"/>
                <a:tailEnd type="triangle" w="med" len="med"/>
              </a:ln>
            </xdr:spPr>
          </xdr:cxnSp>
        </xdr:grpSp>
      </xdr:grpSp>
    </xdr:grpSp>
    <xdr:clientData fLocksWithSheet="0"/>
  </xdr:oneCellAnchor>
  <xdr:oneCellAnchor>
    <xdr:from>
      <xdr:col>9</xdr:col>
      <xdr:colOff>638175</xdr:colOff>
      <xdr:row>47</xdr:row>
      <xdr:rowOff>28575</xdr:rowOff>
    </xdr:from>
    <xdr:ext cx="1104900" cy="581025"/>
    <xdr:sp macro="" textlink="">
      <xdr:nvSpPr>
        <xdr:cNvPr id="37" name="Shape 45">
          <a:extLst>
            <a:ext uri="{FF2B5EF4-FFF2-40B4-BE49-F238E27FC236}">
              <a16:creationId xmlns:a16="http://schemas.microsoft.com/office/drawing/2014/main" id="{F332AED4-AD3E-40E0-948E-844564FB6C46}"/>
            </a:ext>
          </a:extLst>
        </xdr:cNvPr>
        <xdr:cNvSpPr/>
      </xdr:nvSpPr>
      <xdr:spPr>
        <a:xfrm>
          <a:off x="11444288" y="13687425"/>
          <a:ext cx="1104900" cy="581025"/>
        </a:xfrm>
        <a:prstGeom prst="ellipse">
          <a:avLst/>
        </a:prstGeom>
        <a:noFill/>
        <a:ln w="38100" cap="flat" cmpd="sng">
          <a:solidFill>
            <a:srgbClr val="FF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xdr:col>
      <xdr:colOff>2581275</xdr:colOff>
      <xdr:row>41</xdr:row>
      <xdr:rowOff>95250</xdr:rowOff>
    </xdr:from>
    <xdr:ext cx="6543675" cy="1352550"/>
    <xdr:grpSp>
      <xdr:nvGrpSpPr>
        <xdr:cNvPr id="38" name="Shape 2">
          <a:extLst>
            <a:ext uri="{FF2B5EF4-FFF2-40B4-BE49-F238E27FC236}">
              <a16:creationId xmlns:a16="http://schemas.microsoft.com/office/drawing/2014/main" id="{30EE33AB-73E2-4E92-B80E-865C15FE423C}"/>
            </a:ext>
          </a:extLst>
        </xdr:cNvPr>
        <xdr:cNvGrpSpPr/>
      </xdr:nvGrpSpPr>
      <xdr:grpSpPr>
        <a:xfrm>
          <a:off x="3608820" y="7288068"/>
          <a:ext cx="6543675" cy="1352550"/>
          <a:chOff x="2074163" y="3103725"/>
          <a:chExt cx="6543675" cy="1352550"/>
        </a:xfrm>
      </xdr:grpSpPr>
      <xdr:grpSp>
        <xdr:nvGrpSpPr>
          <xdr:cNvPr id="39" name="Shape 46">
            <a:extLst>
              <a:ext uri="{FF2B5EF4-FFF2-40B4-BE49-F238E27FC236}">
                <a16:creationId xmlns:a16="http://schemas.microsoft.com/office/drawing/2014/main" id="{51D55F92-F1B1-37CC-36A2-D88F2F902EE0}"/>
              </a:ext>
            </a:extLst>
          </xdr:cNvPr>
          <xdr:cNvGrpSpPr/>
        </xdr:nvGrpSpPr>
        <xdr:grpSpPr>
          <a:xfrm>
            <a:off x="2074163" y="3103725"/>
            <a:ext cx="6543675" cy="1352550"/>
            <a:chOff x="2074163" y="3103725"/>
            <a:chExt cx="6543675" cy="1352550"/>
          </a:xfrm>
        </xdr:grpSpPr>
        <xdr:sp macro="" textlink="">
          <xdr:nvSpPr>
            <xdr:cNvPr id="40" name="Shape 4">
              <a:extLst>
                <a:ext uri="{FF2B5EF4-FFF2-40B4-BE49-F238E27FC236}">
                  <a16:creationId xmlns:a16="http://schemas.microsoft.com/office/drawing/2014/main" id="{4DAED890-7F48-8A52-C2D4-11965D6F3A2C}"/>
                </a:ext>
              </a:extLst>
            </xdr:cNvPr>
            <xdr:cNvSpPr/>
          </xdr:nvSpPr>
          <xdr:spPr>
            <a:xfrm>
              <a:off x="2074163" y="3103725"/>
              <a:ext cx="6543675" cy="13525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41" name="Shape 47">
              <a:extLst>
                <a:ext uri="{FF2B5EF4-FFF2-40B4-BE49-F238E27FC236}">
                  <a16:creationId xmlns:a16="http://schemas.microsoft.com/office/drawing/2014/main" id="{097195B6-7149-8AA5-2C4D-ACA91AAE351F}"/>
                </a:ext>
              </a:extLst>
            </xdr:cNvPr>
            <xdr:cNvGrpSpPr/>
          </xdr:nvGrpSpPr>
          <xdr:grpSpPr>
            <a:xfrm>
              <a:off x="2074163" y="3103725"/>
              <a:ext cx="6543675" cy="1352550"/>
              <a:chOff x="2093213" y="3122775"/>
              <a:chExt cx="6505575" cy="1314450"/>
            </a:xfrm>
          </xdr:grpSpPr>
          <xdr:sp macro="" textlink="">
            <xdr:nvSpPr>
              <xdr:cNvPr id="42" name="Shape 48">
                <a:extLst>
                  <a:ext uri="{FF2B5EF4-FFF2-40B4-BE49-F238E27FC236}">
                    <a16:creationId xmlns:a16="http://schemas.microsoft.com/office/drawing/2014/main" id="{325992A5-DBD9-3F2A-7F3D-A95A9A6D58B8}"/>
                  </a:ext>
                </a:extLst>
              </xdr:cNvPr>
              <xdr:cNvSpPr/>
            </xdr:nvSpPr>
            <xdr:spPr>
              <a:xfrm>
                <a:off x="2093213" y="3122775"/>
                <a:ext cx="6505575" cy="13144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43" name="Shape 49">
                <a:extLst>
                  <a:ext uri="{FF2B5EF4-FFF2-40B4-BE49-F238E27FC236}">
                    <a16:creationId xmlns:a16="http://schemas.microsoft.com/office/drawing/2014/main" id="{26536DCA-108D-0429-C960-8EAC7B8215D8}"/>
                  </a:ext>
                </a:extLst>
              </xdr:cNvPr>
              <xdr:cNvCxnSpPr/>
            </xdr:nvCxnSpPr>
            <xdr:spPr>
              <a:xfrm rot="10800000">
                <a:off x="2093213" y="3122775"/>
                <a:ext cx="6505575" cy="1314450"/>
              </a:xfrm>
              <a:prstGeom prst="straightConnector1">
                <a:avLst/>
              </a:prstGeom>
              <a:noFill/>
              <a:ln w="38100" cap="flat" cmpd="sng">
                <a:solidFill>
                  <a:srgbClr val="FF0000"/>
                </a:solidFill>
                <a:prstDash val="solid"/>
                <a:miter lim="800000"/>
                <a:headEnd type="none" w="sm" len="sm"/>
                <a:tailEnd type="triangle" w="med" len="med"/>
              </a:ln>
            </xdr:spPr>
          </xdr:cxnSp>
        </xdr:grpSp>
      </xdr:grpSp>
    </xdr:grpSp>
    <xdr:clientData fLocksWithSheet="0"/>
  </xdr:oneCellAnchor>
  <xdr:oneCellAnchor>
    <xdr:from>
      <xdr:col>8</xdr:col>
      <xdr:colOff>47625</xdr:colOff>
      <xdr:row>73</xdr:row>
      <xdr:rowOff>85725</xdr:rowOff>
    </xdr:from>
    <xdr:ext cx="3962400" cy="781050"/>
    <xdr:sp macro="" textlink="">
      <xdr:nvSpPr>
        <xdr:cNvPr id="44" name="Shape 50">
          <a:extLst>
            <a:ext uri="{FF2B5EF4-FFF2-40B4-BE49-F238E27FC236}">
              <a16:creationId xmlns:a16="http://schemas.microsoft.com/office/drawing/2014/main" id="{1774A2CF-B8D8-452C-9A94-E5C997FCC4D1}"/>
            </a:ext>
          </a:extLst>
        </xdr:cNvPr>
        <xdr:cNvSpPr/>
      </xdr:nvSpPr>
      <xdr:spPr>
        <a:xfrm rot="10800000" flipH="1">
          <a:off x="10177463" y="18545175"/>
          <a:ext cx="3962400" cy="781050"/>
        </a:xfrm>
        <a:prstGeom prst="ellipse">
          <a:avLst/>
        </a:prstGeom>
        <a:noFill/>
        <a:ln w="38100" cap="flat" cmpd="sng">
          <a:solidFill>
            <a:srgbClr val="FF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xdr:col>
      <xdr:colOff>1638300</xdr:colOff>
      <xdr:row>69</xdr:row>
      <xdr:rowOff>123825</xdr:rowOff>
    </xdr:from>
    <xdr:ext cx="6334125" cy="1200150"/>
    <xdr:grpSp>
      <xdr:nvGrpSpPr>
        <xdr:cNvPr id="45" name="Shape 2">
          <a:extLst>
            <a:ext uri="{FF2B5EF4-FFF2-40B4-BE49-F238E27FC236}">
              <a16:creationId xmlns:a16="http://schemas.microsoft.com/office/drawing/2014/main" id="{B710EDA8-A6EA-45B0-8BF6-757A44CAF735}"/>
            </a:ext>
          </a:extLst>
        </xdr:cNvPr>
        <xdr:cNvGrpSpPr/>
      </xdr:nvGrpSpPr>
      <xdr:grpSpPr>
        <a:xfrm>
          <a:off x="2665845" y="12269643"/>
          <a:ext cx="6334125" cy="1200150"/>
          <a:chOff x="2178938" y="3179925"/>
          <a:chExt cx="6334125" cy="1200150"/>
        </a:xfrm>
      </xdr:grpSpPr>
      <xdr:grpSp>
        <xdr:nvGrpSpPr>
          <xdr:cNvPr id="46" name="Shape 51">
            <a:extLst>
              <a:ext uri="{FF2B5EF4-FFF2-40B4-BE49-F238E27FC236}">
                <a16:creationId xmlns:a16="http://schemas.microsoft.com/office/drawing/2014/main" id="{B08F3B5F-D3A0-541C-A459-61586D651552}"/>
              </a:ext>
            </a:extLst>
          </xdr:cNvPr>
          <xdr:cNvGrpSpPr/>
        </xdr:nvGrpSpPr>
        <xdr:grpSpPr>
          <a:xfrm>
            <a:off x="2178938" y="3179925"/>
            <a:ext cx="6334125" cy="1200150"/>
            <a:chOff x="2178938" y="3179925"/>
            <a:chExt cx="6334125" cy="1200150"/>
          </a:xfrm>
        </xdr:grpSpPr>
        <xdr:sp macro="" textlink="">
          <xdr:nvSpPr>
            <xdr:cNvPr id="47" name="Shape 4">
              <a:extLst>
                <a:ext uri="{FF2B5EF4-FFF2-40B4-BE49-F238E27FC236}">
                  <a16:creationId xmlns:a16="http://schemas.microsoft.com/office/drawing/2014/main" id="{401206C9-E4A3-315B-2C03-36F9630B79DC}"/>
                </a:ext>
              </a:extLst>
            </xdr:cNvPr>
            <xdr:cNvSpPr/>
          </xdr:nvSpPr>
          <xdr:spPr>
            <a:xfrm>
              <a:off x="2178938" y="3179925"/>
              <a:ext cx="6334125" cy="1200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48" name="Shape 52">
              <a:extLst>
                <a:ext uri="{FF2B5EF4-FFF2-40B4-BE49-F238E27FC236}">
                  <a16:creationId xmlns:a16="http://schemas.microsoft.com/office/drawing/2014/main" id="{F9B80620-FB5D-9980-C296-CEFF10BEC8CD}"/>
                </a:ext>
              </a:extLst>
            </xdr:cNvPr>
            <xdr:cNvGrpSpPr/>
          </xdr:nvGrpSpPr>
          <xdr:grpSpPr>
            <a:xfrm>
              <a:off x="2178938" y="3179925"/>
              <a:ext cx="6334125" cy="1200150"/>
              <a:chOff x="2197988" y="3198975"/>
              <a:chExt cx="6296025" cy="1162050"/>
            </a:xfrm>
          </xdr:grpSpPr>
          <xdr:sp macro="" textlink="">
            <xdr:nvSpPr>
              <xdr:cNvPr id="49" name="Shape 53">
                <a:extLst>
                  <a:ext uri="{FF2B5EF4-FFF2-40B4-BE49-F238E27FC236}">
                    <a16:creationId xmlns:a16="http://schemas.microsoft.com/office/drawing/2014/main" id="{7237027C-86E0-7086-5ADB-4B0895B749F2}"/>
                  </a:ext>
                </a:extLst>
              </xdr:cNvPr>
              <xdr:cNvSpPr/>
            </xdr:nvSpPr>
            <xdr:spPr>
              <a:xfrm>
                <a:off x="2197988" y="3198975"/>
                <a:ext cx="6296025" cy="11620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50" name="Shape 54">
                <a:extLst>
                  <a:ext uri="{FF2B5EF4-FFF2-40B4-BE49-F238E27FC236}">
                    <a16:creationId xmlns:a16="http://schemas.microsoft.com/office/drawing/2014/main" id="{9D77C979-E108-9229-869F-3422CC5BF27D}"/>
                  </a:ext>
                </a:extLst>
              </xdr:cNvPr>
              <xdr:cNvCxnSpPr/>
            </xdr:nvCxnSpPr>
            <xdr:spPr>
              <a:xfrm rot="10800000">
                <a:off x="2197988" y="3198975"/>
                <a:ext cx="6296025" cy="1162050"/>
              </a:xfrm>
              <a:prstGeom prst="straightConnector1">
                <a:avLst/>
              </a:prstGeom>
              <a:noFill/>
              <a:ln w="38100" cap="flat" cmpd="sng">
                <a:solidFill>
                  <a:srgbClr val="FF0000"/>
                </a:solidFill>
                <a:prstDash val="solid"/>
                <a:miter lim="800000"/>
                <a:headEnd type="none" w="sm" len="sm"/>
                <a:tailEnd type="triangle" w="med" len="med"/>
              </a:ln>
            </xdr:spPr>
          </xdr:cxnSp>
        </xdr:grpSp>
      </xdr:grpSp>
    </xdr:grpSp>
    <xdr:clientData fLocksWithSheet="0"/>
  </xdr:oneCellAnchor>
  <xdr:oneCellAnchor>
    <xdr:from>
      <xdr:col>5</xdr:col>
      <xdr:colOff>457200</xdr:colOff>
      <xdr:row>77</xdr:row>
      <xdr:rowOff>0</xdr:rowOff>
    </xdr:from>
    <xdr:ext cx="1524000" cy="552450"/>
    <xdr:sp macro="" textlink="">
      <xdr:nvSpPr>
        <xdr:cNvPr id="51" name="Shape 55">
          <a:extLst>
            <a:ext uri="{FF2B5EF4-FFF2-40B4-BE49-F238E27FC236}">
              <a16:creationId xmlns:a16="http://schemas.microsoft.com/office/drawing/2014/main" id="{909C8BBF-BD65-4E71-A8E9-32143E82059B}"/>
            </a:ext>
          </a:extLst>
        </xdr:cNvPr>
        <xdr:cNvSpPr/>
      </xdr:nvSpPr>
      <xdr:spPr>
        <a:xfrm rot="10800000" flipH="1">
          <a:off x="7972425" y="19183350"/>
          <a:ext cx="1524000" cy="552450"/>
        </a:xfrm>
        <a:prstGeom prst="ellipse">
          <a:avLst/>
        </a:prstGeom>
        <a:noFill/>
        <a:ln w="38100" cap="flat" cmpd="sng">
          <a:solidFill>
            <a:srgbClr val="AC5B23"/>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xdr:col>
      <xdr:colOff>1028700</xdr:colOff>
      <xdr:row>71</xdr:row>
      <xdr:rowOff>104775</xdr:rowOff>
    </xdr:from>
    <xdr:ext cx="4848225" cy="1276350"/>
    <xdr:grpSp>
      <xdr:nvGrpSpPr>
        <xdr:cNvPr id="52" name="Shape 2">
          <a:extLst>
            <a:ext uri="{FF2B5EF4-FFF2-40B4-BE49-F238E27FC236}">
              <a16:creationId xmlns:a16="http://schemas.microsoft.com/office/drawing/2014/main" id="{378D374B-16A1-4AA6-BF77-1651044D7503}"/>
            </a:ext>
          </a:extLst>
        </xdr:cNvPr>
        <xdr:cNvGrpSpPr/>
      </xdr:nvGrpSpPr>
      <xdr:grpSpPr>
        <a:xfrm>
          <a:off x="2056245" y="12596957"/>
          <a:ext cx="4848225" cy="1276350"/>
          <a:chOff x="2921888" y="3141825"/>
          <a:chExt cx="4848226" cy="1276350"/>
        </a:xfrm>
      </xdr:grpSpPr>
      <xdr:grpSp>
        <xdr:nvGrpSpPr>
          <xdr:cNvPr id="53" name="Shape 56">
            <a:extLst>
              <a:ext uri="{FF2B5EF4-FFF2-40B4-BE49-F238E27FC236}">
                <a16:creationId xmlns:a16="http://schemas.microsoft.com/office/drawing/2014/main" id="{F6A1B838-150C-905F-9A14-619F8433AB7A}"/>
              </a:ext>
            </a:extLst>
          </xdr:cNvPr>
          <xdr:cNvGrpSpPr/>
        </xdr:nvGrpSpPr>
        <xdr:grpSpPr>
          <a:xfrm>
            <a:off x="2921888" y="3141825"/>
            <a:ext cx="4848226" cy="1276350"/>
            <a:chOff x="2921888" y="3141825"/>
            <a:chExt cx="4848226" cy="1276350"/>
          </a:xfrm>
        </xdr:grpSpPr>
        <xdr:sp macro="" textlink="">
          <xdr:nvSpPr>
            <xdr:cNvPr id="54" name="Shape 4">
              <a:extLst>
                <a:ext uri="{FF2B5EF4-FFF2-40B4-BE49-F238E27FC236}">
                  <a16:creationId xmlns:a16="http://schemas.microsoft.com/office/drawing/2014/main" id="{19BCFB78-4B58-6FD7-7107-516E70A27622}"/>
                </a:ext>
              </a:extLst>
            </xdr:cNvPr>
            <xdr:cNvSpPr/>
          </xdr:nvSpPr>
          <xdr:spPr>
            <a:xfrm>
              <a:off x="2921888" y="3141825"/>
              <a:ext cx="4848225" cy="12763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55" name="Shape 57">
              <a:extLst>
                <a:ext uri="{FF2B5EF4-FFF2-40B4-BE49-F238E27FC236}">
                  <a16:creationId xmlns:a16="http://schemas.microsoft.com/office/drawing/2014/main" id="{A2436207-EB93-8377-1397-A39F0A9BD608}"/>
                </a:ext>
              </a:extLst>
            </xdr:cNvPr>
            <xdr:cNvGrpSpPr/>
          </xdr:nvGrpSpPr>
          <xdr:grpSpPr>
            <a:xfrm>
              <a:off x="2921888" y="3141825"/>
              <a:ext cx="4848225" cy="1276350"/>
              <a:chOff x="2940863" y="3156188"/>
              <a:chExt cx="4810200" cy="1247700"/>
            </a:xfrm>
          </xdr:grpSpPr>
          <xdr:sp macro="" textlink="">
            <xdr:nvSpPr>
              <xdr:cNvPr id="56" name="Shape 58">
                <a:extLst>
                  <a:ext uri="{FF2B5EF4-FFF2-40B4-BE49-F238E27FC236}">
                    <a16:creationId xmlns:a16="http://schemas.microsoft.com/office/drawing/2014/main" id="{74832ACE-0FDD-A38F-AE90-62B2E9C73868}"/>
                  </a:ext>
                </a:extLst>
              </xdr:cNvPr>
              <xdr:cNvSpPr/>
            </xdr:nvSpPr>
            <xdr:spPr>
              <a:xfrm>
                <a:off x="2940863" y="3156188"/>
                <a:ext cx="4810200" cy="12477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57" name="Shape 59">
                <a:extLst>
                  <a:ext uri="{FF2B5EF4-FFF2-40B4-BE49-F238E27FC236}">
                    <a16:creationId xmlns:a16="http://schemas.microsoft.com/office/drawing/2014/main" id="{2EC24A5E-06FA-D74C-16FE-5BD5FE986041}"/>
                  </a:ext>
                </a:extLst>
              </xdr:cNvPr>
              <xdr:cNvCxnSpPr>
                <a:stCxn id="48" idx="2"/>
              </xdr:cNvCxnSpPr>
            </xdr:nvCxnSpPr>
            <xdr:spPr>
              <a:xfrm rot="10800000">
                <a:off x="2940863" y="3156188"/>
                <a:ext cx="4810200" cy="1247700"/>
              </a:xfrm>
              <a:prstGeom prst="straightConnector1">
                <a:avLst/>
              </a:prstGeom>
              <a:noFill/>
              <a:ln w="38100" cap="flat" cmpd="sng">
                <a:solidFill>
                  <a:schemeClr val="accent2"/>
                </a:solidFill>
                <a:prstDash val="solid"/>
                <a:miter lim="800000"/>
                <a:headEnd type="none" w="sm" len="sm"/>
                <a:tailEnd type="triangle" w="med" len="med"/>
              </a:ln>
            </xdr:spPr>
          </xdr:cxnSp>
        </xdr:grpSp>
      </xdr:grpSp>
    </xdr:grpSp>
    <xdr:clientData fLocksWithSheet="0"/>
  </xdr:oneCellAnchor>
  <xdr:oneCellAnchor>
    <xdr:from>
      <xdr:col>8</xdr:col>
      <xdr:colOff>85725</xdr:colOff>
      <xdr:row>77</xdr:row>
      <xdr:rowOff>-9525</xdr:rowOff>
    </xdr:from>
    <xdr:ext cx="533400" cy="619125"/>
    <xdr:sp macro="" textlink="">
      <xdr:nvSpPr>
        <xdr:cNvPr id="58" name="Shape 60">
          <a:extLst>
            <a:ext uri="{FF2B5EF4-FFF2-40B4-BE49-F238E27FC236}">
              <a16:creationId xmlns:a16="http://schemas.microsoft.com/office/drawing/2014/main" id="{B87D5AD4-DD8E-40CD-9D50-3BF37213F5A6}"/>
            </a:ext>
          </a:extLst>
        </xdr:cNvPr>
        <xdr:cNvSpPr/>
      </xdr:nvSpPr>
      <xdr:spPr>
        <a:xfrm>
          <a:off x="10215563" y="19173825"/>
          <a:ext cx="533400" cy="619125"/>
        </a:xfrm>
        <a:prstGeom prst="ellipse">
          <a:avLst/>
        </a:prstGeom>
        <a:noFill/>
        <a:ln w="38100" cap="flat" cmpd="sng">
          <a:solidFill>
            <a:srgbClr val="517E33"/>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542925</xdr:colOff>
      <xdr:row>73</xdr:row>
      <xdr:rowOff>85725</xdr:rowOff>
    </xdr:from>
    <xdr:ext cx="4048125" cy="962025"/>
    <xdr:grpSp>
      <xdr:nvGrpSpPr>
        <xdr:cNvPr id="59" name="Shape 2">
          <a:extLst>
            <a:ext uri="{FF2B5EF4-FFF2-40B4-BE49-F238E27FC236}">
              <a16:creationId xmlns:a16="http://schemas.microsoft.com/office/drawing/2014/main" id="{9410B772-3901-4806-925E-987F19382875}"/>
            </a:ext>
          </a:extLst>
        </xdr:cNvPr>
        <xdr:cNvGrpSpPr/>
      </xdr:nvGrpSpPr>
      <xdr:grpSpPr>
        <a:xfrm>
          <a:off x="5726834" y="12924270"/>
          <a:ext cx="4048125" cy="962025"/>
          <a:chOff x="3321938" y="3298988"/>
          <a:chExt cx="4048125" cy="962025"/>
        </a:xfrm>
      </xdr:grpSpPr>
      <xdr:grpSp>
        <xdr:nvGrpSpPr>
          <xdr:cNvPr id="60" name="Shape 61">
            <a:extLst>
              <a:ext uri="{FF2B5EF4-FFF2-40B4-BE49-F238E27FC236}">
                <a16:creationId xmlns:a16="http://schemas.microsoft.com/office/drawing/2014/main" id="{349389F0-48CE-5889-99EB-B530864F7AF3}"/>
              </a:ext>
            </a:extLst>
          </xdr:cNvPr>
          <xdr:cNvGrpSpPr/>
        </xdr:nvGrpSpPr>
        <xdr:grpSpPr>
          <a:xfrm>
            <a:off x="3321938" y="3298988"/>
            <a:ext cx="4048125" cy="962025"/>
            <a:chOff x="3321938" y="3298988"/>
            <a:chExt cx="4048125" cy="962025"/>
          </a:xfrm>
        </xdr:grpSpPr>
        <xdr:sp macro="" textlink="">
          <xdr:nvSpPr>
            <xdr:cNvPr id="61" name="Shape 4">
              <a:extLst>
                <a:ext uri="{FF2B5EF4-FFF2-40B4-BE49-F238E27FC236}">
                  <a16:creationId xmlns:a16="http://schemas.microsoft.com/office/drawing/2014/main" id="{41A2CD9B-12F3-1EF8-CBDA-073113FAD5F0}"/>
                </a:ext>
              </a:extLst>
            </xdr:cNvPr>
            <xdr:cNvSpPr/>
          </xdr:nvSpPr>
          <xdr:spPr>
            <a:xfrm>
              <a:off x="3321938" y="3298988"/>
              <a:ext cx="4048125" cy="9620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2" name="Shape 62">
              <a:extLst>
                <a:ext uri="{FF2B5EF4-FFF2-40B4-BE49-F238E27FC236}">
                  <a16:creationId xmlns:a16="http://schemas.microsoft.com/office/drawing/2014/main" id="{73A92571-9846-D7C4-2951-0F5329EA8C99}"/>
                </a:ext>
              </a:extLst>
            </xdr:cNvPr>
            <xdr:cNvGrpSpPr/>
          </xdr:nvGrpSpPr>
          <xdr:grpSpPr>
            <a:xfrm>
              <a:off x="3321938" y="3298988"/>
              <a:ext cx="4048125" cy="962025"/>
              <a:chOff x="3340913" y="3317963"/>
              <a:chExt cx="4010100" cy="924000"/>
            </a:xfrm>
          </xdr:grpSpPr>
          <xdr:sp macro="" textlink="">
            <xdr:nvSpPr>
              <xdr:cNvPr id="63" name="Shape 63">
                <a:extLst>
                  <a:ext uri="{FF2B5EF4-FFF2-40B4-BE49-F238E27FC236}">
                    <a16:creationId xmlns:a16="http://schemas.microsoft.com/office/drawing/2014/main" id="{B111F06B-73B2-1A90-A9A8-EC92856C5FC5}"/>
                  </a:ext>
                </a:extLst>
              </xdr:cNvPr>
              <xdr:cNvSpPr/>
            </xdr:nvSpPr>
            <xdr:spPr>
              <a:xfrm>
                <a:off x="3340913" y="3317963"/>
                <a:ext cx="4010100" cy="924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64" name="Shape 64">
                <a:extLst>
                  <a:ext uri="{FF2B5EF4-FFF2-40B4-BE49-F238E27FC236}">
                    <a16:creationId xmlns:a16="http://schemas.microsoft.com/office/drawing/2014/main" id="{FC9C0B14-5689-DB2A-FF9A-63CCBAF83C0E}"/>
                  </a:ext>
                </a:extLst>
              </xdr:cNvPr>
              <xdr:cNvCxnSpPr>
                <a:stCxn id="51" idx="2"/>
              </xdr:cNvCxnSpPr>
            </xdr:nvCxnSpPr>
            <xdr:spPr>
              <a:xfrm rot="10800000">
                <a:off x="3340913" y="3317963"/>
                <a:ext cx="4010100" cy="924000"/>
              </a:xfrm>
              <a:prstGeom prst="straightConnector1">
                <a:avLst/>
              </a:prstGeom>
              <a:noFill/>
              <a:ln w="38100" cap="flat" cmpd="sng">
                <a:solidFill>
                  <a:schemeClr val="accent6"/>
                </a:solidFill>
                <a:prstDash val="solid"/>
                <a:miter lim="800000"/>
                <a:headEnd type="none" w="sm" len="sm"/>
                <a:tailEnd type="triangle" w="med" len="med"/>
              </a:ln>
            </xdr:spPr>
          </xdr:cxnSp>
        </xdr:grpSp>
      </xdr:grpSp>
    </xdr:grpSp>
    <xdr:clientData fLocksWithSheet="0"/>
  </xdr:oneCellAnchor>
  <xdr:oneCellAnchor>
    <xdr:from>
      <xdr:col>12</xdr:col>
      <xdr:colOff>542925</xdr:colOff>
      <xdr:row>77</xdr:row>
      <xdr:rowOff>28575</xdr:rowOff>
    </xdr:from>
    <xdr:ext cx="1314450" cy="1714500"/>
    <xdr:sp macro="" textlink="">
      <xdr:nvSpPr>
        <xdr:cNvPr id="65" name="Shape 65">
          <a:extLst>
            <a:ext uri="{FF2B5EF4-FFF2-40B4-BE49-F238E27FC236}">
              <a16:creationId xmlns:a16="http://schemas.microsoft.com/office/drawing/2014/main" id="{ECA6CA88-66E5-4585-A865-5DC927470675}"/>
            </a:ext>
          </a:extLst>
        </xdr:cNvPr>
        <xdr:cNvSpPr/>
      </xdr:nvSpPr>
      <xdr:spPr>
        <a:xfrm>
          <a:off x="14097000" y="19211925"/>
          <a:ext cx="1314450" cy="1714500"/>
        </a:xfrm>
        <a:prstGeom prst="ellipse">
          <a:avLst/>
        </a:prstGeom>
        <a:noFill/>
        <a:ln w="38100" cap="flat" cmpd="sng">
          <a:solidFill>
            <a:schemeClr val="dk1"/>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76200</xdr:colOff>
      <xdr:row>78</xdr:row>
      <xdr:rowOff>76200</xdr:rowOff>
    </xdr:from>
    <xdr:ext cx="8162925" cy="647700"/>
    <xdr:grpSp>
      <xdr:nvGrpSpPr>
        <xdr:cNvPr id="66" name="Shape 2">
          <a:extLst>
            <a:ext uri="{FF2B5EF4-FFF2-40B4-BE49-F238E27FC236}">
              <a16:creationId xmlns:a16="http://schemas.microsoft.com/office/drawing/2014/main" id="{B0B0F8D8-CF9D-45C4-A8ED-8F42C9FECC3B}"/>
            </a:ext>
          </a:extLst>
        </xdr:cNvPr>
        <xdr:cNvGrpSpPr/>
      </xdr:nvGrpSpPr>
      <xdr:grpSpPr>
        <a:xfrm>
          <a:off x="5260109" y="13780655"/>
          <a:ext cx="8162925" cy="647700"/>
          <a:chOff x="1264538" y="3456150"/>
          <a:chExt cx="8162925" cy="647700"/>
        </a:xfrm>
      </xdr:grpSpPr>
      <xdr:grpSp>
        <xdr:nvGrpSpPr>
          <xdr:cNvPr id="67" name="Shape 66">
            <a:extLst>
              <a:ext uri="{FF2B5EF4-FFF2-40B4-BE49-F238E27FC236}">
                <a16:creationId xmlns:a16="http://schemas.microsoft.com/office/drawing/2014/main" id="{19786FB4-DB09-8150-E010-471E9ABBDBEE}"/>
              </a:ext>
            </a:extLst>
          </xdr:cNvPr>
          <xdr:cNvGrpSpPr/>
        </xdr:nvGrpSpPr>
        <xdr:grpSpPr>
          <a:xfrm>
            <a:off x="1264538" y="3456150"/>
            <a:ext cx="8162925" cy="647700"/>
            <a:chOff x="1264538" y="3456150"/>
            <a:chExt cx="8162925" cy="647700"/>
          </a:xfrm>
        </xdr:grpSpPr>
        <xdr:sp macro="" textlink="">
          <xdr:nvSpPr>
            <xdr:cNvPr id="68" name="Shape 4">
              <a:extLst>
                <a:ext uri="{FF2B5EF4-FFF2-40B4-BE49-F238E27FC236}">
                  <a16:creationId xmlns:a16="http://schemas.microsoft.com/office/drawing/2014/main" id="{CCEBC655-39C4-D55F-D37F-C64492BF838F}"/>
                </a:ext>
              </a:extLst>
            </xdr:cNvPr>
            <xdr:cNvSpPr/>
          </xdr:nvSpPr>
          <xdr:spPr>
            <a:xfrm>
              <a:off x="1264538" y="3456150"/>
              <a:ext cx="8162925" cy="6477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9" name="Shape 67">
              <a:extLst>
                <a:ext uri="{FF2B5EF4-FFF2-40B4-BE49-F238E27FC236}">
                  <a16:creationId xmlns:a16="http://schemas.microsoft.com/office/drawing/2014/main" id="{6A35B29E-7316-469C-7688-DD2A9BBD0A40}"/>
                </a:ext>
              </a:extLst>
            </xdr:cNvPr>
            <xdr:cNvGrpSpPr/>
          </xdr:nvGrpSpPr>
          <xdr:grpSpPr>
            <a:xfrm>
              <a:off x="1264538" y="3456150"/>
              <a:ext cx="8162925" cy="647700"/>
              <a:chOff x="1283513" y="3475200"/>
              <a:chExt cx="8124900" cy="609600"/>
            </a:xfrm>
          </xdr:grpSpPr>
          <xdr:sp macro="" textlink="">
            <xdr:nvSpPr>
              <xdr:cNvPr id="70" name="Shape 68">
                <a:extLst>
                  <a:ext uri="{FF2B5EF4-FFF2-40B4-BE49-F238E27FC236}">
                    <a16:creationId xmlns:a16="http://schemas.microsoft.com/office/drawing/2014/main" id="{97F4FD7B-8B8A-A3E3-AB01-FE76ABC8AB8D}"/>
                  </a:ext>
                </a:extLst>
              </xdr:cNvPr>
              <xdr:cNvSpPr/>
            </xdr:nvSpPr>
            <xdr:spPr>
              <a:xfrm>
                <a:off x="1283513" y="3475200"/>
                <a:ext cx="8124900" cy="609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71" name="Shape 69">
                <a:extLst>
                  <a:ext uri="{FF2B5EF4-FFF2-40B4-BE49-F238E27FC236}">
                    <a16:creationId xmlns:a16="http://schemas.microsoft.com/office/drawing/2014/main" id="{34165D13-7B84-C2B9-FDAF-CBC58F1C2BDD}"/>
                  </a:ext>
                </a:extLst>
              </xdr:cNvPr>
              <xdr:cNvCxnSpPr>
                <a:stCxn id="56" idx="2"/>
              </xdr:cNvCxnSpPr>
            </xdr:nvCxnSpPr>
            <xdr:spPr>
              <a:xfrm rot="10800000">
                <a:off x="1283513" y="3475200"/>
                <a:ext cx="8124900" cy="609600"/>
              </a:xfrm>
              <a:prstGeom prst="straightConnector1">
                <a:avLst/>
              </a:prstGeom>
              <a:noFill/>
              <a:ln w="38100" cap="flat" cmpd="sng">
                <a:solidFill>
                  <a:schemeClr val="dk1"/>
                </a:solidFill>
                <a:prstDash val="solid"/>
                <a:miter lim="800000"/>
                <a:headEnd type="none" w="sm" len="sm"/>
                <a:tailEnd type="triangle" w="med" len="med"/>
              </a:ln>
            </xdr:spPr>
          </xdr:cxnSp>
        </xdr:grpSp>
      </xdr:grpSp>
    </xdr:grpSp>
    <xdr:clientData fLocksWithSheet="0"/>
  </xdr:oneCellAnchor>
  <xdr:oneCellAnchor>
    <xdr:from>
      <xdr:col>8</xdr:col>
      <xdr:colOff>95250</xdr:colOff>
      <xdr:row>105</xdr:row>
      <xdr:rowOff>142875</xdr:rowOff>
    </xdr:from>
    <xdr:ext cx="3971925" cy="666750"/>
    <xdr:sp macro="" textlink="">
      <xdr:nvSpPr>
        <xdr:cNvPr id="72" name="Shape 70">
          <a:extLst>
            <a:ext uri="{FF2B5EF4-FFF2-40B4-BE49-F238E27FC236}">
              <a16:creationId xmlns:a16="http://schemas.microsoft.com/office/drawing/2014/main" id="{C07053A8-8866-43A6-832A-E0A7B8F6F279}"/>
            </a:ext>
          </a:extLst>
        </xdr:cNvPr>
        <xdr:cNvSpPr/>
      </xdr:nvSpPr>
      <xdr:spPr>
        <a:xfrm rot="10800000" flipH="1">
          <a:off x="10225088" y="24622125"/>
          <a:ext cx="3971925" cy="666750"/>
        </a:xfrm>
        <a:prstGeom prst="ellipse">
          <a:avLst/>
        </a:prstGeom>
        <a:noFill/>
        <a:ln w="38100" cap="flat" cmpd="sng">
          <a:solidFill>
            <a:srgbClr val="FF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xdr:col>
      <xdr:colOff>3028950</xdr:colOff>
      <xdr:row>105</xdr:row>
      <xdr:rowOff>142875</xdr:rowOff>
    </xdr:from>
    <xdr:ext cx="4933950" cy="352425"/>
    <xdr:grpSp>
      <xdr:nvGrpSpPr>
        <xdr:cNvPr id="73" name="Shape 2" title="Drawing">
          <a:extLst>
            <a:ext uri="{FF2B5EF4-FFF2-40B4-BE49-F238E27FC236}">
              <a16:creationId xmlns:a16="http://schemas.microsoft.com/office/drawing/2014/main" id="{35134A8B-197F-47AF-8ED5-1A4F063004C5}"/>
            </a:ext>
          </a:extLst>
        </xdr:cNvPr>
        <xdr:cNvGrpSpPr/>
      </xdr:nvGrpSpPr>
      <xdr:grpSpPr>
        <a:xfrm>
          <a:off x="4056495" y="18765693"/>
          <a:ext cx="4933950" cy="352425"/>
          <a:chOff x="2879025" y="3603788"/>
          <a:chExt cx="4933950" cy="352425"/>
        </a:xfrm>
      </xdr:grpSpPr>
      <xdr:grpSp>
        <xdr:nvGrpSpPr>
          <xdr:cNvPr id="74" name="Shape 71">
            <a:extLst>
              <a:ext uri="{FF2B5EF4-FFF2-40B4-BE49-F238E27FC236}">
                <a16:creationId xmlns:a16="http://schemas.microsoft.com/office/drawing/2014/main" id="{062010B7-BAE6-AD16-AD09-CD68741B92D5}"/>
              </a:ext>
            </a:extLst>
          </xdr:cNvPr>
          <xdr:cNvGrpSpPr/>
        </xdr:nvGrpSpPr>
        <xdr:grpSpPr>
          <a:xfrm>
            <a:off x="2879025" y="3603788"/>
            <a:ext cx="4933950" cy="352425"/>
            <a:chOff x="2879025" y="3603788"/>
            <a:chExt cx="4933950" cy="352425"/>
          </a:xfrm>
        </xdr:grpSpPr>
        <xdr:sp macro="" textlink="">
          <xdr:nvSpPr>
            <xdr:cNvPr id="75" name="Shape 4">
              <a:extLst>
                <a:ext uri="{FF2B5EF4-FFF2-40B4-BE49-F238E27FC236}">
                  <a16:creationId xmlns:a16="http://schemas.microsoft.com/office/drawing/2014/main" id="{636D44B6-216E-7053-2A47-7D20B52FFFA5}"/>
                </a:ext>
              </a:extLst>
            </xdr:cNvPr>
            <xdr:cNvSpPr/>
          </xdr:nvSpPr>
          <xdr:spPr>
            <a:xfrm>
              <a:off x="2879025" y="3603788"/>
              <a:ext cx="4933950" cy="3524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76" name="Shape 72">
              <a:extLst>
                <a:ext uri="{FF2B5EF4-FFF2-40B4-BE49-F238E27FC236}">
                  <a16:creationId xmlns:a16="http://schemas.microsoft.com/office/drawing/2014/main" id="{9017CD46-9261-27F2-8CA8-A0923848374E}"/>
                </a:ext>
              </a:extLst>
            </xdr:cNvPr>
            <xdr:cNvGrpSpPr/>
          </xdr:nvGrpSpPr>
          <xdr:grpSpPr>
            <a:xfrm>
              <a:off x="2879025" y="3603788"/>
              <a:ext cx="4933950" cy="352425"/>
              <a:chOff x="2897925" y="3622763"/>
              <a:chExt cx="4896000" cy="314400"/>
            </a:xfrm>
          </xdr:grpSpPr>
          <xdr:sp macro="" textlink="">
            <xdr:nvSpPr>
              <xdr:cNvPr id="77" name="Shape 73">
                <a:extLst>
                  <a:ext uri="{FF2B5EF4-FFF2-40B4-BE49-F238E27FC236}">
                    <a16:creationId xmlns:a16="http://schemas.microsoft.com/office/drawing/2014/main" id="{A4DAD4B0-6858-C1E8-E363-339D9CFAD28D}"/>
                  </a:ext>
                </a:extLst>
              </xdr:cNvPr>
              <xdr:cNvSpPr/>
            </xdr:nvSpPr>
            <xdr:spPr>
              <a:xfrm>
                <a:off x="2897925" y="3622763"/>
                <a:ext cx="4896000" cy="3144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78" name="Shape 74">
                <a:extLst>
                  <a:ext uri="{FF2B5EF4-FFF2-40B4-BE49-F238E27FC236}">
                    <a16:creationId xmlns:a16="http://schemas.microsoft.com/office/drawing/2014/main" id="{127549C2-C065-4C9D-7CFE-3E712B5ACB2E}"/>
                  </a:ext>
                </a:extLst>
              </xdr:cNvPr>
              <xdr:cNvCxnSpPr>
                <a:stCxn id="60" idx="2"/>
              </xdr:cNvCxnSpPr>
            </xdr:nvCxnSpPr>
            <xdr:spPr>
              <a:xfrm rot="10800000">
                <a:off x="2897925" y="3622763"/>
                <a:ext cx="4896000" cy="314400"/>
              </a:xfrm>
              <a:prstGeom prst="straightConnector1">
                <a:avLst/>
              </a:prstGeom>
              <a:noFill/>
              <a:ln w="38100" cap="flat" cmpd="sng">
                <a:solidFill>
                  <a:srgbClr val="FF0000"/>
                </a:solidFill>
                <a:prstDash val="solid"/>
                <a:miter lim="800000"/>
                <a:headEnd type="none" w="sm" len="sm"/>
                <a:tailEnd type="triangle" w="med" len="med"/>
              </a:ln>
            </xdr:spPr>
          </xdr:cxnSp>
        </xdr:grpSp>
      </xdr:grpSp>
    </xdr:grpSp>
    <xdr:clientData fLocksWithSheet="0"/>
  </xdr:oneCellAnchor>
  <xdr:oneCellAnchor>
    <xdr:from>
      <xdr:col>3</xdr:col>
      <xdr:colOff>476250</xdr:colOff>
      <xdr:row>111</xdr:row>
      <xdr:rowOff>123825</xdr:rowOff>
    </xdr:from>
    <xdr:ext cx="1314450" cy="838200"/>
    <xdr:sp macro="" textlink="">
      <xdr:nvSpPr>
        <xdr:cNvPr id="79" name="Shape 75">
          <a:extLst>
            <a:ext uri="{FF2B5EF4-FFF2-40B4-BE49-F238E27FC236}">
              <a16:creationId xmlns:a16="http://schemas.microsoft.com/office/drawing/2014/main" id="{58A97397-6016-4A28-A768-3541A3DFD638}"/>
            </a:ext>
          </a:extLst>
        </xdr:cNvPr>
        <xdr:cNvSpPr/>
      </xdr:nvSpPr>
      <xdr:spPr>
        <a:xfrm>
          <a:off x="6600825" y="25688925"/>
          <a:ext cx="1314450" cy="838200"/>
        </a:xfrm>
        <a:prstGeom prst="ellipse">
          <a:avLst/>
        </a:prstGeom>
        <a:noFill/>
        <a:ln w="38100" cap="flat" cmpd="sng">
          <a:solidFill>
            <a:schemeClr val="dk1"/>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xdr:col>
      <xdr:colOff>1038225</xdr:colOff>
      <xdr:row>107</xdr:row>
      <xdr:rowOff>95250</xdr:rowOff>
    </xdr:from>
    <xdr:ext cx="3562350" cy="1181100"/>
    <xdr:grpSp>
      <xdr:nvGrpSpPr>
        <xdr:cNvPr id="80" name="Shape 2" title="Drawing">
          <a:extLst>
            <a:ext uri="{FF2B5EF4-FFF2-40B4-BE49-F238E27FC236}">
              <a16:creationId xmlns:a16="http://schemas.microsoft.com/office/drawing/2014/main" id="{1A300D08-CE77-4D74-9B0B-77689CDC1DD0}"/>
            </a:ext>
          </a:extLst>
        </xdr:cNvPr>
        <xdr:cNvGrpSpPr/>
      </xdr:nvGrpSpPr>
      <xdr:grpSpPr>
        <a:xfrm>
          <a:off x="2065770" y="19064432"/>
          <a:ext cx="3562350" cy="1181100"/>
          <a:chOff x="3564825" y="3189450"/>
          <a:chExt cx="3562350" cy="1181100"/>
        </a:xfrm>
      </xdr:grpSpPr>
      <xdr:grpSp>
        <xdr:nvGrpSpPr>
          <xdr:cNvPr id="81" name="Shape 76">
            <a:extLst>
              <a:ext uri="{FF2B5EF4-FFF2-40B4-BE49-F238E27FC236}">
                <a16:creationId xmlns:a16="http://schemas.microsoft.com/office/drawing/2014/main" id="{AD18A883-EDDF-B28D-A909-8518C947663B}"/>
              </a:ext>
            </a:extLst>
          </xdr:cNvPr>
          <xdr:cNvGrpSpPr/>
        </xdr:nvGrpSpPr>
        <xdr:grpSpPr>
          <a:xfrm>
            <a:off x="3564825" y="3189450"/>
            <a:ext cx="3562350" cy="1181100"/>
            <a:chOff x="3564825" y="3189450"/>
            <a:chExt cx="3562350" cy="1181100"/>
          </a:xfrm>
        </xdr:grpSpPr>
        <xdr:sp macro="" textlink="">
          <xdr:nvSpPr>
            <xdr:cNvPr id="82" name="Shape 4">
              <a:extLst>
                <a:ext uri="{FF2B5EF4-FFF2-40B4-BE49-F238E27FC236}">
                  <a16:creationId xmlns:a16="http://schemas.microsoft.com/office/drawing/2014/main" id="{DD1DBC96-9B3A-950D-4FF8-EB67C8092BE9}"/>
                </a:ext>
              </a:extLst>
            </xdr:cNvPr>
            <xdr:cNvSpPr/>
          </xdr:nvSpPr>
          <xdr:spPr>
            <a:xfrm>
              <a:off x="3564825" y="3189450"/>
              <a:ext cx="3562350" cy="1181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83" name="Shape 77">
              <a:extLst>
                <a:ext uri="{FF2B5EF4-FFF2-40B4-BE49-F238E27FC236}">
                  <a16:creationId xmlns:a16="http://schemas.microsoft.com/office/drawing/2014/main" id="{086852B4-C817-47B6-87BF-3FD678B125EC}"/>
                </a:ext>
              </a:extLst>
            </xdr:cNvPr>
            <xdr:cNvGrpSpPr/>
          </xdr:nvGrpSpPr>
          <xdr:grpSpPr>
            <a:xfrm>
              <a:off x="3564825" y="3189450"/>
              <a:ext cx="3562350" cy="1181100"/>
              <a:chOff x="3584025" y="3208500"/>
              <a:chExt cx="3524100" cy="1143000"/>
            </a:xfrm>
          </xdr:grpSpPr>
          <xdr:sp macro="" textlink="">
            <xdr:nvSpPr>
              <xdr:cNvPr id="84" name="Shape 78">
                <a:extLst>
                  <a:ext uri="{FF2B5EF4-FFF2-40B4-BE49-F238E27FC236}">
                    <a16:creationId xmlns:a16="http://schemas.microsoft.com/office/drawing/2014/main" id="{DBD90021-69C2-CD76-2CB9-F2921CE3EC01}"/>
                  </a:ext>
                </a:extLst>
              </xdr:cNvPr>
              <xdr:cNvSpPr/>
            </xdr:nvSpPr>
            <xdr:spPr>
              <a:xfrm>
                <a:off x="3584025" y="3208500"/>
                <a:ext cx="3524100" cy="1143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85" name="Shape 79">
                <a:extLst>
                  <a:ext uri="{FF2B5EF4-FFF2-40B4-BE49-F238E27FC236}">
                    <a16:creationId xmlns:a16="http://schemas.microsoft.com/office/drawing/2014/main" id="{7CA3E3EE-06E2-8544-AC0B-3B9522D86918}"/>
                  </a:ext>
                </a:extLst>
              </xdr:cNvPr>
              <xdr:cNvCxnSpPr>
                <a:stCxn id="64" idx="2"/>
              </xdr:cNvCxnSpPr>
            </xdr:nvCxnSpPr>
            <xdr:spPr>
              <a:xfrm rot="10800000">
                <a:off x="3584025" y="3208500"/>
                <a:ext cx="3524100" cy="1143000"/>
              </a:xfrm>
              <a:prstGeom prst="straightConnector1">
                <a:avLst/>
              </a:prstGeom>
              <a:noFill/>
              <a:ln w="38100" cap="flat" cmpd="sng">
                <a:solidFill>
                  <a:schemeClr val="dk1"/>
                </a:solidFill>
                <a:prstDash val="solid"/>
                <a:miter lim="800000"/>
                <a:headEnd type="none" w="sm" len="sm"/>
                <a:tailEnd type="triangle" w="med" len="med"/>
              </a:ln>
            </xdr:spPr>
          </xdr:cxnSp>
        </xdr:grpSp>
      </xdr:grpSp>
    </xdr:grpSp>
    <xdr:clientData fLocksWithSheet="0"/>
  </xdr:oneCellAnchor>
  <xdr:oneCellAnchor>
    <xdr:from>
      <xdr:col>6</xdr:col>
      <xdr:colOff>600075</xdr:colOff>
      <xdr:row>112</xdr:row>
      <xdr:rowOff>76200</xdr:rowOff>
    </xdr:from>
    <xdr:ext cx="514350" cy="619125"/>
    <xdr:sp macro="" textlink="">
      <xdr:nvSpPr>
        <xdr:cNvPr id="86" name="Shape 80">
          <a:extLst>
            <a:ext uri="{FF2B5EF4-FFF2-40B4-BE49-F238E27FC236}">
              <a16:creationId xmlns:a16="http://schemas.microsoft.com/office/drawing/2014/main" id="{4CE9DDAA-1930-4094-97F1-2F8B7CCAAB04}"/>
            </a:ext>
          </a:extLst>
        </xdr:cNvPr>
        <xdr:cNvSpPr/>
      </xdr:nvSpPr>
      <xdr:spPr>
        <a:xfrm>
          <a:off x="9010650" y="25822275"/>
          <a:ext cx="514350" cy="619125"/>
        </a:xfrm>
        <a:prstGeom prst="ellipse">
          <a:avLst/>
        </a:prstGeom>
        <a:noFill/>
        <a:ln w="38100" cap="flat" cmpd="sng">
          <a:solidFill>
            <a:srgbClr val="517E33"/>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342900</xdr:colOff>
      <xdr:row>109</xdr:row>
      <xdr:rowOff>142875</xdr:rowOff>
    </xdr:from>
    <xdr:ext cx="3152775" cy="800100"/>
    <xdr:grpSp>
      <xdr:nvGrpSpPr>
        <xdr:cNvPr id="87" name="Shape 2" title="Drawing">
          <a:extLst>
            <a:ext uri="{FF2B5EF4-FFF2-40B4-BE49-F238E27FC236}">
              <a16:creationId xmlns:a16="http://schemas.microsoft.com/office/drawing/2014/main" id="{0D93A096-DDC7-4BD6-A280-15E5B8F37EA3}"/>
            </a:ext>
          </a:extLst>
        </xdr:cNvPr>
        <xdr:cNvGrpSpPr/>
      </xdr:nvGrpSpPr>
      <xdr:grpSpPr>
        <a:xfrm>
          <a:off x="5526809" y="19458420"/>
          <a:ext cx="3152775" cy="800100"/>
          <a:chOff x="3769613" y="3379950"/>
          <a:chExt cx="3152775" cy="800100"/>
        </a:xfrm>
      </xdr:grpSpPr>
      <xdr:grpSp>
        <xdr:nvGrpSpPr>
          <xdr:cNvPr id="88" name="Shape 81">
            <a:extLst>
              <a:ext uri="{FF2B5EF4-FFF2-40B4-BE49-F238E27FC236}">
                <a16:creationId xmlns:a16="http://schemas.microsoft.com/office/drawing/2014/main" id="{88E456D7-89CF-984E-8837-F29AB0593CDA}"/>
              </a:ext>
            </a:extLst>
          </xdr:cNvPr>
          <xdr:cNvGrpSpPr/>
        </xdr:nvGrpSpPr>
        <xdr:grpSpPr>
          <a:xfrm>
            <a:off x="3769613" y="3379950"/>
            <a:ext cx="3152775" cy="800100"/>
            <a:chOff x="3769613" y="3379950"/>
            <a:chExt cx="3152775" cy="800100"/>
          </a:xfrm>
        </xdr:grpSpPr>
        <xdr:sp macro="" textlink="">
          <xdr:nvSpPr>
            <xdr:cNvPr id="89" name="Shape 4">
              <a:extLst>
                <a:ext uri="{FF2B5EF4-FFF2-40B4-BE49-F238E27FC236}">
                  <a16:creationId xmlns:a16="http://schemas.microsoft.com/office/drawing/2014/main" id="{719EABD9-A427-B0D8-FBD9-2F506D30FBF2}"/>
                </a:ext>
              </a:extLst>
            </xdr:cNvPr>
            <xdr:cNvSpPr/>
          </xdr:nvSpPr>
          <xdr:spPr>
            <a:xfrm>
              <a:off x="3769613" y="3379950"/>
              <a:ext cx="3152775" cy="800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90" name="Shape 82">
              <a:extLst>
                <a:ext uri="{FF2B5EF4-FFF2-40B4-BE49-F238E27FC236}">
                  <a16:creationId xmlns:a16="http://schemas.microsoft.com/office/drawing/2014/main" id="{1FEE99A3-4F71-FA30-9187-1B32191BECFB}"/>
                </a:ext>
              </a:extLst>
            </xdr:cNvPr>
            <xdr:cNvGrpSpPr/>
          </xdr:nvGrpSpPr>
          <xdr:grpSpPr>
            <a:xfrm>
              <a:off x="3769613" y="3379950"/>
              <a:ext cx="3152775" cy="800100"/>
              <a:chOff x="3788738" y="3399000"/>
              <a:chExt cx="3114600" cy="762000"/>
            </a:xfrm>
          </xdr:grpSpPr>
          <xdr:sp macro="" textlink="">
            <xdr:nvSpPr>
              <xdr:cNvPr id="91" name="Shape 83">
                <a:extLst>
                  <a:ext uri="{FF2B5EF4-FFF2-40B4-BE49-F238E27FC236}">
                    <a16:creationId xmlns:a16="http://schemas.microsoft.com/office/drawing/2014/main" id="{71791BA8-7DDF-0090-F4EB-E0DACE303C9F}"/>
                  </a:ext>
                </a:extLst>
              </xdr:cNvPr>
              <xdr:cNvSpPr/>
            </xdr:nvSpPr>
            <xdr:spPr>
              <a:xfrm>
                <a:off x="3788738" y="3399000"/>
                <a:ext cx="3114600" cy="762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92" name="Shape 84">
                <a:extLst>
                  <a:ext uri="{FF2B5EF4-FFF2-40B4-BE49-F238E27FC236}">
                    <a16:creationId xmlns:a16="http://schemas.microsoft.com/office/drawing/2014/main" id="{7341FC11-01C8-6532-41FB-E728656EB988}"/>
                  </a:ext>
                </a:extLst>
              </xdr:cNvPr>
              <xdr:cNvCxnSpPr>
                <a:stCxn id="67" idx="2"/>
              </xdr:cNvCxnSpPr>
            </xdr:nvCxnSpPr>
            <xdr:spPr>
              <a:xfrm rot="10800000">
                <a:off x="3788738" y="3399000"/>
                <a:ext cx="3114600" cy="762000"/>
              </a:xfrm>
              <a:prstGeom prst="straightConnector1">
                <a:avLst/>
              </a:prstGeom>
              <a:noFill/>
              <a:ln w="38100" cap="flat" cmpd="sng">
                <a:solidFill>
                  <a:schemeClr val="accent6"/>
                </a:solidFill>
                <a:prstDash val="solid"/>
                <a:miter lim="800000"/>
                <a:headEnd type="none" w="sm" len="sm"/>
                <a:tailEnd type="triangle" w="med" len="med"/>
              </a:ln>
            </xdr:spPr>
          </xdr:cxnSp>
        </xdr:grpSp>
      </xdr:grpSp>
    </xdr:grpSp>
    <xdr:clientData fLocksWithSheet="0"/>
  </xdr:oneCellAnchor>
  <xdr:oneCellAnchor>
    <xdr:from>
      <xdr:col>9</xdr:col>
      <xdr:colOff>114300</xdr:colOff>
      <xdr:row>112</xdr:row>
      <xdr:rowOff>66675</xdr:rowOff>
    </xdr:from>
    <xdr:ext cx="561975" cy="600075"/>
    <xdr:sp macro="" textlink="">
      <xdr:nvSpPr>
        <xdr:cNvPr id="93" name="Shape 85">
          <a:extLst>
            <a:ext uri="{FF2B5EF4-FFF2-40B4-BE49-F238E27FC236}">
              <a16:creationId xmlns:a16="http://schemas.microsoft.com/office/drawing/2014/main" id="{C322DF61-D34A-4661-BFD5-7E9B6B292121}"/>
            </a:ext>
          </a:extLst>
        </xdr:cNvPr>
        <xdr:cNvSpPr/>
      </xdr:nvSpPr>
      <xdr:spPr>
        <a:xfrm rot="10800000" flipH="1">
          <a:off x="10920413" y="25812750"/>
          <a:ext cx="561975" cy="600075"/>
        </a:xfrm>
        <a:prstGeom prst="ellipse">
          <a:avLst/>
        </a:prstGeom>
        <a:noFill/>
        <a:ln w="38100" cap="flat" cmpd="sng">
          <a:solidFill>
            <a:srgbClr val="AC5B23"/>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xdr:col>
      <xdr:colOff>1638300</xdr:colOff>
      <xdr:row>111</xdr:row>
      <xdr:rowOff>114300</xdr:rowOff>
    </xdr:from>
    <xdr:ext cx="6972300" cy="476250"/>
    <xdr:grpSp>
      <xdr:nvGrpSpPr>
        <xdr:cNvPr id="94" name="Shape 2" title="Drawing">
          <a:extLst>
            <a:ext uri="{FF2B5EF4-FFF2-40B4-BE49-F238E27FC236}">
              <a16:creationId xmlns:a16="http://schemas.microsoft.com/office/drawing/2014/main" id="{CB6F9C18-FE89-47C1-9C15-9FFF0775405B}"/>
            </a:ext>
          </a:extLst>
        </xdr:cNvPr>
        <xdr:cNvGrpSpPr/>
      </xdr:nvGrpSpPr>
      <xdr:grpSpPr>
        <a:xfrm>
          <a:off x="2665845" y="19776209"/>
          <a:ext cx="6972300" cy="476250"/>
          <a:chOff x="1859850" y="3541875"/>
          <a:chExt cx="6972300" cy="476250"/>
        </a:xfrm>
      </xdr:grpSpPr>
      <xdr:grpSp>
        <xdr:nvGrpSpPr>
          <xdr:cNvPr id="95" name="Shape 86">
            <a:extLst>
              <a:ext uri="{FF2B5EF4-FFF2-40B4-BE49-F238E27FC236}">
                <a16:creationId xmlns:a16="http://schemas.microsoft.com/office/drawing/2014/main" id="{7DC437E6-55E6-FBEC-3A95-8B04205A057A}"/>
              </a:ext>
            </a:extLst>
          </xdr:cNvPr>
          <xdr:cNvGrpSpPr/>
        </xdr:nvGrpSpPr>
        <xdr:grpSpPr>
          <a:xfrm>
            <a:off x="1859850" y="3541875"/>
            <a:ext cx="6972300" cy="476250"/>
            <a:chOff x="1859850" y="3541875"/>
            <a:chExt cx="6972300" cy="476250"/>
          </a:xfrm>
        </xdr:grpSpPr>
        <xdr:sp macro="" textlink="">
          <xdr:nvSpPr>
            <xdr:cNvPr id="96" name="Shape 4">
              <a:extLst>
                <a:ext uri="{FF2B5EF4-FFF2-40B4-BE49-F238E27FC236}">
                  <a16:creationId xmlns:a16="http://schemas.microsoft.com/office/drawing/2014/main" id="{04190D7B-66A2-9699-D761-7A25911E1CF7}"/>
                </a:ext>
              </a:extLst>
            </xdr:cNvPr>
            <xdr:cNvSpPr/>
          </xdr:nvSpPr>
          <xdr:spPr>
            <a:xfrm>
              <a:off x="1859850" y="3541875"/>
              <a:ext cx="6972300" cy="4762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97" name="Shape 87">
              <a:extLst>
                <a:ext uri="{FF2B5EF4-FFF2-40B4-BE49-F238E27FC236}">
                  <a16:creationId xmlns:a16="http://schemas.microsoft.com/office/drawing/2014/main" id="{3FA7F1A1-37A7-06A6-6182-6E9574C2FDFF}"/>
                </a:ext>
              </a:extLst>
            </xdr:cNvPr>
            <xdr:cNvGrpSpPr/>
          </xdr:nvGrpSpPr>
          <xdr:grpSpPr>
            <a:xfrm>
              <a:off x="1859850" y="3541875"/>
              <a:ext cx="6972300" cy="476250"/>
              <a:chOff x="1878900" y="3560775"/>
              <a:chExt cx="6934200" cy="438300"/>
            </a:xfrm>
          </xdr:grpSpPr>
          <xdr:sp macro="" textlink="">
            <xdr:nvSpPr>
              <xdr:cNvPr id="98" name="Shape 88">
                <a:extLst>
                  <a:ext uri="{FF2B5EF4-FFF2-40B4-BE49-F238E27FC236}">
                    <a16:creationId xmlns:a16="http://schemas.microsoft.com/office/drawing/2014/main" id="{578C3379-89E2-1FA5-6153-49A54587EDB5}"/>
                  </a:ext>
                </a:extLst>
              </xdr:cNvPr>
              <xdr:cNvSpPr/>
            </xdr:nvSpPr>
            <xdr:spPr>
              <a:xfrm>
                <a:off x="1878900" y="3560775"/>
                <a:ext cx="6934200" cy="4383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99" name="Shape 89">
                <a:extLst>
                  <a:ext uri="{FF2B5EF4-FFF2-40B4-BE49-F238E27FC236}">
                    <a16:creationId xmlns:a16="http://schemas.microsoft.com/office/drawing/2014/main" id="{FC310FB9-7221-C8A7-9C63-EDD2F25E7559}"/>
                  </a:ext>
                </a:extLst>
              </xdr:cNvPr>
              <xdr:cNvCxnSpPr>
                <a:stCxn id="70" idx="2"/>
              </xdr:cNvCxnSpPr>
            </xdr:nvCxnSpPr>
            <xdr:spPr>
              <a:xfrm rot="10800000">
                <a:off x="1878900" y="3560775"/>
                <a:ext cx="6934200" cy="438300"/>
              </a:xfrm>
              <a:prstGeom prst="straightConnector1">
                <a:avLst/>
              </a:prstGeom>
              <a:noFill/>
              <a:ln w="38100" cap="flat" cmpd="sng">
                <a:solidFill>
                  <a:schemeClr val="accent2"/>
                </a:solidFill>
                <a:prstDash val="solid"/>
                <a:miter lim="800000"/>
                <a:headEnd type="none" w="sm" len="sm"/>
                <a:tailEnd type="triangle" w="med" len="med"/>
              </a:ln>
            </xdr:spPr>
          </xdr:cxnSp>
        </xdr:grpSp>
      </xdr:grpSp>
    </xdr:grpSp>
    <xdr:clientData fLocksWithSheet="0"/>
  </xdr:oneCellAnchor>
  <xdr:oneCellAnchor>
    <xdr:from>
      <xdr:col>5</xdr:col>
      <xdr:colOff>457200</xdr:colOff>
      <xdr:row>69</xdr:row>
      <xdr:rowOff>9525</xdr:rowOff>
    </xdr:from>
    <xdr:ext cx="7029450" cy="5372100"/>
    <xdr:pic>
      <xdr:nvPicPr>
        <xdr:cNvPr id="100" name="image4.png">
          <a:extLst>
            <a:ext uri="{FF2B5EF4-FFF2-40B4-BE49-F238E27FC236}">
              <a16:creationId xmlns:a16="http://schemas.microsoft.com/office/drawing/2014/main" id="{FF022FB7-8904-4C35-9848-D18A5823C55B}"/>
            </a:ext>
          </a:extLst>
        </xdr:cNvPr>
        <xdr:cNvPicPr preferRelativeResize="0"/>
      </xdr:nvPicPr>
      <xdr:blipFill>
        <a:blip xmlns:r="http://schemas.openxmlformats.org/officeDocument/2006/relationships" r:embed="rId1" cstate="print"/>
        <a:stretch>
          <a:fillRect/>
        </a:stretch>
      </xdr:blipFill>
      <xdr:spPr>
        <a:xfrm>
          <a:off x="7972425" y="17745075"/>
          <a:ext cx="7029450" cy="5372100"/>
        </a:xfrm>
        <a:prstGeom prst="rect">
          <a:avLst/>
        </a:prstGeom>
        <a:noFill/>
      </xdr:spPr>
    </xdr:pic>
    <xdr:clientData fLocksWithSheet="0"/>
  </xdr:oneCellAnchor>
  <xdr:oneCellAnchor>
    <xdr:from>
      <xdr:col>30</xdr:col>
      <xdr:colOff>85725</xdr:colOff>
      <xdr:row>1</xdr:row>
      <xdr:rowOff>104775</xdr:rowOff>
    </xdr:from>
    <xdr:ext cx="4552950" cy="2286000"/>
    <xdr:pic>
      <xdr:nvPicPr>
        <xdr:cNvPr id="101" name="image8.png">
          <a:extLst>
            <a:ext uri="{FF2B5EF4-FFF2-40B4-BE49-F238E27FC236}">
              <a16:creationId xmlns:a16="http://schemas.microsoft.com/office/drawing/2014/main" id="{E03DE503-1AAA-4DE5-8F74-F938A98A0D5F}"/>
            </a:ext>
          </a:extLst>
        </xdr:cNvPr>
        <xdr:cNvPicPr preferRelativeResize="0"/>
      </xdr:nvPicPr>
      <xdr:blipFill>
        <a:blip xmlns:r="http://schemas.openxmlformats.org/officeDocument/2006/relationships" r:embed="rId2" cstate="print"/>
        <a:stretch>
          <a:fillRect/>
        </a:stretch>
      </xdr:blipFill>
      <xdr:spPr>
        <a:xfrm>
          <a:off x="29727525" y="285750"/>
          <a:ext cx="4552950" cy="2286000"/>
        </a:xfrm>
        <a:prstGeom prst="rect">
          <a:avLst/>
        </a:prstGeom>
        <a:noFill/>
      </xdr:spPr>
    </xdr:pic>
    <xdr:clientData fLocksWithSheet="0"/>
  </xdr:oneCellAnchor>
  <xdr:oneCellAnchor>
    <xdr:from>
      <xdr:col>19</xdr:col>
      <xdr:colOff>104775</xdr:colOff>
      <xdr:row>1</xdr:row>
      <xdr:rowOff>123825</xdr:rowOff>
    </xdr:from>
    <xdr:ext cx="5553075" cy="3000375"/>
    <xdr:pic>
      <xdr:nvPicPr>
        <xdr:cNvPr id="102" name="image3.png">
          <a:extLst>
            <a:ext uri="{FF2B5EF4-FFF2-40B4-BE49-F238E27FC236}">
              <a16:creationId xmlns:a16="http://schemas.microsoft.com/office/drawing/2014/main" id="{7F7A43A4-1DD6-4D1D-B27B-34A1FB04B3C1}"/>
            </a:ext>
          </a:extLst>
        </xdr:cNvPr>
        <xdr:cNvPicPr preferRelativeResize="0"/>
      </xdr:nvPicPr>
      <xdr:blipFill>
        <a:blip xmlns:r="http://schemas.openxmlformats.org/officeDocument/2006/relationships" r:embed="rId3" cstate="print"/>
        <a:stretch>
          <a:fillRect/>
        </a:stretch>
      </xdr:blipFill>
      <xdr:spPr>
        <a:xfrm>
          <a:off x="22017038" y="304800"/>
          <a:ext cx="5553075" cy="3000375"/>
        </a:xfrm>
        <a:prstGeom prst="rect">
          <a:avLst/>
        </a:prstGeom>
        <a:noFill/>
      </xdr:spPr>
    </xdr:pic>
    <xdr:clientData fLocksWithSheet="0"/>
  </xdr:oneCellAnchor>
  <xdr:oneCellAnchor>
    <xdr:from>
      <xdr:col>19</xdr:col>
      <xdr:colOff>9525</xdr:colOff>
      <xdr:row>25</xdr:row>
      <xdr:rowOff>0</xdr:rowOff>
    </xdr:from>
    <xdr:ext cx="5819775" cy="5095875"/>
    <xdr:pic>
      <xdr:nvPicPr>
        <xdr:cNvPr id="103" name="image6.png">
          <a:extLst>
            <a:ext uri="{FF2B5EF4-FFF2-40B4-BE49-F238E27FC236}">
              <a16:creationId xmlns:a16="http://schemas.microsoft.com/office/drawing/2014/main" id="{D489CE75-EC6C-4E43-95B2-D0A979AC7548}"/>
            </a:ext>
          </a:extLst>
        </xdr:cNvPr>
        <xdr:cNvPicPr preferRelativeResize="0"/>
      </xdr:nvPicPr>
      <xdr:blipFill>
        <a:blip xmlns:r="http://schemas.openxmlformats.org/officeDocument/2006/relationships" r:embed="rId4" cstate="print"/>
        <a:stretch>
          <a:fillRect/>
        </a:stretch>
      </xdr:blipFill>
      <xdr:spPr>
        <a:xfrm>
          <a:off x="21921788" y="7724775"/>
          <a:ext cx="5819775" cy="5095875"/>
        </a:xfrm>
        <a:prstGeom prst="rect">
          <a:avLst/>
        </a:prstGeom>
        <a:noFill/>
      </xdr:spPr>
    </xdr:pic>
    <xdr:clientData fLocksWithSheet="0"/>
  </xdr:oneCellAnchor>
  <xdr:oneCellAnchor>
    <xdr:from>
      <xdr:col>30</xdr:col>
      <xdr:colOff>85725</xdr:colOff>
      <xdr:row>25</xdr:row>
      <xdr:rowOff>0</xdr:rowOff>
    </xdr:from>
    <xdr:ext cx="5743575" cy="3933825"/>
    <xdr:pic>
      <xdr:nvPicPr>
        <xdr:cNvPr id="104" name="image9.png">
          <a:extLst>
            <a:ext uri="{FF2B5EF4-FFF2-40B4-BE49-F238E27FC236}">
              <a16:creationId xmlns:a16="http://schemas.microsoft.com/office/drawing/2014/main" id="{669378BE-7879-43E1-85A3-6F0AAE038832}"/>
            </a:ext>
          </a:extLst>
        </xdr:cNvPr>
        <xdr:cNvPicPr preferRelativeResize="0"/>
      </xdr:nvPicPr>
      <xdr:blipFill>
        <a:blip xmlns:r="http://schemas.openxmlformats.org/officeDocument/2006/relationships" r:embed="rId5" cstate="print"/>
        <a:stretch>
          <a:fillRect/>
        </a:stretch>
      </xdr:blipFill>
      <xdr:spPr>
        <a:xfrm>
          <a:off x="29727525" y="7705725"/>
          <a:ext cx="5743575" cy="3933825"/>
        </a:xfrm>
        <a:prstGeom prst="rect">
          <a:avLst/>
        </a:prstGeom>
        <a:noFill/>
      </xdr:spPr>
    </xdr:pic>
    <xdr:clientData fLocksWithSheet="0"/>
  </xdr:oneCellAnchor>
  <xdr:oneCellAnchor>
    <xdr:from>
      <xdr:col>19</xdr:col>
      <xdr:colOff>533400</xdr:colOff>
      <xdr:row>51</xdr:row>
      <xdr:rowOff>104775</xdr:rowOff>
    </xdr:from>
    <xdr:ext cx="7038975" cy="2381250"/>
    <xdr:pic>
      <xdr:nvPicPr>
        <xdr:cNvPr id="105" name="image5.png">
          <a:extLst>
            <a:ext uri="{FF2B5EF4-FFF2-40B4-BE49-F238E27FC236}">
              <a16:creationId xmlns:a16="http://schemas.microsoft.com/office/drawing/2014/main" id="{1E5A5ADF-4F0E-46F1-A37E-E6215E99C736}"/>
            </a:ext>
          </a:extLst>
        </xdr:cNvPr>
        <xdr:cNvPicPr preferRelativeResize="0"/>
      </xdr:nvPicPr>
      <xdr:blipFill>
        <a:blip xmlns:r="http://schemas.openxmlformats.org/officeDocument/2006/relationships" r:embed="rId6" cstate="print"/>
        <a:stretch>
          <a:fillRect/>
        </a:stretch>
      </xdr:blipFill>
      <xdr:spPr>
        <a:xfrm>
          <a:off x="22445663" y="14487525"/>
          <a:ext cx="7038975" cy="2381250"/>
        </a:xfrm>
        <a:prstGeom prst="rect">
          <a:avLst/>
        </a:prstGeom>
        <a:noFill/>
      </xdr:spPr>
    </xdr:pic>
    <xdr:clientData fLocksWithSheet="0"/>
  </xdr:oneCellAnchor>
  <xdr:oneCellAnchor>
    <xdr:from>
      <xdr:col>6</xdr:col>
      <xdr:colOff>28575</xdr:colOff>
      <xdr:row>30</xdr:row>
      <xdr:rowOff>142875</xdr:rowOff>
    </xdr:from>
    <xdr:ext cx="7391400" cy="5962650"/>
    <xdr:pic>
      <xdr:nvPicPr>
        <xdr:cNvPr id="106" name="image10.png">
          <a:extLst>
            <a:ext uri="{FF2B5EF4-FFF2-40B4-BE49-F238E27FC236}">
              <a16:creationId xmlns:a16="http://schemas.microsoft.com/office/drawing/2014/main" id="{A1706A30-7E18-493F-AB8C-4CEE1C72238F}"/>
            </a:ext>
            <a:ext uri="{147F2762-F138-4A5C-976F-8EAC2B608ADB}">
              <a16:predDERef xmlns:a16="http://schemas.microsoft.com/office/drawing/2014/main" pred="{00000000-0008-0000-0400-00006B000000}"/>
            </a:ext>
          </a:extLst>
        </xdr:cNvPr>
        <xdr:cNvPicPr preferRelativeResize="0"/>
      </xdr:nvPicPr>
      <xdr:blipFill>
        <a:blip xmlns:r="http://schemas.openxmlformats.org/officeDocument/2006/relationships" r:embed="rId7" cstate="print"/>
        <a:stretch>
          <a:fillRect/>
        </a:stretch>
      </xdr:blipFill>
      <xdr:spPr>
        <a:xfrm>
          <a:off x="8439150" y="10706100"/>
          <a:ext cx="7391400" cy="5962650"/>
        </a:xfrm>
        <a:prstGeom prst="rect">
          <a:avLst/>
        </a:prstGeom>
        <a:noFill/>
      </xdr:spPr>
    </xdr:pic>
    <xdr:clientData fLocksWithSheet="0"/>
  </xdr:oneCellAnchor>
  <xdr:oneCellAnchor>
    <xdr:from>
      <xdr:col>3</xdr:col>
      <xdr:colOff>533400</xdr:colOff>
      <xdr:row>105</xdr:row>
      <xdr:rowOff>57150</xdr:rowOff>
    </xdr:from>
    <xdr:ext cx="7010400" cy="3076575"/>
    <xdr:pic>
      <xdr:nvPicPr>
        <xdr:cNvPr id="107" name="image7.png" title="Image">
          <a:extLst>
            <a:ext uri="{FF2B5EF4-FFF2-40B4-BE49-F238E27FC236}">
              <a16:creationId xmlns:a16="http://schemas.microsoft.com/office/drawing/2014/main" id="{0CE0448D-7302-4C14-A521-670DD8A3058F}"/>
            </a:ext>
            <a:ext uri="{147F2762-F138-4A5C-976F-8EAC2B608ADB}">
              <a16:predDERef xmlns:a16="http://schemas.microsoft.com/office/drawing/2014/main" pred="{00000000-0008-0000-0400-000066000000}"/>
            </a:ext>
          </a:extLst>
        </xdr:cNvPr>
        <xdr:cNvPicPr preferRelativeResize="0"/>
      </xdr:nvPicPr>
      <xdr:blipFill>
        <a:blip xmlns:r="http://schemas.openxmlformats.org/officeDocument/2006/relationships" r:embed="rId8" cstate="print"/>
        <a:stretch>
          <a:fillRect/>
        </a:stretch>
      </xdr:blipFill>
      <xdr:spPr>
        <a:xfrm>
          <a:off x="6657975" y="24536400"/>
          <a:ext cx="7010400" cy="3076575"/>
        </a:xfrm>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twoCellAnchor editAs="oneCell">
    <xdr:from>
      <xdr:col>10</xdr:col>
      <xdr:colOff>50608</xdr:colOff>
      <xdr:row>1</xdr:row>
      <xdr:rowOff>124114</xdr:rowOff>
    </xdr:from>
    <xdr:to>
      <xdr:col>13</xdr:col>
      <xdr:colOff>483580</xdr:colOff>
      <xdr:row>7</xdr:row>
      <xdr:rowOff>74239</xdr:rowOff>
    </xdr:to>
    <xdr:pic>
      <xdr:nvPicPr>
        <xdr:cNvPr id="3" name="Picture 2">
          <a:extLst>
            <a:ext uri="{FF2B5EF4-FFF2-40B4-BE49-F238E27FC236}">
              <a16:creationId xmlns:a16="http://schemas.microsoft.com/office/drawing/2014/main" id="{37F9F753-D0C0-B560-5472-5090635D0FCA}"/>
            </a:ext>
          </a:extLst>
        </xdr:cNvPr>
        <xdr:cNvPicPr>
          <a:picLocks noChangeAspect="1"/>
        </xdr:cNvPicPr>
      </xdr:nvPicPr>
      <xdr:blipFill>
        <a:blip xmlns:r="http://schemas.openxmlformats.org/officeDocument/2006/relationships" r:embed="rId1"/>
        <a:stretch>
          <a:fillRect/>
        </a:stretch>
      </xdr:blipFill>
      <xdr:spPr>
        <a:xfrm rot="5400000">
          <a:off x="9751090" y="-315137"/>
          <a:ext cx="1005202" cy="223539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6</xdr:col>
      <xdr:colOff>600075</xdr:colOff>
      <xdr:row>22</xdr:row>
      <xdr:rowOff>161925</xdr:rowOff>
    </xdr:from>
    <xdr:to>
      <xdr:col>14</xdr:col>
      <xdr:colOff>1114425</xdr:colOff>
      <xdr:row>32</xdr:row>
      <xdr:rowOff>152400</xdr:rowOff>
    </xdr:to>
    <xdr:sp macro="" textlink="">
      <xdr:nvSpPr>
        <xdr:cNvPr id="2" name="Oval 1">
          <a:extLst>
            <a:ext uri="{FF2B5EF4-FFF2-40B4-BE49-F238E27FC236}">
              <a16:creationId xmlns:a16="http://schemas.microsoft.com/office/drawing/2014/main" id="{E62E7A48-D195-484B-B66F-871AF856F562}"/>
            </a:ext>
          </a:extLst>
        </xdr:cNvPr>
        <xdr:cNvSpPr/>
      </xdr:nvSpPr>
      <xdr:spPr>
        <a:xfrm>
          <a:off x="8662035" y="4368165"/>
          <a:ext cx="9749790" cy="1743075"/>
        </a:xfrm>
        <a:prstGeom prst="ellipse">
          <a:avLst/>
        </a:prstGeom>
        <a:noFill/>
        <a:ln w="38100" cap="flat" cmpd="sng">
          <a:solidFill>
            <a:srgbClr val="31538F"/>
          </a:solidFill>
          <a:prstDash val="solid"/>
          <a:miter lim="800000"/>
          <a:headEnd type="none" w="sm" len="sm"/>
          <a:tailEnd type="none" w="sm" len="sm"/>
        </a:ln>
      </xdr:spPr>
      <xdr:txBody>
        <a:bodyPr spcFirstLastPara="1" wrap="square" lIns="91425" tIns="45700" rIns="91425" bIns="45700" anchor="t" anchorCtr="0">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lvl="0" indent="0" algn="l" rtl="0">
            <a:spcBef>
              <a:spcPts val="0"/>
            </a:spcBef>
            <a:spcAft>
              <a:spcPts val="0"/>
            </a:spcAft>
            <a:buSzPts val="1100"/>
            <a:buFont typeface="Arial"/>
            <a:buNone/>
          </a:pPr>
          <a:endParaRPr sz="1100"/>
        </a:p>
      </xdr:txBody>
    </xdr:sp>
    <xdr:clientData/>
  </xdr:twoCellAnchor>
  <xdr:twoCellAnchor>
    <xdr:from>
      <xdr:col>10</xdr:col>
      <xdr:colOff>38100</xdr:colOff>
      <xdr:row>31</xdr:row>
      <xdr:rowOff>123825</xdr:rowOff>
    </xdr:from>
    <xdr:to>
      <xdr:col>12</xdr:col>
      <xdr:colOff>85725</xdr:colOff>
      <xdr:row>34</xdr:row>
      <xdr:rowOff>19050</xdr:rowOff>
    </xdr:to>
    <xdr:sp macro="" textlink="">
      <xdr:nvSpPr>
        <xdr:cNvPr id="3" name="Oval 2">
          <a:extLst>
            <a:ext uri="{FF2B5EF4-FFF2-40B4-BE49-F238E27FC236}">
              <a16:creationId xmlns:a16="http://schemas.microsoft.com/office/drawing/2014/main" id="{73EF7441-075F-4FC1-BF24-FF818BF62B79}"/>
            </a:ext>
            <a:ext uri="{147F2762-F138-4A5C-976F-8EAC2B608ADB}">
              <a16:predDERef xmlns:a16="http://schemas.microsoft.com/office/drawing/2014/main" pred="{B705D988-B27D-4269-84F6-B54A84CD340D}"/>
            </a:ext>
          </a:extLst>
        </xdr:cNvPr>
        <xdr:cNvSpPr/>
      </xdr:nvSpPr>
      <xdr:spPr>
        <a:xfrm rot="10800000" flipH="1">
          <a:off x="12153900" y="5907405"/>
          <a:ext cx="2623185" cy="421005"/>
        </a:xfrm>
        <a:prstGeom prst="ellipse">
          <a:avLst/>
        </a:prstGeom>
        <a:noFill/>
        <a:ln w="38100" cap="flat" cmpd="sng">
          <a:solidFill>
            <a:srgbClr val="517E33"/>
          </a:solidFill>
          <a:prstDash val="solid"/>
          <a:miter lim="800000"/>
          <a:headEnd type="none" w="sm" len="sm"/>
          <a:tailEnd type="none" w="sm" len="sm"/>
        </a:ln>
      </xdr:spPr>
      <xdr:txBody>
        <a:bodyPr spcFirstLastPara="1" wrap="square" lIns="91425" tIns="45700" rIns="91425" bIns="45700" anchor="t" anchorCtr="0">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lvl="0" indent="0" algn="l" rtl="0">
            <a:spcBef>
              <a:spcPts val="0"/>
            </a:spcBef>
            <a:spcAft>
              <a:spcPts val="0"/>
            </a:spcAft>
            <a:buSzPts val="1100"/>
            <a:buFont typeface="Arial"/>
            <a:buNone/>
          </a:pPr>
          <a:endParaRPr sz="1100"/>
        </a:p>
      </xdr:txBody>
    </xdr:sp>
    <xdr:clientData/>
  </xdr:twoCellAnchor>
  <xdr:twoCellAnchor>
    <xdr:from>
      <xdr:col>9</xdr:col>
      <xdr:colOff>571500</xdr:colOff>
      <xdr:row>33</xdr:row>
      <xdr:rowOff>47625</xdr:rowOff>
    </xdr:from>
    <xdr:to>
      <xdr:col>12</xdr:col>
      <xdr:colOff>428625</xdr:colOff>
      <xdr:row>35</xdr:row>
      <xdr:rowOff>104775</xdr:rowOff>
    </xdr:to>
    <xdr:sp macro="" textlink="">
      <xdr:nvSpPr>
        <xdr:cNvPr id="4" name="Oval 3">
          <a:extLst>
            <a:ext uri="{FF2B5EF4-FFF2-40B4-BE49-F238E27FC236}">
              <a16:creationId xmlns:a16="http://schemas.microsoft.com/office/drawing/2014/main" id="{44BC09D6-57BD-4E1F-94B3-BCA17F1F16D9}"/>
            </a:ext>
            <a:ext uri="{147F2762-F138-4A5C-976F-8EAC2B608ADB}">
              <a16:predDERef xmlns:a16="http://schemas.microsoft.com/office/drawing/2014/main" pred="{A255D506-963F-43D1-9D5D-4AD03079AC24}"/>
            </a:ext>
          </a:extLst>
        </xdr:cNvPr>
        <xdr:cNvSpPr/>
      </xdr:nvSpPr>
      <xdr:spPr>
        <a:xfrm rot="10800000" flipH="1">
          <a:off x="11727180" y="6181725"/>
          <a:ext cx="3392805" cy="407670"/>
        </a:xfrm>
        <a:prstGeom prst="ellipse">
          <a:avLst/>
        </a:prstGeom>
        <a:noFill/>
        <a:ln w="38100" cap="flat" cmpd="sng">
          <a:solidFill>
            <a:srgbClr val="BA8C00"/>
          </a:solidFill>
          <a:prstDash val="solid"/>
          <a:miter lim="800000"/>
          <a:headEnd type="none" w="sm" len="sm"/>
          <a:tailEnd type="none" w="sm" len="sm"/>
        </a:ln>
      </xdr:spPr>
      <xdr:txBody>
        <a:bodyPr spcFirstLastPara="1" wrap="square" lIns="91425" tIns="45700" rIns="91425" bIns="45700" anchor="t" anchorCtr="0">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lvl="0" indent="0" algn="l" rtl="0">
            <a:spcBef>
              <a:spcPts val="0"/>
            </a:spcBef>
            <a:spcAft>
              <a:spcPts val="0"/>
            </a:spcAft>
            <a:buSzPts val="1100"/>
            <a:buFont typeface="Arial"/>
            <a:buNone/>
          </a:pPr>
          <a:endParaRPr sz="1100"/>
        </a:p>
      </xdr:txBody>
    </xdr:sp>
    <xdr:clientData/>
  </xdr:twoCellAnchor>
  <xdr:twoCellAnchor>
    <xdr:from>
      <xdr:col>9</xdr:col>
      <xdr:colOff>600075</xdr:colOff>
      <xdr:row>34</xdr:row>
      <xdr:rowOff>142875</xdr:rowOff>
    </xdr:from>
    <xdr:to>
      <xdr:col>12</xdr:col>
      <xdr:colOff>466725</xdr:colOff>
      <xdr:row>37</xdr:row>
      <xdr:rowOff>28575</xdr:rowOff>
    </xdr:to>
    <xdr:sp macro="" textlink="">
      <xdr:nvSpPr>
        <xdr:cNvPr id="5" name="Oval 4">
          <a:extLst>
            <a:ext uri="{FF2B5EF4-FFF2-40B4-BE49-F238E27FC236}">
              <a16:creationId xmlns:a16="http://schemas.microsoft.com/office/drawing/2014/main" id="{1FD4AC41-4793-447A-AA60-F81A8B02ABAD}"/>
            </a:ext>
            <a:ext uri="{147F2762-F138-4A5C-976F-8EAC2B608ADB}">
              <a16:predDERef xmlns:a16="http://schemas.microsoft.com/office/drawing/2014/main" pred="{58B98210-0123-4C88-8860-3A0BE74156EA}"/>
            </a:ext>
          </a:extLst>
        </xdr:cNvPr>
        <xdr:cNvSpPr/>
      </xdr:nvSpPr>
      <xdr:spPr>
        <a:xfrm rot="10800000" flipH="1">
          <a:off x="11755755" y="6452235"/>
          <a:ext cx="3402330" cy="411480"/>
        </a:xfrm>
        <a:prstGeom prst="ellipse">
          <a:avLst/>
        </a:prstGeom>
        <a:noFill/>
        <a:ln w="38100" cap="flat" cmpd="sng">
          <a:solidFill>
            <a:schemeClr val="dk1"/>
          </a:solidFill>
          <a:prstDash val="solid"/>
          <a:miter lim="800000"/>
          <a:headEnd type="none" w="sm" len="sm"/>
          <a:tailEnd type="none" w="sm" len="sm"/>
        </a:ln>
      </xdr:spPr>
      <xdr:txBody>
        <a:bodyPr spcFirstLastPara="1" wrap="square" lIns="91425" tIns="45700" rIns="91425" bIns="45700" anchor="t" anchorCtr="0">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lvl="0" indent="0" algn="l" rtl="0">
            <a:spcBef>
              <a:spcPts val="0"/>
            </a:spcBef>
            <a:spcAft>
              <a:spcPts val="0"/>
            </a:spcAft>
            <a:buSzPts val="1100"/>
            <a:buFont typeface="Arial"/>
            <a:buNone/>
          </a:pPr>
          <a:endParaRPr sz="1100"/>
        </a:p>
      </xdr:txBody>
    </xdr:sp>
    <xdr:clientData/>
  </xdr:twoCellAnchor>
  <xdr:twoCellAnchor>
    <xdr:from>
      <xdr:col>5</xdr:col>
      <xdr:colOff>352425</xdr:colOff>
      <xdr:row>39</xdr:row>
      <xdr:rowOff>66675</xdr:rowOff>
    </xdr:from>
    <xdr:to>
      <xdr:col>7</xdr:col>
      <xdr:colOff>200025</xdr:colOff>
      <xdr:row>42</xdr:row>
      <xdr:rowOff>76200</xdr:rowOff>
    </xdr:to>
    <xdr:sp macro="" textlink="">
      <xdr:nvSpPr>
        <xdr:cNvPr id="6" name="Oval 5">
          <a:extLst>
            <a:ext uri="{FF2B5EF4-FFF2-40B4-BE49-F238E27FC236}">
              <a16:creationId xmlns:a16="http://schemas.microsoft.com/office/drawing/2014/main" id="{C3BB18F4-2158-4A03-B706-5AF126006798}"/>
            </a:ext>
            <a:ext uri="{147F2762-F138-4A5C-976F-8EAC2B608ADB}">
              <a16:predDERef xmlns:a16="http://schemas.microsoft.com/office/drawing/2014/main" pred="{1892BCA9-7222-401C-B85C-4F2C24DA18B8}"/>
            </a:ext>
          </a:extLst>
        </xdr:cNvPr>
        <xdr:cNvSpPr/>
      </xdr:nvSpPr>
      <xdr:spPr>
        <a:xfrm>
          <a:off x="7553325" y="7252335"/>
          <a:ext cx="1569720" cy="535305"/>
        </a:xfrm>
        <a:prstGeom prst="ellipse">
          <a:avLst/>
        </a:prstGeom>
        <a:noFill/>
        <a:ln w="38100" cap="flat" cmpd="sng">
          <a:solidFill>
            <a:srgbClr val="AC5B23"/>
          </a:solidFill>
          <a:prstDash val="solid"/>
          <a:miter lim="800000"/>
          <a:headEnd type="none" w="sm" len="sm"/>
          <a:tailEnd type="none" w="sm" len="sm"/>
        </a:ln>
      </xdr:spPr>
      <xdr:txBody>
        <a:bodyPr spcFirstLastPara="1" wrap="square" lIns="91425" tIns="45700" rIns="91425" bIns="45700" anchor="t" anchorCtr="0">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lvl="0" indent="0" algn="l" rtl="0">
            <a:spcBef>
              <a:spcPts val="0"/>
            </a:spcBef>
            <a:spcAft>
              <a:spcPts val="0"/>
            </a:spcAft>
            <a:buSzPts val="1100"/>
            <a:buFont typeface="Arial"/>
            <a:buNone/>
          </a:pPr>
          <a:endParaRPr sz="1100"/>
        </a:p>
      </xdr:txBody>
    </xdr:sp>
    <xdr:clientData/>
  </xdr:twoCellAnchor>
  <xdr:twoCellAnchor>
    <xdr:from>
      <xdr:col>9</xdr:col>
      <xdr:colOff>638175</xdr:colOff>
      <xdr:row>39</xdr:row>
      <xdr:rowOff>28575</xdr:rowOff>
    </xdr:from>
    <xdr:to>
      <xdr:col>11</xdr:col>
      <xdr:colOff>352425</xdr:colOff>
      <xdr:row>42</xdr:row>
      <xdr:rowOff>66675</xdr:rowOff>
    </xdr:to>
    <xdr:sp macro="" textlink="">
      <xdr:nvSpPr>
        <xdr:cNvPr id="7" name="Oval 6">
          <a:extLst>
            <a:ext uri="{FF2B5EF4-FFF2-40B4-BE49-F238E27FC236}">
              <a16:creationId xmlns:a16="http://schemas.microsoft.com/office/drawing/2014/main" id="{CDC141A4-6756-4B08-B098-1B53D68961D9}"/>
            </a:ext>
            <a:ext uri="{147F2762-F138-4A5C-976F-8EAC2B608ADB}">
              <a16:predDERef xmlns:a16="http://schemas.microsoft.com/office/drawing/2014/main" pred="{586D817C-B59F-4A16-B07D-A9C73F8F0B6B}"/>
            </a:ext>
          </a:extLst>
        </xdr:cNvPr>
        <xdr:cNvSpPr/>
      </xdr:nvSpPr>
      <xdr:spPr>
        <a:xfrm>
          <a:off x="11793855" y="7214235"/>
          <a:ext cx="1771650" cy="563880"/>
        </a:xfrm>
        <a:prstGeom prst="ellipse">
          <a:avLst/>
        </a:prstGeom>
        <a:noFill/>
        <a:ln w="38100" cap="flat" cmpd="sng">
          <a:solidFill>
            <a:srgbClr val="FF0000"/>
          </a:solidFill>
          <a:prstDash val="solid"/>
          <a:miter lim="800000"/>
          <a:headEnd type="none" w="sm" len="sm"/>
          <a:tailEnd type="none" w="sm" len="sm"/>
        </a:ln>
      </xdr:spPr>
      <xdr:txBody>
        <a:bodyPr spcFirstLastPara="1" wrap="square" lIns="91425" tIns="45700" rIns="91425" bIns="45700" anchor="t" anchorCtr="0">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lvl="0" indent="0" algn="l" rtl="0">
            <a:spcBef>
              <a:spcPts val="0"/>
            </a:spcBef>
            <a:spcAft>
              <a:spcPts val="0"/>
            </a:spcAft>
            <a:buSzPts val="1100"/>
            <a:buFont typeface="Arial"/>
            <a:buNone/>
          </a:pPr>
          <a:endParaRPr sz="1100"/>
        </a:p>
      </xdr:txBody>
    </xdr:sp>
    <xdr:clientData/>
  </xdr:twoCellAnchor>
  <xdr:twoCellAnchor>
    <xdr:from>
      <xdr:col>8</xdr:col>
      <xdr:colOff>47625</xdr:colOff>
      <xdr:row>65</xdr:row>
      <xdr:rowOff>85725</xdr:rowOff>
    </xdr:from>
    <xdr:to>
      <xdr:col>13</xdr:col>
      <xdr:colOff>561975</xdr:colOff>
      <xdr:row>69</xdr:row>
      <xdr:rowOff>142875</xdr:rowOff>
    </xdr:to>
    <xdr:sp macro="" textlink="">
      <xdr:nvSpPr>
        <xdr:cNvPr id="8" name="Oval 7">
          <a:extLst>
            <a:ext uri="{FF2B5EF4-FFF2-40B4-BE49-F238E27FC236}">
              <a16:creationId xmlns:a16="http://schemas.microsoft.com/office/drawing/2014/main" id="{2067E83F-C445-49A5-82AC-BDBB3071C548}"/>
            </a:ext>
            <a:ext uri="{147F2762-F138-4A5C-976F-8EAC2B608ADB}">
              <a16:predDERef xmlns:a16="http://schemas.microsoft.com/office/drawing/2014/main" pred="{B24472D0-FE23-4911-A9ED-28F073161105}"/>
            </a:ext>
          </a:extLst>
        </xdr:cNvPr>
        <xdr:cNvSpPr/>
      </xdr:nvSpPr>
      <xdr:spPr>
        <a:xfrm rot="10800000" flipH="1">
          <a:off x="9763125" y="11919585"/>
          <a:ext cx="6656070" cy="758190"/>
        </a:xfrm>
        <a:prstGeom prst="ellipse">
          <a:avLst/>
        </a:prstGeom>
        <a:noFill/>
        <a:ln w="38100" cap="flat" cmpd="sng">
          <a:solidFill>
            <a:srgbClr val="FF0000"/>
          </a:solidFill>
          <a:prstDash val="solid"/>
          <a:miter lim="800000"/>
          <a:headEnd type="none" w="sm" len="sm"/>
          <a:tailEnd type="none" w="sm" len="sm"/>
        </a:ln>
      </xdr:spPr>
      <xdr:txBody>
        <a:bodyPr spcFirstLastPara="1" wrap="square" lIns="91425" tIns="45700" rIns="91425" bIns="45700" anchor="t" anchorCtr="0">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lvl="0" indent="0" algn="l" rtl="0">
            <a:spcBef>
              <a:spcPts val="0"/>
            </a:spcBef>
            <a:spcAft>
              <a:spcPts val="0"/>
            </a:spcAft>
            <a:buSzPts val="1100"/>
            <a:buFont typeface="Arial"/>
            <a:buNone/>
          </a:pPr>
          <a:endParaRPr sz="1100"/>
        </a:p>
      </xdr:txBody>
    </xdr:sp>
    <xdr:clientData/>
  </xdr:twoCellAnchor>
  <xdr:twoCellAnchor>
    <xdr:from>
      <xdr:col>5</xdr:col>
      <xdr:colOff>457200</xdr:colOff>
      <xdr:row>69</xdr:row>
      <xdr:rowOff>0</xdr:rowOff>
    </xdr:from>
    <xdr:to>
      <xdr:col>7</xdr:col>
      <xdr:colOff>304800</xdr:colOff>
      <xdr:row>72</xdr:row>
      <xdr:rowOff>9525</xdr:rowOff>
    </xdr:to>
    <xdr:sp macro="" textlink="">
      <xdr:nvSpPr>
        <xdr:cNvPr id="9" name="Oval 8">
          <a:extLst>
            <a:ext uri="{FF2B5EF4-FFF2-40B4-BE49-F238E27FC236}">
              <a16:creationId xmlns:a16="http://schemas.microsoft.com/office/drawing/2014/main" id="{B7AE9D73-2B26-4B6D-8EEA-DCF7A850944F}"/>
            </a:ext>
            <a:ext uri="{147F2762-F138-4A5C-976F-8EAC2B608ADB}">
              <a16:predDERef xmlns:a16="http://schemas.microsoft.com/office/drawing/2014/main" pred="{1D09986C-C4B3-49DD-8B1B-63546E0BB3B0}"/>
            </a:ext>
          </a:extLst>
        </xdr:cNvPr>
        <xdr:cNvSpPr/>
      </xdr:nvSpPr>
      <xdr:spPr>
        <a:xfrm rot="10800000" flipH="1">
          <a:off x="7658100" y="12534900"/>
          <a:ext cx="1569720" cy="535305"/>
        </a:xfrm>
        <a:prstGeom prst="ellipse">
          <a:avLst/>
        </a:prstGeom>
        <a:noFill/>
        <a:ln w="38100" cap="flat" cmpd="sng">
          <a:solidFill>
            <a:srgbClr val="AC5B23"/>
          </a:solidFill>
          <a:prstDash val="solid"/>
          <a:miter lim="800000"/>
          <a:headEnd type="none" w="sm" len="sm"/>
          <a:tailEnd type="none" w="sm" len="sm"/>
        </a:ln>
      </xdr:spPr>
      <xdr:txBody>
        <a:bodyPr spcFirstLastPara="1" wrap="square" lIns="91425" tIns="45700" rIns="91425" bIns="45700" anchor="t" anchorCtr="0">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lvl="0" indent="0" algn="l" rtl="0">
            <a:spcBef>
              <a:spcPts val="0"/>
            </a:spcBef>
            <a:spcAft>
              <a:spcPts val="0"/>
            </a:spcAft>
            <a:buSzPts val="1100"/>
            <a:buFont typeface="Arial"/>
            <a:buNone/>
          </a:pPr>
          <a:endParaRPr sz="1100"/>
        </a:p>
      </xdr:txBody>
    </xdr:sp>
    <xdr:clientData/>
  </xdr:twoCellAnchor>
  <xdr:twoCellAnchor>
    <xdr:from>
      <xdr:col>8</xdr:col>
      <xdr:colOff>85725</xdr:colOff>
      <xdr:row>68</xdr:row>
      <xdr:rowOff>171450</xdr:rowOff>
    </xdr:from>
    <xdr:to>
      <xdr:col>8</xdr:col>
      <xdr:colOff>619125</xdr:colOff>
      <xdr:row>72</xdr:row>
      <xdr:rowOff>66675</xdr:rowOff>
    </xdr:to>
    <xdr:sp macro="" textlink="">
      <xdr:nvSpPr>
        <xdr:cNvPr id="10" name="Oval 9">
          <a:extLst>
            <a:ext uri="{FF2B5EF4-FFF2-40B4-BE49-F238E27FC236}">
              <a16:creationId xmlns:a16="http://schemas.microsoft.com/office/drawing/2014/main" id="{D2D7DFF5-3FC9-4110-B327-0FA350443774}"/>
            </a:ext>
            <a:ext uri="{147F2762-F138-4A5C-976F-8EAC2B608ADB}">
              <a16:predDERef xmlns:a16="http://schemas.microsoft.com/office/drawing/2014/main" pred="{5D8A160A-07D0-4BE2-B8CB-3D0C1485A774}"/>
            </a:ext>
          </a:extLst>
        </xdr:cNvPr>
        <xdr:cNvSpPr/>
      </xdr:nvSpPr>
      <xdr:spPr>
        <a:xfrm>
          <a:off x="9801225" y="12531090"/>
          <a:ext cx="533400" cy="596265"/>
        </a:xfrm>
        <a:prstGeom prst="ellipse">
          <a:avLst/>
        </a:prstGeom>
        <a:noFill/>
        <a:ln w="38100" cap="flat" cmpd="sng">
          <a:solidFill>
            <a:srgbClr val="517E33"/>
          </a:solidFill>
          <a:prstDash val="solid"/>
          <a:miter lim="800000"/>
          <a:headEnd type="none" w="sm" len="sm"/>
          <a:tailEnd type="none" w="sm" len="sm"/>
        </a:ln>
      </xdr:spPr>
      <xdr:txBody>
        <a:bodyPr spcFirstLastPara="1" wrap="square" lIns="91425" tIns="45700" rIns="91425" bIns="45700" anchor="t" anchorCtr="0">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lvl="0" indent="0" algn="l" rtl="0">
            <a:spcBef>
              <a:spcPts val="0"/>
            </a:spcBef>
            <a:spcAft>
              <a:spcPts val="0"/>
            </a:spcAft>
            <a:buSzPts val="1100"/>
            <a:buFont typeface="Arial"/>
            <a:buNone/>
          </a:pPr>
          <a:endParaRPr sz="1100"/>
        </a:p>
      </xdr:txBody>
    </xdr:sp>
    <xdr:clientData/>
  </xdr:twoCellAnchor>
  <xdr:twoCellAnchor>
    <xdr:from>
      <xdr:col>13</xdr:col>
      <xdr:colOff>285750</xdr:colOff>
      <xdr:row>69</xdr:row>
      <xdr:rowOff>28575</xdr:rowOff>
    </xdr:from>
    <xdr:to>
      <xdr:col>14</xdr:col>
      <xdr:colOff>619125</xdr:colOff>
      <xdr:row>78</xdr:row>
      <xdr:rowOff>114300</xdr:rowOff>
    </xdr:to>
    <xdr:sp macro="" textlink="">
      <xdr:nvSpPr>
        <xdr:cNvPr id="11" name="Oval 10">
          <a:extLst>
            <a:ext uri="{FF2B5EF4-FFF2-40B4-BE49-F238E27FC236}">
              <a16:creationId xmlns:a16="http://schemas.microsoft.com/office/drawing/2014/main" id="{A1EE1A0E-DFB8-4FD2-B624-0E42202CCC05}"/>
            </a:ext>
            <a:ext uri="{147F2762-F138-4A5C-976F-8EAC2B608ADB}">
              <a16:predDERef xmlns:a16="http://schemas.microsoft.com/office/drawing/2014/main" pred="{6A789310-AD29-459D-889E-A91D13190625}"/>
            </a:ext>
          </a:extLst>
        </xdr:cNvPr>
        <xdr:cNvSpPr/>
      </xdr:nvSpPr>
      <xdr:spPr>
        <a:xfrm>
          <a:off x="16142970" y="12563475"/>
          <a:ext cx="1773555" cy="1663065"/>
        </a:xfrm>
        <a:prstGeom prst="ellipse">
          <a:avLst/>
        </a:prstGeom>
        <a:noFill/>
        <a:ln w="38100" cap="flat" cmpd="sng">
          <a:solidFill>
            <a:schemeClr val="dk1"/>
          </a:solidFill>
          <a:prstDash val="solid"/>
          <a:miter lim="800000"/>
          <a:headEnd type="none" w="sm" len="sm"/>
          <a:tailEnd type="none" w="sm" len="sm"/>
        </a:ln>
      </xdr:spPr>
      <xdr:txBody>
        <a:bodyPr spcFirstLastPara="1" wrap="square" lIns="91425" tIns="45700" rIns="91425" bIns="45700" anchor="t" anchorCtr="0">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lvl="0" indent="0" algn="l" rtl="0">
            <a:spcBef>
              <a:spcPts val="0"/>
            </a:spcBef>
            <a:spcAft>
              <a:spcPts val="0"/>
            </a:spcAft>
            <a:buSzPts val="1100"/>
            <a:buFont typeface="Arial"/>
            <a:buNone/>
          </a:pPr>
          <a:endParaRPr sz="1100"/>
        </a:p>
      </xdr:txBody>
    </xdr:sp>
    <xdr:clientData/>
  </xdr:twoCellAnchor>
  <xdr:twoCellAnchor>
    <xdr:from>
      <xdr:col>8</xdr:col>
      <xdr:colOff>95250</xdr:colOff>
      <xdr:row>97</xdr:row>
      <xdr:rowOff>142875</xdr:rowOff>
    </xdr:from>
    <xdr:to>
      <xdr:col>13</xdr:col>
      <xdr:colOff>619125</xdr:colOff>
      <xdr:row>101</xdr:row>
      <xdr:rowOff>85725</xdr:rowOff>
    </xdr:to>
    <xdr:sp macro="" textlink="">
      <xdr:nvSpPr>
        <xdr:cNvPr id="12" name="Oval 11">
          <a:extLst>
            <a:ext uri="{FF2B5EF4-FFF2-40B4-BE49-F238E27FC236}">
              <a16:creationId xmlns:a16="http://schemas.microsoft.com/office/drawing/2014/main" id="{BA3D9513-5E68-43A2-906D-444D425F15FE}"/>
            </a:ext>
            <a:ext uri="{147F2762-F138-4A5C-976F-8EAC2B608ADB}">
              <a16:predDERef xmlns:a16="http://schemas.microsoft.com/office/drawing/2014/main" pred="{72C7DD0F-0B9A-49FC-A7AC-043A5F399B47}"/>
            </a:ext>
          </a:extLst>
        </xdr:cNvPr>
        <xdr:cNvSpPr/>
      </xdr:nvSpPr>
      <xdr:spPr>
        <a:xfrm rot="10800000" flipH="1">
          <a:off x="9810750" y="17684115"/>
          <a:ext cx="6665595" cy="643890"/>
        </a:xfrm>
        <a:prstGeom prst="ellipse">
          <a:avLst/>
        </a:prstGeom>
        <a:noFill/>
        <a:ln w="38100" cap="flat" cmpd="sng">
          <a:solidFill>
            <a:srgbClr val="FF0000"/>
          </a:solidFill>
          <a:prstDash val="solid"/>
          <a:miter lim="800000"/>
          <a:headEnd type="none" w="sm" len="sm"/>
          <a:tailEnd type="none" w="sm" len="sm"/>
        </a:ln>
      </xdr:spPr>
      <xdr:txBody>
        <a:bodyPr spcFirstLastPara="1" wrap="square" lIns="91425" tIns="45700" rIns="91425" bIns="45700" anchor="t" anchorCtr="0">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lvl="0" indent="0" algn="l" rtl="0">
            <a:spcBef>
              <a:spcPts val="0"/>
            </a:spcBef>
            <a:spcAft>
              <a:spcPts val="0"/>
            </a:spcAft>
            <a:buSzPts val="1100"/>
            <a:buFont typeface="Arial"/>
            <a:buNone/>
          </a:pPr>
          <a:endParaRPr sz="1100"/>
        </a:p>
      </xdr:txBody>
    </xdr:sp>
    <xdr:clientData/>
  </xdr:twoCellAnchor>
  <xdr:twoCellAnchor>
    <xdr:from>
      <xdr:col>3</xdr:col>
      <xdr:colOff>476250</xdr:colOff>
      <xdr:row>103</xdr:row>
      <xdr:rowOff>123825</xdr:rowOff>
    </xdr:from>
    <xdr:to>
      <xdr:col>5</xdr:col>
      <xdr:colOff>495300</xdr:colOff>
      <xdr:row>108</xdr:row>
      <xdr:rowOff>57150</xdr:rowOff>
    </xdr:to>
    <xdr:sp macro="" textlink="">
      <xdr:nvSpPr>
        <xdr:cNvPr id="13" name="Oval 12">
          <a:extLst>
            <a:ext uri="{FF2B5EF4-FFF2-40B4-BE49-F238E27FC236}">
              <a16:creationId xmlns:a16="http://schemas.microsoft.com/office/drawing/2014/main" id="{FA46B6F3-FA0A-4D35-8364-CE540CD7FB14}"/>
            </a:ext>
            <a:ext uri="{147F2762-F138-4A5C-976F-8EAC2B608ADB}">
              <a16:predDERef xmlns:a16="http://schemas.microsoft.com/office/drawing/2014/main" pred="{EF31B23D-632C-400C-8E12-F909FCBFE242}"/>
            </a:ext>
          </a:extLst>
        </xdr:cNvPr>
        <xdr:cNvSpPr/>
      </xdr:nvSpPr>
      <xdr:spPr>
        <a:xfrm>
          <a:off x="6343650" y="18716625"/>
          <a:ext cx="1352550" cy="809625"/>
        </a:xfrm>
        <a:prstGeom prst="ellipse">
          <a:avLst/>
        </a:prstGeom>
        <a:noFill/>
        <a:ln w="38100" cap="flat" cmpd="sng">
          <a:solidFill>
            <a:schemeClr val="dk1"/>
          </a:solidFill>
          <a:prstDash val="solid"/>
          <a:miter lim="800000"/>
          <a:headEnd type="none" w="sm" len="sm"/>
          <a:tailEnd type="none" w="sm" len="sm"/>
        </a:ln>
      </xdr:spPr>
      <xdr:txBody>
        <a:bodyPr spcFirstLastPara="1" wrap="square" lIns="91425" tIns="45700" rIns="91425" bIns="45700" anchor="t" anchorCtr="0">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lvl="0" indent="0" algn="l" rtl="0">
            <a:spcBef>
              <a:spcPts val="0"/>
            </a:spcBef>
            <a:spcAft>
              <a:spcPts val="0"/>
            </a:spcAft>
            <a:buSzPts val="1100"/>
            <a:buFont typeface="Arial"/>
            <a:buNone/>
          </a:pPr>
          <a:endParaRPr sz="1100"/>
        </a:p>
      </xdr:txBody>
    </xdr:sp>
    <xdr:clientData/>
  </xdr:twoCellAnchor>
  <xdr:twoCellAnchor>
    <xdr:from>
      <xdr:col>6</xdr:col>
      <xdr:colOff>600075</xdr:colOff>
      <xdr:row>104</xdr:row>
      <xdr:rowOff>76200</xdr:rowOff>
    </xdr:from>
    <xdr:to>
      <xdr:col>7</xdr:col>
      <xdr:colOff>276225</xdr:colOff>
      <xdr:row>107</xdr:row>
      <xdr:rowOff>152400</xdr:rowOff>
    </xdr:to>
    <xdr:sp macro="" textlink="">
      <xdr:nvSpPr>
        <xdr:cNvPr id="14" name="Oval 13">
          <a:extLst>
            <a:ext uri="{FF2B5EF4-FFF2-40B4-BE49-F238E27FC236}">
              <a16:creationId xmlns:a16="http://schemas.microsoft.com/office/drawing/2014/main" id="{C857CCE8-383E-4957-A61E-1D78F224B603}"/>
            </a:ext>
            <a:ext uri="{147F2762-F138-4A5C-976F-8EAC2B608ADB}">
              <a16:predDERef xmlns:a16="http://schemas.microsoft.com/office/drawing/2014/main" pred="{F4D28FDA-4ECD-4CA9-9973-85CBD290937E}"/>
            </a:ext>
          </a:extLst>
        </xdr:cNvPr>
        <xdr:cNvSpPr/>
      </xdr:nvSpPr>
      <xdr:spPr>
        <a:xfrm>
          <a:off x="8662035" y="18844260"/>
          <a:ext cx="537210" cy="601980"/>
        </a:xfrm>
        <a:prstGeom prst="ellipse">
          <a:avLst/>
        </a:prstGeom>
        <a:noFill/>
        <a:ln w="38100" cap="flat" cmpd="sng">
          <a:solidFill>
            <a:srgbClr val="517E33"/>
          </a:solidFill>
          <a:prstDash val="solid"/>
          <a:miter lim="800000"/>
          <a:headEnd type="none" w="sm" len="sm"/>
          <a:tailEnd type="none" w="sm" len="sm"/>
        </a:ln>
      </xdr:spPr>
      <xdr:txBody>
        <a:bodyPr spcFirstLastPara="1" wrap="square" lIns="91425" tIns="45700" rIns="91425" bIns="45700" anchor="t" anchorCtr="0">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lvl="0" indent="0" algn="l" rtl="0">
            <a:spcBef>
              <a:spcPts val="0"/>
            </a:spcBef>
            <a:spcAft>
              <a:spcPts val="0"/>
            </a:spcAft>
            <a:buSzPts val="1100"/>
            <a:buFont typeface="Arial"/>
            <a:buNone/>
          </a:pPr>
          <a:endParaRPr sz="1100"/>
        </a:p>
      </xdr:txBody>
    </xdr:sp>
    <xdr:clientData/>
  </xdr:twoCellAnchor>
  <xdr:twoCellAnchor>
    <xdr:from>
      <xdr:col>9</xdr:col>
      <xdr:colOff>114300</xdr:colOff>
      <xdr:row>104</xdr:row>
      <xdr:rowOff>66675</xdr:rowOff>
    </xdr:from>
    <xdr:to>
      <xdr:col>9</xdr:col>
      <xdr:colOff>676275</xdr:colOff>
      <xdr:row>107</xdr:row>
      <xdr:rowOff>123825</xdr:rowOff>
    </xdr:to>
    <xdr:sp macro="" textlink="">
      <xdr:nvSpPr>
        <xdr:cNvPr id="15" name="Oval 14">
          <a:extLst>
            <a:ext uri="{FF2B5EF4-FFF2-40B4-BE49-F238E27FC236}">
              <a16:creationId xmlns:a16="http://schemas.microsoft.com/office/drawing/2014/main" id="{0928E433-D1C7-4407-86CD-D04B617A4A44}"/>
            </a:ext>
            <a:ext uri="{147F2762-F138-4A5C-976F-8EAC2B608ADB}">
              <a16:predDERef xmlns:a16="http://schemas.microsoft.com/office/drawing/2014/main" pred="{99E8B75B-22EF-4283-A6C2-A408C06C52D0}"/>
            </a:ext>
          </a:extLst>
        </xdr:cNvPr>
        <xdr:cNvSpPr/>
      </xdr:nvSpPr>
      <xdr:spPr>
        <a:xfrm rot="10800000" flipH="1">
          <a:off x="11269980" y="18834735"/>
          <a:ext cx="561975" cy="582930"/>
        </a:xfrm>
        <a:prstGeom prst="ellipse">
          <a:avLst/>
        </a:prstGeom>
        <a:noFill/>
        <a:ln w="38100" cap="flat" cmpd="sng">
          <a:solidFill>
            <a:srgbClr val="AC5B23"/>
          </a:solidFill>
          <a:prstDash val="solid"/>
          <a:miter lim="800000"/>
          <a:headEnd type="none" w="sm" len="sm"/>
          <a:tailEnd type="none" w="sm" len="sm"/>
        </a:ln>
      </xdr:spPr>
      <xdr:txBody>
        <a:bodyPr spcFirstLastPara="1" wrap="square" lIns="91425" tIns="45700" rIns="91425" bIns="45700" anchor="t" anchorCtr="0">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lvl="0" indent="0" algn="l" rtl="0">
            <a:spcBef>
              <a:spcPts val="0"/>
            </a:spcBef>
            <a:spcAft>
              <a:spcPts val="0"/>
            </a:spcAft>
            <a:buSzPts val="1100"/>
            <a:buFont typeface="Arial"/>
            <a:buNone/>
          </a:pPr>
          <a:endParaRPr sz="1100"/>
        </a:p>
      </xdr:txBody>
    </xdr:sp>
    <xdr:clientData/>
  </xdr:twoCellAnchor>
  <xdr:twoCellAnchor editAs="oneCell">
    <xdr:from>
      <xdr:col>3</xdr:col>
      <xdr:colOff>533400</xdr:colOff>
      <xdr:row>97</xdr:row>
      <xdr:rowOff>57150</xdr:rowOff>
    </xdr:from>
    <xdr:to>
      <xdr:col>11</xdr:col>
      <xdr:colOff>390525</xdr:colOff>
      <xdr:row>114</xdr:row>
      <xdr:rowOff>57149</xdr:rowOff>
    </xdr:to>
    <xdr:pic>
      <xdr:nvPicPr>
        <xdr:cNvPr id="16" name="Picture 15" title="Image">
          <a:extLst>
            <a:ext uri="{FF2B5EF4-FFF2-40B4-BE49-F238E27FC236}">
              <a16:creationId xmlns:a16="http://schemas.microsoft.com/office/drawing/2014/main" id="{289641C7-5D52-4903-B283-0986C2D8DBE3}"/>
            </a:ext>
            <a:ext uri="{147F2762-F138-4A5C-976F-8EAC2B608ADB}">
              <a16:predDERef xmlns:a16="http://schemas.microsoft.com/office/drawing/2014/main" pred="{FFBD8A3C-625D-42A4-AFBA-7C7E4FCE378E}"/>
            </a:ext>
          </a:extLst>
        </xdr:cNvPr>
        <xdr:cNvPicPr preferRelativeResize="0"/>
      </xdr:nvPicPr>
      <xdr:blipFill>
        <a:blip xmlns:r="http://schemas.openxmlformats.org/officeDocument/2006/relationships" r:embed="rId1" cstate="print"/>
        <a:stretch>
          <a:fillRect/>
        </a:stretch>
      </xdr:blipFill>
      <xdr:spPr>
        <a:xfrm>
          <a:off x="6400800" y="17598390"/>
          <a:ext cx="7202805" cy="2979420"/>
        </a:xfrm>
        <a:prstGeom prst="rect">
          <a:avLst/>
        </a:prstGeom>
        <a:noFill/>
      </xdr:spPr>
    </xdr:pic>
    <xdr:clientData/>
  </xdr:twoCellAnchor>
  <xdr:twoCellAnchor editAs="oneCell">
    <xdr:from>
      <xdr:col>5</xdr:col>
      <xdr:colOff>457200</xdr:colOff>
      <xdr:row>61</xdr:row>
      <xdr:rowOff>9525</xdr:rowOff>
    </xdr:from>
    <xdr:to>
      <xdr:col>12</xdr:col>
      <xdr:colOff>190500</xdr:colOff>
      <xdr:row>90</xdr:row>
      <xdr:rowOff>38101</xdr:rowOff>
    </xdr:to>
    <xdr:pic>
      <xdr:nvPicPr>
        <xdr:cNvPr id="17" name="Picture 16">
          <a:extLst>
            <a:ext uri="{FF2B5EF4-FFF2-40B4-BE49-F238E27FC236}">
              <a16:creationId xmlns:a16="http://schemas.microsoft.com/office/drawing/2014/main" id="{263472CA-90BB-4B99-AE5D-F0262720F069}"/>
            </a:ext>
            <a:ext uri="{147F2762-F138-4A5C-976F-8EAC2B608ADB}">
              <a16:predDERef xmlns:a16="http://schemas.microsoft.com/office/drawing/2014/main" pred="{399379E7-48F7-4F47-AB5F-B1BF817ED8CA}"/>
            </a:ext>
          </a:extLst>
        </xdr:cNvPr>
        <xdr:cNvPicPr preferRelativeResize="0"/>
      </xdr:nvPicPr>
      <xdr:blipFill>
        <a:blip xmlns:r="http://schemas.openxmlformats.org/officeDocument/2006/relationships" r:embed="rId2" cstate="print"/>
        <a:stretch>
          <a:fillRect/>
        </a:stretch>
      </xdr:blipFill>
      <xdr:spPr>
        <a:xfrm>
          <a:off x="7658100" y="11142345"/>
          <a:ext cx="7223760" cy="5210175"/>
        </a:xfrm>
        <a:prstGeom prst="rect">
          <a:avLst/>
        </a:prstGeom>
        <a:noFill/>
      </xdr:spPr>
    </xdr:pic>
    <xdr:clientData/>
  </xdr:twoCellAnchor>
  <xdr:twoCellAnchor editAs="oneCell">
    <xdr:from>
      <xdr:col>6</xdr:col>
      <xdr:colOff>28575</xdr:colOff>
      <xdr:row>22</xdr:row>
      <xdr:rowOff>142875</xdr:rowOff>
    </xdr:from>
    <xdr:to>
      <xdr:col>12</xdr:col>
      <xdr:colOff>962025</xdr:colOff>
      <xdr:row>55</xdr:row>
      <xdr:rowOff>66675</xdr:rowOff>
    </xdr:to>
    <xdr:pic>
      <xdr:nvPicPr>
        <xdr:cNvPr id="18" name="Picture 17">
          <a:extLst>
            <a:ext uri="{FF2B5EF4-FFF2-40B4-BE49-F238E27FC236}">
              <a16:creationId xmlns:a16="http://schemas.microsoft.com/office/drawing/2014/main" id="{0527ADCD-1BA6-40FC-97FB-6114A3B69C6E}"/>
            </a:ext>
            <a:ext uri="{147F2762-F138-4A5C-976F-8EAC2B608ADB}">
              <a16:predDERef xmlns:a16="http://schemas.microsoft.com/office/drawing/2014/main" pred="{DF87CF31-9794-45F3-BD30-7E3862E46BCF}"/>
            </a:ext>
          </a:extLst>
        </xdr:cNvPr>
        <xdr:cNvPicPr preferRelativeResize="0"/>
      </xdr:nvPicPr>
      <xdr:blipFill>
        <a:blip xmlns:r="http://schemas.openxmlformats.org/officeDocument/2006/relationships" r:embed="rId3" cstate="print"/>
        <a:stretch>
          <a:fillRect/>
        </a:stretch>
      </xdr:blipFill>
      <xdr:spPr>
        <a:xfrm>
          <a:off x="8090535" y="4349115"/>
          <a:ext cx="7562850" cy="5775960"/>
        </a:xfrm>
        <a:prstGeom prst="rect">
          <a:avLst/>
        </a:prstGeom>
        <a:noFill/>
      </xdr:spPr>
    </xdr:pic>
    <xdr:clientData/>
  </xdr:twoCellAnchor>
  <xdr:twoCellAnchor editAs="oneCell">
    <xdr:from>
      <xdr:col>31</xdr:col>
      <xdr:colOff>209550</xdr:colOff>
      <xdr:row>1</xdr:row>
      <xdr:rowOff>104775</xdr:rowOff>
    </xdr:from>
    <xdr:to>
      <xdr:col>39</xdr:col>
      <xdr:colOff>114300</xdr:colOff>
      <xdr:row>14</xdr:row>
      <xdr:rowOff>38100</xdr:rowOff>
    </xdr:to>
    <xdr:pic>
      <xdr:nvPicPr>
        <xdr:cNvPr id="19" name="Picture 18">
          <a:extLst>
            <a:ext uri="{FF2B5EF4-FFF2-40B4-BE49-F238E27FC236}">
              <a16:creationId xmlns:a16="http://schemas.microsoft.com/office/drawing/2014/main" id="{EC3E381E-4F33-4501-88B7-121A339EAA5B}"/>
            </a:ext>
            <a:ext uri="{147F2762-F138-4A5C-976F-8EAC2B608ADB}">
              <a16:predDERef xmlns:a16="http://schemas.microsoft.com/office/drawing/2014/main" pred="{ED0928BA-9AA2-49A2-A06F-D69298E113A8}"/>
            </a:ext>
          </a:extLst>
        </xdr:cNvPr>
        <xdr:cNvPicPr preferRelativeResize="0"/>
      </xdr:nvPicPr>
      <xdr:blipFill>
        <a:blip xmlns:r="http://schemas.openxmlformats.org/officeDocument/2006/relationships" r:embed="rId4" cstate="print"/>
        <a:stretch>
          <a:fillRect/>
        </a:stretch>
      </xdr:blipFill>
      <xdr:spPr>
        <a:xfrm>
          <a:off x="31931610" y="280035"/>
          <a:ext cx="4842510" cy="2211705"/>
        </a:xfrm>
        <a:prstGeom prst="rect">
          <a:avLst/>
        </a:prstGeom>
        <a:noFill/>
      </xdr:spPr>
    </xdr:pic>
    <xdr:clientData/>
  </xdr:twoCellAnchor>
  <xdr:twoCellAnchor editAs="oneCell">
    <xdr:from>
      <xdr:col>19</xdr:col>
      <xdr:colOff>809625</xdr:colOff>
      <xdr:row>1</xdr:row>
      <xdr:rowOff>123825</xdr:rowOff>
    </xdr:from>
    <xdr:to>
      <xdr:col>28</xdr:col>
      <xdr:colOff>361950</xdr:colOff>
      <xdr:row>18</xdr:row>
      <xdr:rowOff>47625</xdr:rowOff>
    </xdr:to>
    <xdr:pic>
      <xdr:nvPicPr>
        <xdr:cNvPr id="20" name="Picture 19">
          <a:extLst>
            <a:ext uri="{FF2B5EF4-FFF2-40B4-BE49-F238E27FC236}">
              <a16:creationId xmlns:a16="http://schemas.microsoft.com/office/drawing/2014/main" id="{3B6BFBE6-5512-4802-B380-EBB516001872}"/>
            </a:ext>
            <a:ext uri="{147F2762-F138-4A5C-976F-8EAC2B608ADB}">
              <a16:predDERef xmlns:a16="http://schemas.microsoft.com/office/drawing/2014/main" pred="{DCFF7A47-6AB3-4584-850A-090EC60DB4AC}"/>
            </a:ext>
          </a:extLst>
        </xdr:cNvPr>
        <xdr:cNvPicPr preferRelativeResize="0"/>
      </xdr:nvPicPr>
      <xdr:blipFill>
        <a:blip xmlns:r="http://schemas.openxmlformats.org/officeDocument/2006/relationships" r:embed="rId5" cstate="print"/>
        <a:stretch>
          <a:fillRect/>
        </a:stretch>
      </xdr:blipFill>
      <xdr:spPr>
        <a:xfrm>
          <a:off x="24370665" y="299085"/>
          <a:ext cx="5861685" cy="2903220"/>
        </a:xfrm>
        <a:prstGeom prst="rect">
          <a:avLst/>
        </a:prstGeom>
        <a:noFill/>
      </xdr:spPr>
    </xdr:pic>
    <xdr:clientData/>
  </xdr:twoCellAnchor>
  <xdr:twoCellAnchor editAs="oneCell">
    <xdr:from>
      <xdr:col>19</xdr:col>
      <xdr:colOff>714375</xdr:colOff>
      <xdr:row>29</xdr:row>
      <xdr:rowOff>123825</xdr:rowOff>
    </xdr:from>
    <xdr:to>
      <xdr:col>28</xdr:col>
      <xdr:colOff>533400</xdr:colOff>
      <xdr:row>57</xdr:row>
      <xdr:rowOff>66675</xdr:rowOff>
    </xdr:to>
    <xdr:pic>
      <xdr:nvPicPr>
        <xdr:cNvPr id="21" name="Picture 20">
          <a:extLst>
            <a:ext uri="{FF2B5EF4-FFF2-40B4-BE49-F238E27FC236}">
              <a16:creationId xmlns:a16="http://schemas.microsoft.com/office/drawing/2014/main" id="{2FBCE74A-E2A9-4C82-A010-2FF4D16495E1}"/>
            </a:ext>
            <a:ext uri="{147F2762-F138-4A5C-976F-8EAC2B608ADB}">
              <a16:predDERef xmlns:a16="http://schemas.microsoft.com/office/drawing/2014/main" pred="{5976C04E-61DC-4405-905E-AE7116BEDBDB}"/>
            </a:ext>
          </a:extLst>
        </xdr:cNvPr>
        <xdr:cNvPicPr preferRelativeResize="0"/>
      </xdr:nvPicPr>
      <xdr:blipFill>
        <a:blip xmlns:r="http://schemas.openxmlformats.org/officeDocument/2006/relationships" r:embed="rId6" cstate="print"/>
        <a:stretch>
          <a:fillRect/>
        </a:stretch>
      </xdr:blipFill>
      <xdr:spPr>
        <a:xfrm>
          <a:off x="24275415" y="5556885"/>
          <a:ext cx="6128385" cy="4941571"/>
        </a:xfrm>
        <a:prstGeom prst="rect">
          <a:avLst/>
        </a:prstGeom>
        <a:noFill/>
      </xdr:spPr>
    </xdr:pic>
    <xdr:clientData/>
  </xdr:twoCellAnchor>
  <xdr:twoCellAnchor editAs="oneCell">
    <xdr:from>
      <xdr:col>31</xdr:col>
      <xdr:colOff>209550</xdr:colOff>
      <xdr:row>29</xdr:row>
      <xdr:rowOff>104775</xdr:rowOff>
    </xdr:from>
    <xdr:to>
      <xdr:col>40</xdr:col>
      <xdr:colOff>723900</xdr:colOff>
      <xdr:row>50</xdr:row>
      <xdr:rowOff>171450</xdr:rowOff>
    </xdr:to>
    <xdr:pic>
      <xdr:nvPicPr>
        <xdr:cNvPr id="22" name="Picture 21">
          <a:extLst>
            <a:ext uri="{FF2B5EF4-FFF2-40B4-BE49-F238E27FC236}">
              <a16:creationId xmlns:a16="http://schemas.microsoft.com/office/drawing/2014/main" id="{13281288-6683-41D0-A291-0B5733D6E0F5}"/>
            </a:ext>
            <a:ext uri="{147F2762-F138-4A5C-976F-8EAC2B608ADB}">
              <a16:predDERef xmlns:a16="http://schemas.microsoft.com/office/drawing/2014/main" pred="{4744A8C3-2678-44A7-BB14-8FCBC01F8D7A}"/>
            </a:ext>
          </a:extLst>
        </xdr:cNvPr>
        <xdr:cNvPicPr preferRelativeResize="0"/>
      </xdr:nvPicPr>
      <xdr:blipFill>
        <a:blip xmlns:r="http://schemas.openxmlformats.org/officeDocument/2006/relationships" r:embed="rId7" cstate="print"/>
        <a:stretch>
          <a:fillRect/>
        </a:stretch>
      </xdr:blipFill>
      <xdr:spPr>
        <a:xfrm>
          <a:off x="31931610" y="5537835"/>
          <a:ext cx="6069330" cy="3815715"/>
        </a:xfrm>
        <a:prstGeom prst="rect">
          <a:avLst/>
        </a:prstGeom>
        <a:noFill/>
      </xdr:spPr>
    </xdr:pic>
    <xdr:clientData/>
  </xdr:twoCellAnchor>
  <xdr:twoCellAnchor editAs="oneCell">
    <xdr:from>
      <xdr:col>19</xdr:col>
      <xdr:colOff>1238250</xdr:colOff>
      <xdr:row>66</xdr:row>
      <xdr:rowOff>104775</xdr:rowOff>
    </xdr:from>
    <xdr:to>
      <xdr:col>31</xdr:col>
      <xdr:colOff>533400</xdr:colOff>
      <xdr:row>79</xdr:row>
      <xdr:rowOff>133349</xdr:rowOff>
    </xdr:to>
    <xdr:pic>
      <xdr:nvPicPr>
        <xdr:cNvPr id="23" name="Picture 22">
          <a:extLst>
            <a:ext uri="{FF2B5EF4-FFF2-40B4-BE49-F238E27FC236}">
              <a16:creationId xmlns:a16="http://schemas.microsoft.com/office/drawing/2014/main" id="{B5D1E944-6CBE-4685-B7A6-0C59976A7028}"/>
            </a:ext>
            <a:ext uri="{147F2762-F138-4A5C-976F-8EAC2B608ADB}">
              <a16:predDERef xmlns:a16="http://schemas.microsoft.com/office/drawing/2014/main" pred="{6540E46F-97DD-4E63-9FCC-0D9509C4C08C}"/>
            </a:ext>
          </a:extLst>
        </xdr:cNvPr>
        <xdr:cNvPicPr preferRelativeResize="0"/>
      </xdr:nvPicPr>
      <xdr:blipFill>
        <a:blip xmlns:r="http://schemas.openxmlformats.org/officeDocument/2006/relationships" r:embed="rId8" cstate="print"/>
        <a:stretch>
          <a:fillRect/>
        </a:stretch>
      </xdr:blipFill>
      <xdr:spPr>
        <a:xfrm>
          <a:off x="24799290" y="12113895"/>
          <a:ext cx="7456170" cy="2306955"/>
        </a:xfrm>
        <a:prstGeom prst="rect">
          <a:avLst/>
        </a:prstGeom>
        <a:noFill/>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10</xdr:col>
      <xdr:colOff>122660</xdr:colOff>
      <xdr:row>1</xdr:row>
      <xdr:rowOff>105197</xdr:rowOff>
    </xdr:from>
    <xdr:to>
      <xdr:col>13</xdr:col>
      <xdr:colOff>484910</xdr:colOff>
      <xdr:row>7</xdr:row>
      <xdr:rowOff>29688</xdr:rowOff>
    </xdr:to>
    <xdr:pic>
      <xdr:nvPicPr>
        <xdr:cNvPr id="3" name="Picture 2">
          <a:extLst>
            <a:ext uri="{FF2B5EF4-FFF2-40B4-BE49-F238E27FC236}">
              <a16:creationId xmlns:a16="http://schemas.microsoft.com/office/drawing/2014/main" id="{9AE1902D-A9F6-493D-61E7-CF1DB9E7C068}"/>
            </a:ext>
          </a:extLst>
        </xdr:cNvPr>
        <xdr:cNvPicPr>
          <a:picLocks noChangeAspect="1"/>
        </xdr:cNvPicPr>
      </xdr:nvPicPr>
      <xdr:blipFill>
        <a:blip xmlns:r="http://schemas.openxmlformats.org/officeDocument/2006/relationships" r:embed="rId1"/>
        <a:stretch>
          <a:fillRect/>
        </a:stretch>
      </xdr:blipFill>
      <xdr:spPr>
        <a:xfrm>
          <a:off x="9236972" y="283327"/>
          <a:ext cx="2173237" cy="99327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6</xdr:col>
      <xdr:colOff>600075</xdr:colOff>
      <xdr:row>26</xdr:row>
      <xdr:rowOff>161925</xdr:rowOff>
    </xdr:from>
    <xdr:to>
      <xdr:col>14</xdr:col>
      <xdr:colOff>1114425</xdr:colOff>
      <xdr:row>36</xdr:row>
      <xdr:rowOff>152400</xdr:rowOff>
    </xdr:to>
    <xdr:sp macro="" textlink="">
      <xdr:nvSpPr>
        <xdr:cNvPr id="2" name="Oval 1">
          <a:extLst>
            <a:ext uri="{FF2B5EF4-FFF2-40B4-BE49-F238E27FC236}">
              <a16:creationId xmlns:a16="http://schemas.microsoft.com/office/drawing/2014/main" id="{EA226B8B-A737-4DAD-9E58-CA51848A4D9B}"/>
            </a:ext>
          </a:extLst>
        </xdr:cNvPr>
        <xdr:cNvSpPr/>
      </xdr:nvSpPr>
      <xdr:spPr>
        <a:xfrm>
          <a:off x="8662035" y="4718685"/>
          <a:ext cx="9749790" cy="1743075"/>
        </a:xfrm>
        <a:prstGeom prst="ellipse">
          <a:avLst/>
        </a:prstGeom>
        <a:noFill/>
        <a:ln w="38100" cap="flat" cmpd="sng">
          <a:solidFill>
            <a:srgbClr val="31538F"/>
          </a:solidFill>
          <a:prstDash val="solid"/>
          <a:miter lim="800000"/>
          <a:headEnd type="none" w="sm" len="sm"/>
          <a:tailEnd type="none" w="sm" len="sm"/>
        </a:ln>
      </xdr:spPr>
      <xdr:txBody>
        <a:bodyPr spcFirstLastPara="1" wrap="square" lIns="91425" tIns="45700" rIns="91425" bIns="45700" anchor="t" anchorCtr="0">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lvl="0" indent="0" algn="l" rtl="0">
            <a:spcBef>
              <a:spcPts val="0"/>
            </a:spcBef>
            <a:spcAft>
              <a:spcPts val="0"/>
            </a:spcAft>
            <a:buSzPts val="1100"/>
            <a:buFont typeface="Arial"/>
            <a:buNone/>
          </a:pPr>
          <a:endParaRPr sz="1100"/>
        </a:p>
      </xdr:txBody>
    </xdr:sp>
    <xdr:clientData/>
  </xdr:twoCellAnchor>
  <xdr:twoCellAnchor>
    <xdr:from>
      <xdr:col>10</xdr:col>
      <xdr:colOff>38100</xdr:colOff>
      <xdr:row>35</xdr:row>
      <xdr:rowOff>123825</xdr:rowOff>
    </xdr:from>
    <xdr:to>
      <xdr:col>12</xdr:col>
      <xdr:colOff>85725</xdr:colOff>
      <xdr:row>38</xdr:row>
      <xdr:rowOff>19050</xdr:rowOff>
    </xdr:to>
    <xdr:sp macro="" textlink="">
      <xdr:nvSpPr>
        <xdr:cNvPr id="3" name="Oval 2">
          <a:extLst>
            <a:ext uri="{FF2B5EF4-FFF2-40B4-BE49-F238E27FC236}">
              <a16:creationId xmlns:a16="http://schemas.microsoft.com/office/drawing/2014/main" id="{39AC42F9-8C3C-46E8-802F-BADC17D5A9E9}"/>
            </a:ext>
            <a:ext uri="{147F2762-F138-4A5C-976F-8EAC2B608ADB}">
              <a16:predDERef xmlns:a16="http://schemas.microsoft.com/office/drawing/2014/main" pred="{B705D988-B27D-4269-84F6-B54A84CD340D}"/>
            </a:ext>
          </a:extLst>
        </xdr:cNvPr>
        <xdr:cNvSpPr/>
      </xdr:nvSpPr>
      <xdr:spPr>
        <a:xfrm rot="10800000" flipH="1">
          <a:off x="12153900" y="6257925"/>
          <a:ext cx="2623185" cy="421005"/>
        </a:xfrm>
        <a:prstGeom prst="ellipse">
          <a:avLst/>
        </a:prstGeom>
        <a:noFill/>
        <a:ln w="38100" cap="flat" cmpd="sng">
          <a:solidFill>
            <a:srgbClr val="517E33"/>
          </a:solidFill>
          <a:prstDash val="solid"/>
          <a:miter lim="800000"/>
          <a:headEnd type="none" w="sm" len="sm"/>
          <a:tailEnd type="none" w="sm" len="sm"/>
        </a:ln>
      </xdr:spPr>
      <xdr:txBody>
        <a:bodyPr spcFirstLastPara="1" wrap="square" lIns="91425" tIns="45700" rIns="91425" bIns="45700" anchor="t" anchorCtr="0">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lvl="0" indent="0" algn="l" rtl="0">
            <a:spcBef>
              <a:spcPts val="0"/>
            </a:spcBef>
            <a:spcAft>
              <a:spcPts val="0"/>
            </a:spcAft>
            <a:buSzPts val="1100"/>
            <a:buFont typeface="Arial"/>
            <a:buNone/>
          </a:pPr>
          <a:endParaRPr sz="1100"/>
        </a:p>
      </xdr:txBody>
    </xdr:sp>
    <xdr:clientData/>
  </xdr:twoCellAnchor>
  <xdr:twoCellAnchor>
    <xdr:from>
      <xdr:col>9</xdr:col>
      <xdr:colOff>571500</xdr:colOff>
      <xdr:row>37</xdr:row>
      <xdr:rowOff>47625</xdr:rowOff>
    </xdr:from>
    <xdr:to>
      <xdr:col>12</xdr:col>
      <xdr:colOff>428625</xdr:colOff>
      <xdr:row>39</xdr:row>
      <xdr:rowOff>104775</xdr:rowOff>
    </xdr:to>
    <xdr:sp macro="" textlink="">
      <xdr:nvSpPr>
        <xdr:cNvPr id="4" name="Oval 3">
          <a:extLst>
            <a:ext uri="{FF2B5EF4-FFF2-40B4-BE49-F238E27FC236}">
              <a16:creationId xmlns:a16="http://schemas.microsoft.com/office/drawing/2014/main" id="{8B3A91AD-94E1-4DF2-9CD6-97CD29E51C5F}"/>
            </a:ext>
            <a:ext uri="{147F2762-F138-4A5C-976F-8EAC2B608ADB}">
              <a16:predDERef xmlns:a16="http://schemas.microsoft.com/office/drawing/2014/main" pred="{A255D506-963F-43D1-9D5D-4AD03079AC24}"/>
            </a:ext>
          </a:extLst>
        </xdr:cNvPr>
        <xdr:cNvSpPr/>
      </xdr:nvSpPr>
      <xdr:spPr>
        <a:xfrm rot="10800000" flipH="1">
          <a:off x="11727180" y="6532245"/>
          <a:ext cx="3392805" cy="407670"/>
        </a:xfrm>
        <a:prstGeom prst="ellipse">
          <a:avLst/>
        </a:prstGeom>
        <a:noFill/>
        <a:ln w="38100" cap="flat" cmpd="sng">
          <a:solidFill>
            <a:srgbClr val="BA8C00"/>
          </a:solidFill>
          <a:prstDash val="solid"/>
          <a:miter lim="800000"/>
          <a:headEnd type="none" w="sm" len="sm"/>
          <a:tailEnd type="none" w="sm" len="sm"/>
        </a:ln>
      </xdr:spPr>
      <xdr:txBody>
        <a:bodyPr spcFirstLastPara="1" wrap="square" lIns="91425" tIns="45700" rIns="91425" bIns="45700" anchor="t" anchorCtr="0">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lvl="0" indent="0" algn="l" rtl="0">
            <a:spcBef>
              <a:spcPts val="0"/>
            </a:spcBef>
            <a:spcAft>
              <a:spcPts val="0"/>
            </a:spcAft>
            <a:buSzPts val="1100"/>
            <a:buFont typeface="Arial"/>
            <a:buNone/>
          </a:pPr>
          <a:endParaRPr sz="1100"/>
        </a:p>
      </xdr:txBody>
    </xdr:sp>
    <xdr:clientData/>
  </xdr:twoCellAnchor>
  <xdr:twoCellAnchor>
    <xdr:from>
      <xdr:col>9</xdr:col>
      <xdr:colOff>600075</xdr:colOff>
      <xdr:row>38</xdr:row>
      <xdr:rowOff>142875</xdr:rowOff>
    </xdr:from>
    <xdr:to>
      <xdr:col>12</xdr:col>
      <xdr:colOff>466725</xdr:colOff>
      <xdr:row>41</xdr:row>
      <xdr:rowOff>28575</xdr:rowOff>
    </xdr:to>
    <xdr:sp macro="" textlink="">
      <xdr:nvSpPr>
        <xdr:cNvPr id="5" name="Oval 4">
          <a:extLst>
            <a:ext uri="{FF2B5EF4-FFF2-40B4-BE49-F238E27FC236}">
              <a16:creationId xmlns:a16="http://schemas.microsoft.com/office/drawing/2014/main" id="{7B202073-B446-4C4C-B3CD-A9BB75674AB9}"/>
            </a:ext>
            <a:ext uri="{147F2762-F138-4A5C-976F-8EAC2B608ADB}">
              <a16:predDERef xmlns:a16="http://schemas.microsoft.com/office/drawing/2014/main" pred="{58B98210-0123-4C88-8860-3A0BE74156EA}"/>
            </a:ext>
          </a:extLst>
        </xdr:cNvPr>
        <xdr:cNvSpPr/>
      </xdr:nvSpPr>
      <xdr:spPr>
        <a:xfrm rot="10800000" flipH="1">
          <a:off x="11755755" y="6802755"/>
          <a:ext cx="3402330" cy="411480"/>
        </a:xfrm>
        <a:prstGeom prst="ellipse">
          <a:avLst/>
        </a:prstGeom>
        <a:noFill/>
        <a:ln w="38100" cap="flat" cmpd="sng">
          <a:solidFill>
            <a:schemeClr val="dk1"/>
          </a:solidFill>
          <a:prstDash val="solid"/>
          <a:miter lim="800000"/>
          <a:headEnd type="none" w="sm" len="sm"/>
          <a:tailEnd type="none" w="sm" len="sm"/>
        </a:ln>
      </xdr:spPr>
      <xdr:txBody>
        <a:bodyPr spcFirstLastPara="1" wrap="square" lIns="91425" tIns="45700" rIns="91425" bIns="45700" anchor="t" anchorCtr="0">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lvl="0" indent="0" algn="l" rtl="0">
            <a:spcBef>
              <a:spcPts val="0"/>
            </a:spcBef>
            <a:spcAft>
              <a:spcPts val="0"/>
            </a:spcAft>
            <a:buSzPts val="1100"/>
            <a:buFont typeface="Arial"/>
            <a:buNone/>
          </a:pPr>
          <a:endParaRPr sz="1100"/>
        </a:p>
      </xdr:txBody>
    </xdr:sp>
    <xdr:clientData/>
  </xdr:twoCellAnchor>
  <xdr:twoCellAnchor>
    <xdr:from>
      <xdr:col>5</xdr:col>
      <xdr:colOff>352425</xdr:colOff>
      <xdr:row>43</xdr:row>
      <xdr:rowOff>66675</xdr:rowOff>
    </xdr:from>
    <xdr:to>
      <xdr:col>7</xdr:col>
      <xdr:colOff>200025</xdr:colOff>
      <xdr:row>46</xdr:row>
      <xdr:rowOff>76200</xdr:rowOff>
    </xdr:to>
    <xdr:sp macro="" textlink="">
      <xdr:nvSpPr>
        <xdr:cNvPr id="6" name="Oval 5">
          <a:extLst>
            <a:ext uri="{FF2B5EF4-FFF2-40B4-BE49-F238E27FC236}">
              <a16:creationId xmlns:a16="http://schemas.microsoft.com/office/drawing/2014/main" id="{DB7E2A27-70B5-40AD-B232-68F97C367EB5}"/>
            </a:ext>
            <a:ext uri="{147F2762-F138-4A5C-976F-8EAC2B608ADB}">
              <a16:predDERef xmlns:a16="http://schemas.microsoft.com/office/drawing/2014/main" pred="{1892BCA9-7222-401C-B85C-4F2C24DA18B8}"/>
            </a:ext>
          </a:extLst>
        </xdr:cNvPr>
        <xdr:cNvSpPr/>
      </xdr:nvSpPr>
      <xdr:spPr>
        <a:xfrm>
          <a:off x="7553325" y="7602855"/>
          <a:ext cx="1569720" cy="535305"/>
        </a:xfrm>
        <a:prstGeom prst="ellipse">
          <a:avLst/>
        </a:prstGeom>
        <a:noFill/>
        <a:ln w="38100" cap="flat" cmpd="sng">
          <a:solidFill>
            <a:srgbClr val="AC5B23"/>
          </a:solidFill>
          <a:prstDash val="solid"/>
          <a:miter lim="800000"/>
          <a:headEnd type="none" w="sm" len="sm"/>
          <a:tailEnd type="none" w="sm" len="sm"/>
        </a:ln>
      </xdr:spPr>
      <xdr:txBody>
        <a:bodyPr spcFirstLastPara="1" wrap="square" lIns="91425" tIns="45700" rIns="91425" bIns="45700" anchor="t" anchorCtr="0">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lvl="0" indent="0" algn="l" rtl="0">
            <a:spcBef>
              <a:spcPts val="0"/>
            </a:spcBef>
            <a:spcAft>
              <a:spcPts val="0"/>
            </a:spcAft>
            <a:buSzPts val="1100"/>
            <a:buFont typeface="Arial"/>
            <a:buNone/>
          </a:pPr>
          <a:endParaRPr sz="1100"/>
        </a:p>
      </xdr:txBody>
    </xdr:sp>
    <xdr:clientData/>
  </xdr:twoCellAnchor>
  <xdr:twoCellAnchor>
    <xdr:from>
      <xdr:col>9</xdr:col>
      <xdr:colOff>638175</xdr:colOff>
      <xdr:row>43</xdr:row>
      <xdr:rowOff>28575</xdr:rowOff>
    </xdr:from>
    <xdr:to>
      <xdr:col>11</xdr:col>
      <xdr:colOff>352425</xdr:colOff>
      <xdr:row>46</xdr:row>
      <xdr:rowOff>66675</xdr:rowOff>
    </xdr:to>
    <xdr:sp macro="" textlink="">
      <xdr:nvSpPr>
        <xdr:cNvPr id="7" name="Oval 6">
          <a:extLst>
            <a:ext uri="{FF2B5EF4-FFF2-40B4-BE49-F238E27FC236}">
              <a16:creationId xmlns:a16="http://schemas.microsoft.com/office/drawing/2014/main" id="{DD23FE58-4CCE-4E5C-BE05-245932FDD795}"/>
            </a:ext>
            <a:ext uri="{147F2762-F138-4A5C-976F-8EAC2B608ADB}">
              <a16:predDERef xmlns:a16="http://schemas.microsoft.com/office/drawing/2014/main" pred="{586D817C-B59F-4A16-B07D-A9C73F8F0B6B}"/>
            </a:ext>
          </a:extLst>
        </xdr:cNvPr>
        <xdr:cNvSpPr/>
      </xdr:nvSpPr>
      <xdr:spPr>
        <a:xfrm>
          <a:off x="11793855" y="7564755"/>
          <a:ext cx="1771650" cy="563880"/>
        </a:xfrm>
        <a:prstGeom prst="ellipse">
          <a:avLst/>
        </a:prstGeom>
        <a:noFill/>
        <a:ln w="38100" cap="flat" cmpd="sng">
          <a:solidFill>
            <a:srgbClr val="FF0000"/>
          </a:solidFill>
          <a:prstDash val="solid"/>
          <a:miter lim="800000"/>
          <a:headEnd type="none" w="sm" len="sm"/>
          <a:tailEnd type="none" w="sm" len="sm"/>
        </a:ln>
      </xdr:spPr>
      <xdr:txBody>
        <a:bodyPr spcFirstLastPara="1" wrap="square" lIns="91425" tIns="45700" rIns="91425" bIns="45700" anchor="t" anchorCtr="0">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lvl="0" indent="0" algn="l" rtl="0">
            <a:spcBef>
              <a:spcPts val="0"/>
            </a:spcBef>
            <a:spcAft>
              <a:spcPts val="0"/>
            </a:spcAft>
            <a:buSzPts val="1100"/>
            <a:buFont typeface="Arial"/>
            <a:buNone/>
          </a:pPr>
          <a:endParaRPr sz="1100"/>
        </a:p>
      </xdr:txBody>
    </xdr:sp>
    <xdr:clientData/>
  </xdr:twoCellAnchor>
  <xdr:twoCellAnchor>
    <xdr:from>
      <xdr:col>8</xdr:col>
      <xdr:colOff>47625</xdr:colOff>
      <xdr:row>69</xdr:row>
      <xdr:rowOff>85725</xdr:rowOff>
    </xdr:from>
    <xdr:to>
      <xdr:col>13</xdr:col>
      <xdr:colOff>561975</xdr:colOff>
      <xdr:row>73</xdr:row>
      <xdr:rowOff>142875</xdr:rowOff>
    </xdr:to>
    <xdr:sp macro="" textlink="">
      <xdr:nvSpPr>
        <xdr:cNvPr id="8" name="Oval 7">
          <a:extLst>
            <a:ext uri="{FF2B5EF4-FFF2-40B4-BE49-F238E27FC236}">
              <a16:creationId xmlns:a16="http://schemas.microsoft.com/office/drawing/2014/main" id="{5D39A27C-B125-44B9-882E-C94A92CC0AF1}"/>
            </a:ext>
            <a:ext uri="{147F2762-F138-4A5C-976F-8EAC2B608ADB}">
              <a16:predDERef xmlns:a16="http://schemas.microsoft.com/office/drawing/2014/main" pred="{B24472D0-FE23-4911-A9ED-28F073161105}"/>
            </a:ext>
          </a:extLst>
        </xdr:cNvPr>
        <xdr:cNvSpPr/>
      </xdr:nvSpPr>
      <xdr:spPr>
        <a:xfrm rot="10800000" flipH="1">
          <a:off x="9763125" y="12270105"/>
          <a:ext cx="6656070" cy="758190"/>
        </a:xfrm>
        <a:prstGeom prst="ellipse">
          <a:avLst/>
        </a:prstGeom>
        <a:noFill/>
        <a:ln w="38100" cap="flat" cmpd="sng">
          <a:solidFill>
            <a:srgbClr val="FF0000"/>
          </a:solidFill>
          <a:prstDash val="solid"/>
          <a:miter lim="800000"/>
          <a:headEnd type="none" w="sm" len="sm"/>
          <a:tailEnd type="none" w="sm" len="sm"/>
        </a:ln>
      </xdr:spPr>
      <xdr:txBody>
        <a:bodyPr spcFirstLastPara="1" wrap="square" lIns="91425" tIns="45700" rIns="91425" bIns="45700" anchor="t" anchorCtr="0">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lvl="0" indent="0" algn="l" rtl="0">
            <a:spcBef>
              <a:spcPts val="0"/>
            </a:spcBef>
            <a:spcAft>
              <a:spcPts val="0"/>
            </a:spcAft>
            <a:buSzPts val="1100"/>
            <a:buFont typeface="Arial"/>
            <a:buNone/>
          </a:pPr>
          <a:endParaRPr sz="1100"/>
        </a:p>
      </xdr:txBody>
    </xdr:sp>
    <xdr:clientData/>
  </xdr:twoCellAnchor>
  <xdr:twoCellAnchor>
    <xdr:from>
      <xdr:col>5</xdr:col>
      <xdr:colOff>457200</xdr:colOff>
      <xdr:row>73</xdr:row>
      <xdr:rowOff>0</xdr:rowOff>
    </xdr:from>
    <xdr:to>
      <xdr:col>7</xdr:col>
      <xdr:colOff>304800</xdr:colOff>
      <xdr:row>76</xdr:row>
      <xdr:rowOff>9525</xdr:rowOff>
    </xdr:to>
    <xdr:sp macro="" textlink="">
      <xdr:nvSpPr>
        <xdr:cNvPr id="9" name="Oval 8">
          <a:extLst>
            <a:ext uri="{FF2B5EF4-FFF2-40B4-BE49-F238E27FC236}">
              <a16:creationId xmlns:a16="http://schemas.microsoft.com/office/drawing/2014/main" id="{9237DA50-18EE-42B3-9826-935B544A92E0}"/>
            </a:ext>
            <a:ext uri="{147F2762-F138-4A5C-976F-8EAC2B608ADB}">
              <a16:predDERef xmlns:a16="http://schemas.microsoft.com/office/drawing/2014/main" pred="{1D09986C-C4B3-49DD-8B1B-63546E0BB3B0}"/>
            </a:ext>
          </a:extLst>
        </xdr:cNvPr>
        <xdr:cNvSpPr/>
      </xdr:nvSpPr>
      <xdr:spPr>
        <a:xfrm rot="10800000" flipH="1">
          <a:off x="7658100" y="12885420"/>
          <a:ext cx="1569720" cy="535305"/>
        </a:xfrm>
        <a:prstGeom prst="ellipse">
          <a:avLst/>
        </a:prstGeom>
        <a:noFill/>
        <a:ln w="38100" cap="flat" cmpd="sng">
          <a:solidFill>
            <a:srgbClr val="AC5B23"/>
          </a:solidFill>
          <a:prstDash val="solid"/>
          <a:miter lim="800000"/>
          <a:headEnd type="none" w="sm" len="sm"/>
          <a:tailEnd type="none" w="sm" len="sm"/>
        </a:ln>
      </xdr:spPr>
      <xdr:txBody>
        <a:bodyPr spcFirstLastPara="1" wrap="square" lIns="91425" tIns="45700" rIns="91425" bIns="45700" anchor="t" anchorCtr="0">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lvl="0" indent="0" algn="l" rtl="0">
            <a:spcBef>
              <a:spcPts val="0"/>
            </a:spcBef>
            <a:spcAft>
              <a:spcPts val="0"/>
            </a:spcAft>
            <a:buSzPts val="1100"/>
            <a:buFont typeface="Arial"/>
            <a:buNone/>
          </a:pPr>
          <a:endParaRPr sz="1100"/>
        </a:p>
      </xdr:txBody>
    </xdr:sp>
    <xdr:clientData/>
  </xdr:twoCellAnchor>
  <xdr:twoCellAnchor>
    <xdr:from>
      <xdr:col>8</xdr:col>
      <xdr:colOff>85725</xdr:colOff>
      <xdr:row>72</xdr:row>
      <xdr:rowOff>171450</xdr:rowOff>
    </xdr:from>
    <xdr:to>
      <xdr:col>8</xdr:col>
      <xdr:colOff>619125</xdr:colOff>
      <xdr:row>76</xdr:row>
      <xdr:rowOff>66675</xdr:rowOff>
    </xdr:to>
    <xdr:sp macro="" textlink="">
      <xdr:nvSpPr>
        <xdr:cNvPr id="10" name="Oval 9">
          <a:extLst>
            <a:ext uri="{FF2B5EF4-FFF2-40B4-BE49-F238E27FC236}">
              <a16:creationId xmlns:a16="http://schemas.microsoft.com/office/drawing/2014/main" id="{C449EF48-4A81-4A87-A71B-405FEAE51DC9}"/>
            </a:ext>
            <a:ext uri="{147F2762-F138-4A5C-976F-8EAC2B608ADB}">
              <a16:predDERef xmlns:a16="http://schemas.microsoft.com/office/drawing/2014/main" pred="{5D8A160A-07D0-4BE2-B8CB-3D0C1485A774}"/>
            </a:ext>
          </a:extLst>
        </xdr:cNvPr>
        <xdr:cNvSpPr/>
      </xdr:nvSpPr>
      <xdr:spPr>
        <a:xfrm>
          <a:off x="9801225" y="12881610"/>
          <a:ext cx="533400" cy="596265"/>
        </a:xfrm>
        <a:prstGeom prst="ellipse">
          <a:avLst/>
        </a:prstGeom>
        <a:noFill/>
        <a:ln w="38100" cap="flat" cmpd="sng">
          <a:solidFill>
            <a:srgbClr val="517E33"/>
          </a:solidFill>
          <a:prstDash val="solid"/>
          <a:miter lim="800000"/>
          <a:headEnd type="none" w="sm" len="sm"/>
          <a:tailEnd type="none" w="sm" len="sm"/>
        </a:ln>
      </xdr:spPr>
      <xdr:txBody>
        <a:bodyPr spcFirstLastPara="1" wrap="square" lIns="91425" tIns="45700" rIns="91425" bIns="45700" anchor="t" anchorCtr="0">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lvl="0" indent="0" algn="l" rtl="0">
            <a:spcBef>
              <a:spcPts val="0"/>
            </a:spcBef>
            <a:spcAft>
              <a:spcPts val="0"/>
            </a:spcAft>
            <a:buSzPts val="1100"/>
            <a:buFont typeface="Arial"/>
            <a:buNone/>
          </a:pPr>
          <a:endParaRPr sz="1100"/>
        </a:p>
      </xdr:txBody>
    </xdr:sp>
    <xdr:clientData/>
  </xdr:twoCellAnchor>
  <xdr:twoCellAnchor>
    <xdr:from>
      <xdr:col>13</xdr:col>
      <xdr:colOff>285750</xdr:colOff>
      <xdr:row>73</xdr:row>
      <xdr:rowOff>28575</xdr:rowOff>
    </xdr:from>
    <xdr:to>
      <xdr:col>14</xdr:col>
      <xdr:colOff>619125</xdr:colOff>
      <xdr:row>82</xdr:row>
      <xdr:rowOff>114300</xdr:rowOff>
    </xdr:to>
    <xdr:sp macro="" textlink="">
      <xdr:nvSpPr>
        <xdr:cNvPr id="11" name="Oval 10">
          <a:extLst>
            <a:ext uri="{FF2B5EF4-FFF2-40B4-BE49-F238E27FC236}">
              <a16:creationId xmlns:a16="http://schemas.microsoft.com/office/drawing/2014/main" id="{3A9BB80B-E70C-4BC3-8DD1-E8AFCAC83A1E}"/>
            </a:ext>
            <a:ext uri="{147F2762-F138-4A5C-976F-8EAC2B608ADB}">
              <a16:predDERef xmlns:a16="http://schemas.microsoft.com/office/drawing/2014/main" pred="{6A789310-AD29-459D-889E-A91D13190625}"/>
            </a:ext>
          </a:extLst>
        </xdr:cNvPr>
        <xdr:cNvSpPr/>
      </xdr:nvSpPr>
      <xdr:spPr>
        <a:xfrm>
          <a:off x="16142970" y="12913995"/>
          <a:ext cx="1773555" cy="1663065"/>
        </a:xfrm>
        <a:prstGeom prst="ellipse">
          <a:avLst/>
        </a:prstGeom>
        <a:noFill/>
        <a:ln w="38100" cap="flat" cmpd="sng">
          <a:solidFill>
            <a:schemeClr val="dk1"/>
          </a:solidFill>
          <a:prstDash val="solid"/>
          <a:miter lim="800000"/>
          <a:headEnd type="none" w="sm" len="sm"/>
          <a:tailEnd type="none" w="sm" len="sm"/>
        </a:ln>
      </xdr:spPr>
      <xdr:txBody>
        <a:bodyPr spcFirstLastPara="1" wrap="square" lIns="91425" tIns="45700" rIns="91425" bIns="45700" anchor="t" anchorCtr="0">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lvl="0" indent="0" algn="l" rtl="0">
            <a:spcBef>
              <a:spcPts val="0"/>
            </a:spcBef>
            <a:spcAft>
              <a:spcPts val="0"/>
            </a:spcAft>
            <a:buSzPts val="1100"/>
            <a:buFont typeface="Arial"/>
            <a:buNone/>
          </a:pPr>
          <a:endParaRPr sz="1100"/>
        </a:p>
      </xdr:txBody>
    </xdr:sp>
    <xdr:clientData/>
  </xdr:twoCellAnchor>
  <xdr:twoCellAnchor>
    <xdr:from>
      <xdr:col>8</xdr:col>
      <xdr:colOff>95250</xdr:colOff>
      <xdr:row>101</xdr:row>
      <xdr:rowOff>142875</xdr:rowOff>
    </xdr:from>
    <xdr:to>
      <xdr:col>13</xdr:col>
      <xdr:colOff>619125</xdr:colOff>
      <xdr:row>105</xdr:row>
      <xdr:rowOff>85725</xdr:rowOff>
    </xdr:to>
    <xdr:sp macro="" textlink="">
      <xdr:nvSpPr>
        <xdr:cNvPr id="12" name="Oval 11">
          <a:extLst>
            <a:ext uri="{FF2B5EF4-FFF2-40B4-BE49-F238E27FC236}">
              <a16:creationId xmlns:a16="http://schemas.microsoft.com/office/drawing/2014/main" id="{9FF705BC-AD86-4F43-9DF7-2B9452AAB553}"/>
            </a:ext>
            <a:ext uri="{147F2762-F138-4A5C-976F-8EAC2B608ADB}">
              <a16:predDERef xmlns:a16="http://schemas.microsoft.com/office/drawing/2014/main" pred="{72C7DD0F-0B9A-49FC-A7AC-043A5F399B47}"/>
            </a:ext>
          </a:extLst>
        </xdr:cNvPr>
        <xdr:cNvSpPr/>
      </xdr:nvSpPr>
      <xdr:spPr>
        <a:xfrm rot="10800000" flipH="1">
          <a:off x="9810750" y="18034635"/>
          <a:ext cx="6665595" cy="643890"/>
        </a:xfrm>
        <a:prstGeom prst="ellipse">
          <a:avLst/>
        </a:prstGeom>
        <a:noFill/>
        <a:ln w="38100" cap="flat" cmpd="sng">
          <a:solidFill>
            <a:srgbClr val="FF0000"/>
          </a:solidFill>
          <a:prstDash val="solid"/>
          <a:miter lim="800000"/>
          <a:headEnd type="none" w="sm" len="sm"/>
          <a:tailEnd type="none" w="sm" len="sm"/>
        </a:ln>
      </xdr:spPr>
      <xdr:txBody>
        <a:bodyPr spcFirstLastPara="1" wrap="square" lIns="91425" tIns="45700" rIns="91425" bIns="45700" anchor="t" anchorCtr="0">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lvl="0" indent="0" algn="l" rtl="0">
            <a:spcBef>
              <a:spcPts val="0"/>
            </a:spcBef>
            <a:spcAft>
              <a:spcPts val="0"/>
            </a:spcAft>
            <a:buSzPts val="1100"/>
            <a:buFont typeface="Arial"/>
            <a:buNone/>
          </a:pPr>
          <a:endParaRPr sz="1100"/>
        </a:p>
      </xdr:txBody>
    </xdr:sp>
    <xdr:clientData/>
  </xdr:twoCellAnchor>
  <xdr:twoCellAnchor>
    <xdr:from>
      <xdr:col>3</xdr:col>
      <xdr:colOff>476250</xdr:colOff>
      <xdr:row>107</xdr:row>
      <xdr:rowOff>123825</xdr:rowOff>
    </xdr:from>
    <xdr:to>
      <xdr:col>5</xdr:col>
      <xdr:colOff>495300</xdr:colOff>
      <xdr:row>112</xdr:row>
      <xdr:rowOff>57150</xdr:rowOff>
    </xdr:to>
    <xdr:sp macro="" textlink="">
      <xdr:nvSpPr>
        <xdr:cNvPr id="13" name="Oval 12">
          <a:extLst>
            <a:ext uri="{FF2B5EF4-FFF2-40B4-BE49-F238E27FC236}">
              <a16:creationId xmlns:a16="http://schemas.microsoft.com/office/drawing/2014/main" id="{74D24608-E059-49C3-80F1-974570550C0C}"/>
            </a:ext>
            <a:ext uri="{147F2762-F138-4A5C-976F-8EAC2B608ADB}">
              <a16:predDERef xmlns:a16="http://schemas.microsoft.com/office/drawing/2014/main" pred="{EF31B23D-632C-400C-8E12-F909FCBFE242}"/>
            </a:ext>
          </a:extLst>
        </xdr:cNvPr>
        <xdr:cNvSpPr/>
      </xdr:nvSpPr>
      <xdr:spPr>
        <a:xfrm>
          <a:off x="6343650" y="19067145"/>
          <a:ext cx="1352550" cy="809625"/>
        </a:xfrm>
        <a:prstGeom prst="ellipse">
          <a:avLst/>
        </a:prstGeom>
        <a:noFill/>
        <a:ln w="38100" cap="flat" cmpd="sng">
          <a:solidFill>
            <a:schemeClr val="dk1"/>
          </a:solidFill>
          <a:prstDash val="solid"/>
          <a:miter lim="800000"/>
          <a:headEnd type="none" w="sm" len="sm"/>
          <a:tailEnd type="none" w="sm" len="sm"/>
        </a:ln>
      </xdr:spPr>
      <xdr:txBody>
        <a:bodyPr spcFirstLastPara="1" wrap="square" lIns="91425" tIns="45700" rIns="91425" bIns="45700" anchor="t" anchorCtr="0">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lvl="0" indent="0" algn="l" rtl="0">
            <a:spcBef>
              <a:spcPts val="0"/>
            </a:spcBef>
            <a:spcAft>
              <a:spcPts val="0"/>
            </a:spcAft>
            <a:buSzPts val="1100"/>
            <a:buFont typeface="Arial"/>
            <a:buNone/>
          </a:pPr>
          <a:endParaRPr sz="1100"/>
        </a:p>
      </xdr:txBody>
    </xdr:sp>
    <xdr:clientData/>
  </xdr:twoCellAnchor>
  <xdr:twoCellAnchor>
    <xdr:from>
      <xdr:col>6</xdr:col>
      <xdr:colOff>600075</xdr:colOff>
      <xdr:row>108</xdr:row>
      <xdr:rowOff>76200</xdr:rowOff>
    </xdr:from>
    <xdr:to>
      <xdr:col>7</xdr:col>
      <xdr:colOff>276225</xdr:colOff>
      <xdr:row>111</xdr:row>
      <xdr:rowOff>152400</xdr:rowOff>
    </xdr:to>
    <xdr:sp macro="" textlink="">
      <xdr:nvSpPr>
        <xdr:cNvPr id="14" name="Oval 13">
          <a:extLst>
            <a:ext uri="{FF2B5EF4-FFF2-40B4-BE49-F238E27FC236}">
              <a16:creationId xmlns:a16="http://schemas.microsoft.com/office/drawing/2014/main" id="{8D3AB749-451B-4630-8A72-B17A6D782A7C}"/>
            </a:ext>
            <a:ext uri="{147F2762-F138-4A5C-976F-8EAC2B608ADB}">
              <a16:predDERef xmlns:a16="http://schemas.microsoft.com/office/drawing/2014/main" pred="{F4D28FDA-4ECD-4CA9-9973-85CBD290937E}"/>
            </a:ext>
          </a:extLst>
        </xdr:cNvPr>
        <xdr:cNvSpPr/>
      </xdr:nvSpPr>
      <xdr:spPr>
        <a:xfrm>
          <a:off x="8662035" y="19194780"/>
          <a:ext cx="537210" cy="601980"/>
        </a:xfrm>
        <a:prstGeom prst="ellipse">
          <a:avLst/>
        </a:prstGeom>
        <a:noFill/>
        <a:ln w="38100" cap="flat" cmpd="sng">
          <a:solidFill>
            <a:srgbClr val="517E33"/>
          </a:solidFill>
          <a:prstDash val="solid"/>
          <a:miter lim="800000"/>
          <a:headEnd type="none" w="sm" len="sm"/>
          <a:tailEnd type="none" w="sm" len="sm"/>
        </a:ln>
      </xdr:spPr>
      <xdr:txBody>
        <a:bodyPr spcFirstLastPara="1" wrap="square" lIns="91425" tIns="45700" rIns="91425" bIns="45700" anchor="t" anchorCtr="0">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lvl="0" indent="0" algn="l" rtl="0">
            <a:spcBef>
              <a:spcPts val="0"/>
            </a:spcBef>
            <a:spcAft>
              <a:spcPts val="0"/>
            </a:spcAft>
            <a:buSzPts val="1100"/>
            <a:buFont typeface="Arial"/>
            <a:buNone/>
          </a:pPr>
          <a:endParaRPr sz="1100"/>
        </a:p>
      </xdr:txBody>
    </xdr:sp>
    <xdr:clientData/>
  </xdr:twoCellAnchor>
  <xdr:twoCellAnchor>
    <xdr:from>
      <xdr:col>9</xdr:col>
      <xdr:colOff>114300</xdr:colOff>
      <xdr:row>108</xdr:row>
      <xdr:rowOff>66675</xdr:rowOff>
    </xdr:from>
    <xdr:to>
      <xdr:col>9</xdr:col>
      <xdr:colOff>676275</xdr:colOff>
      <xdr:row>111</xdr:row>
      <xdr:rowOff>123825</xdr:rowOff>
    </xdr:to>
    <xdr:sp macro="" textlink="">
      <xdr:nvSpPr>
        <xdr:cNvPr id="15" name="Oval 14">
          <a:extLst>
            <a:ext uri="{FF2B5EF4-FFF2-40B4-BE49-F238E27FC236}">
              <a16:creationId xmlns:a16="http://schemas.microsoft.com/office/drawing/2014/main" id="{8EB39B6C-808D-4D82-BD14-C5F57DB71D66}"/>
            </a:ext>
            <a:ext uri="{147F2762-F138-4A5C-976F-8EAC2B608ADB}">
              <a16:predDERef xmlns:a16="http://schemas.microsoft.com/office/drawing/2014/main" pred="{99E8B75B-22EF-4283-A6C2-A408C06C52D0}"/>
            </a:ext>
          </a:extLst>
        </xdr:cNvPr>
        <xdr:cNvSpPr/>
      </xdr:nvSpPr>
      <xdr:spPr>
        <a:xfrm rot="10800000" flipH="1">
          <a:off x="11269980" y="19185255"/>
          <a:ext cx="561975" cy="582930"/>
        </a:xfrm>
        <a:prstGeom prst="ellipse">
          <a:avLst/>
        </a:prstGeom>
        <a:noFill/>
        <a:ln w="38100" cap="flat" cmpd="sng">
          <a:solidFill>
            <a:srgbClr val="AC5B23"/>
          </a:solidFill>
          <a:prstDash val="solid"/>
          <a:miter lim="800000"/>
          <a:headEnd type="none" w="sm" len="sm"/>
          <a:tailEnd type="none" w="sm" len="sm"/>
        </a:ln>
      </xdr:spPr>
      <xdr:txBody>
        <a:bodyPr spcFirstLastPara="1" wrap="square" lIns="91425" tIns="45700" rIns="91425" bIns="45700" anchor="t" anchorCtr="0">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lvl="0" indent="0" algn="l" rtl="0">
            <a:spcBef>
              <a:spcPts val="0"/>
            </a:spcBef>
            <a:spcAft>
              <a:spcPts val="0"/>
            </a:spcAft>
            <a:buSzPts val="1100"/>
            <a:buFont typeface="Arial"/>
            <a:buNone/>
          </a:pPr>
          <a:endParaRPr sz="1100"/>
        </a:p>
      </xdr:txBody>
    </xdr:sp>
    <xdr:clientData/>
  </xdr:twoCellAnchor>
  <xdr:twoCellAnchor editAs="oneCell">
    <xdr:from>
      <xdr:col>3</xdr:col>
      <xdr:colOff>533400</xdr:colOff>
      <xdr:row>101</xdr:row>
      <xdr:rowOff>57150</xdr:rowOff>
    </xdr:from>
    <xdr:to>
      <xdr:col>11</xdr:col>
      <xdr:colOff>390525</xdr:colOff>
      <xdr:row>118</xdr:row>
      <xdr:rowOff>57150</xdr:rowOff>
    </xdr:to>
    <xdr:pic>
      <xdr:nvPicPr>
        <xdr:cNvPr id="16" name="Picture 15" title="Image">
          <a:extLst>
            <a:ext uri="{FF2B5EF4-FFF2-40B4-BE49-F238E27FC236}">
              <a16:creationId xmlns:a16="http://schemas.microsoft.com/office/drawing/2014/main" id="{7750E9BE-773C-4C77-ACA9-47A021ACC6F6}"/>
            </a:ext>
            <a:ext uri="{147F2762-F138-4A5C-976F-8EAC2B608ADB}">
              <a16:predDERef xmlns:a16="http://schemas.microsoft.com/office/drawing/2014/main" pred="{FFBD8A3C-625D-42A4-AFBA-7C7E4FCE378E}"/>
            </a:ext>
          </a:extLst>
        </xdr:cNvPr>
        <xdr:cNvPicPr preferRelativeResize="0"/>
      </xdr:nvPicPr>
      <xdr:blipFill>
        <a:blip xmlns:r="http://schemas.openxmlformats.org/officeDocument/2006/relationships" r:embed="rId1" cstate="print"/>
        <a:stretch>
          <a:fillRect/>
        </a:stretch>
      </xdr:blipFill>
      <xdr:spPr>
        <a:xfrm>
          <a:off x="6400800" y="17948910"/>
          <a:ext cx="7202805" cy="2979419"/>
        </a:xfrm>
        <a:prstGeom prst="rect">
          <a:avLst/>
        </a:prstGeom>
        <a:noFill/>
      </xdr:spPr>
    </xdr:pic>
    <xdr:clientData/>
  </xdr:twoCellAnchor>
  <xdr:twoCellAnchor editAs="oneCell">
    <xdr:from>
      <xdr:col>5</xdr:col>
      <xdr:colOff>457200</xdr:colOff>
      <xdr:row>65</xdr:row>
      <xdr:rowOff>9525</xdr:rowOff>
    </xdr:from>
    <xdr:to>
      <xdr:col>12</xdr:col>
      <xdr:colOff>190500</xdr:colOff>
      <xdr:row>94</xdr:row>
      <xdr:rowOff>38101</xdr:rowOff>
    </xdr:to>
    <xdr:pic>
      <xdr:nvPicPr>
        <xdr:cNvPr id="17" name="Picture 16">
          <a:extLst>
            <a:ext uri="{FF2B5EF4-FFF2-40B4-BE49-F238E27FC236}">
              <a16:creationId xmlns:a16="http://schemas.microsoft.com/office/drawing/2014/main" id="{E3D784C7-CBCA-442C-89C3-E4B7CD5A565D}"/>
            </a:ext>
            <a:ext uri="{147F2762-F138-4A5C-976F-8EAC2B608ADB}">
              <a16:predDERef xmlns:a16="http://schemas.microsoft.com/office/drawing/2014/main" pred="{399379E7-48F7-4F47-AB5F-B1BF817ED8CA}"/>
            </a:ext>
          </a:extLst>
        </xdr:cNvPr>
        <xdr:cNvPicPr preferRelativeResize="0"/>
      </xdr:nvPicPr>
      <xdr:blipFill>
        <a:blip xmlns:r="http://schemas.openxmlformats.org/officeDocument/2006/relationships" r:embed="rId2" cstate="print"/>
        <a:stretch>
          <a:fillRect/>
        </a:stretch>
      </xdr:blipFill>
      <xdr:spPr>
        <a:xfrm>
          <a:off x="7658100" y="11492865"/>
          <a:ext cx="7223760" cy="5210176"/>
        </a:xfrm>
        <a:prstGeom prst="rect">
          <a:avLst/>
        </a:prstGeom>
        <a:noFill/>
      </xdr:spPr>
    </xdr:pic>
    <xdr:clientData/>
  </xdr:twoCellAnchor>
  <xdr:twoCellAnchor editAs="oneCell">
    <xdr:from>
      <xdr:col>6</xdr:col>
      <xdr:colOff>28575</xdr:colOff>
      <xdr:row>26</xdr:row>
      <xdr:rowOff>142875</xdr:rowOff>
    </xdr:from>
    <xdr:to>
      <xdr:col>12</xdr:col>
      <xdr:colOff>962025</xdr:colOff>
      <xdr:row>59</xdr:row>
      <xdr:rowOff>66676</xdr:rowOff>
    </xdr:to>
    <xdr:pic>
      <xdr:nvPicPr>
        <xdr:cNvPr id="18" name="Picture 17">
          <a:extLst>
            <a:ext uri="{FF2B5EF4-FFF2-40B4-BE49-F238E27FC236}">
              <a16:creationId xmlns:a16="http://schemas.microsoft.com/office/drawing/2014/main" id="{23819873-49B4-4DC7-836F-B32F0FFC09C9}"/>
            </a:ext>
            <a:ext uri="{147F2762-F138-4A5C-976F-8EAC2B608ADB}">
              <a16:predDERef xmlns:a16="http://schemas.microsoft.com/office/drawing/2014/main" pred="{DF87CF31-9794-45F3-BD30-7E3862E46BCF}"/>
            </a:ext>
          </a:extLst>
        </xdr:cNvPr>
        <xdr:cNvPicPr preferRelativeResize="0"/>
      </xdr:nvPicPr>
      <xdr:blipFill>
        <a:blip xmlns:r="http://schemas.openxmlformats.org/officeDocument/2006/relationships" r:embed="rId3" cstate="print"/>
        <a:stretch>
          <a:fillRect/>
        </a:stretch>
      </xdr:blipFill>
      <xdr:spPr>
        <a:xfrm>
          <a:off x="8090535" y="4699635"/>
          <a:ext cx="7562850" cy="5775960"/>
        </a:xfrm>
        <a:prstGeom prst="rect">
          <a:avLst/>
        </a:prstGeom>
        <a:noFill/>
      </xdr:spPr>
    </xdr:pic>
    <xdr:clientData/>
  </xdr:twoCellAnchor>
  <xdr:twoCellAnchor editAs="oneCell">
    <xdr:from>
      <xdr:col>31</xdr:col>
      <xdr:colOff>209550</xdr:colOff>
      <xdr:row>1</xdr:row>
      <xdr:rowOff>104775</xdr:rowOff>
    </xdr:from>
    <xdr:to>
      <xdr:col>39</xdr:col>
      <xdr:colOff>114300</xdr:colOff>
      <xdr:row>14</xdr:row>
      <xdr:rowOff>38100</xdr:rowOff>
    </xdr:to>
    <xdr:pic>
      <xdr:nvPicPr>
        <xdr:cNvPr id="19" name="Picture 18">
          <a:extLst>
            <a:ext uri="{FF2B5EF4-FFF2-40B4-BE49-F238E27FC236}">
              <a16:creationId xmlns:a16="http://schemas.microsoft.com/office/drawing/2014/main" id="{4008D4D9-DCA5-4FEE-A965-9713AEF3D37F}"/>
            </a:ext>
            <a:ext uri="{147F2762-F138-4A5C-976F-8EAC2B608ADB}">
              <a16:predDERef xmlns:a16="http://schemas.microsoft.com/office/drawing/2014/main" pred="{ED0928BA-9AA2-49A2-A06F-D69298E113A8}"/>
            </a:ext>
          </a:extLst>
        </xdr:cNvPr>
        <xdr:cNvPicPr preferRelativeResize="0"/>
      </xdr:nvPicPr>
      <xdr:blipFill>
        <a:blip xmlns:r="http://schemas.openxmlformats.org/officeDocument/2006/relationships" r:embed="rId4" cstate="print"/>
        <a:stretch>
          <a:fillRect/>
        </a:stretch>
      </xdr:blipFill>
      <xdr:spPr>
        <a:xfrm>
          <a:off x="31931610" y="280035"/>
          <a:ext cx="4842510" cy="2211705"/>
        </a:xfrm>
        <a:prstGeom prst="rect">
          <a:avLst/>
        </a:prstGeom>
        <a:noFill/>
      </xdr:spPr>
    </xdr:pic>
    <xdr:clientData/>
  </xdr:twoCellAnchor>
  <xdr:twoCellAnchor editAs="oneCell">
    <xdr:from>
      <xdr:col>19</xdr:col>
      <xdr:colOff>809625</xdr:colOff>
      <xdr:row>1</xdr:row>
      <xdr:rowOff>123825</xdr:rowOff>
    </xdr:from>
    <xdr:to>
      <xdr:col>28</xdr:col>
      <xdr:colOff>361950</xdr:colOff>
      <xdr:row>18</xdr:row>
      <xdr:rowOff>47625</xdr:rowOff>
    </xdr:to>
    <xdr:pic>
      <xdr:nvPicPr>
        <xdr:cNvPr id="20" name="Picture 19">
          <a:extLst>
            <a:ext uri="{FF2B5EF4-FFF2-40B4-BE49-F238E27FC236}">
              <a16:creationId xmlns:a16="http://schemas.microsoft.com/office/drawing/2014/main" id="{A0C5EB50-04AC-4D00-AD00-13352ED6C3FB}"/>
            </a:ext>
            <a:ext uri="{147F2762-F138-4A5C-976F-8EAC2B608ADB}">
              <a16:predDERef xmlns:a16="http://schemas.microsoft.com/office/drawing/2014/main" pred="{DCFF7A47-6AB3-4584-850A-090EC60DB4AC}"/>
            </a:ext>
          </a:extLst>
        </xdr:cNvPr>
        <xdr:cNvPicPr preferRelativeResize="0"/>
      </xdr:nvPicPr>
      <xdr:blipFill>
        <a:blip xmlns:r="http://schemas.openxmlformats.org/officeDocument/2006/relationships" r:embed="rId5" cstate="print"/>
        <a:stretch>
          <a:fillRect/>
        </a:stretch>
      </xdr:blipFill>
      <xdr:spPr>
        <a:xfrm>
          <a:off x="24370665" y="299085"/>
          <a:ext cx="5861685" cy="2903220"/>
        </a:xfrm>
        <a:prstGeom prst="rect">
          <a:avLst/>
        </a:prstGeom>
        <a:noFill/>
      </xdr:spPr>
    </xdr:pic>
    <xdr:clientData/>
  </xdr:twoCellAnchor>
  <xdr:twoCellAnchor editAs="oneCell">
    <xdr:from>
      <xdr:col>19</xdr:col>
      <xdr:colOff>714375</xdr:colOff>
      <xdr:row>33</xdr:row>
      <xdr:rowOff>123825</xdr:rowOff>
    </xdr:from>
    <xdr:to>
      <xdr:col>28</xdr:col>
      <xdr:colOff>533400</xdr:colOff>
      <xdr:row>61</xdr:row>
      <xdr:rowOff>66675</xdr:rowOff>
    </xdr:to>
    <xdr:pic>
      <xdr:nvPicPr>
        <xdr:cNvPr id="21" name="Picture 20">
          <a:extLst>
            <a:ext uri="{FF2B5EF4-FFF2-40B4-BE49-F238E27FC236}">
              <a16:creationId xmlns:a16="http://schemas.microsoft.com/office/drawing/2014/main" id="{5FF199BD-38D6-4DA0-8351-6151320CDAA5}"/>
            </a:ext>
            <a:ext uri="{147F2762-F138-4A5C-976F-8EAC2B608ADB}">
              <a16:predDERef xmlns:a16="http://schemas.microsoft.com/office/drawing/2014/main" pred="{5976C04E-61DC-4405-905E-AE7116BEDBDB}"/>
            </a:ext>
          </a:extLst>
        </xdr:cNvPr>
        <xdr:cNvPicPr preferRelativeResize="0"/>
      </xdr:nvPicPr>
      <xdr:blipFill>
        <a:blip xmlns:r="http://schemas.openxmlformats.org/officeDocument/2006/relationships" r:embed="rId6" cstate="print"/>
        <a:stretch>
          <a:fillRect/>
        </a:stretch>
      </xdr:blipFill>
      <xdr:spPr>
        <a:xfrm>
          <a:off x="24275415" y="5907405"/>
          <a:ext cx="6128385" cy="4941570"/>
        </a:xfrm>
        <a:prstGeom prst="rect">
          <a:avLst/>
        </a:prstGeom>
        <a:noFill/>
      </xdr:spPr>
    </xdr:pic>
    <xdr:clientData/>
  </xdr:twoCellAnchor>
  <xdr:twoCellAnchor editAs="oneCell">
    <xdr:from>
      <xdr:col>31</xdr:col>
      <xdr:colOff>209550</xdr:colOff>
      <xdr:row>33</xdr:row>
      <xdr:rowOff>104775</xdr:rowOff>
    </xdr:from>
    <xdr:to>
      <xdr:col>40</xdr:col>
      <xdr:colOff>723900</xdr:colOff>
      <xdr:row>55</xdr:row>
      <xdr:rowOff>1003</xdr:rowOff>
    </xdr:to>
    <xdr:pic>
      <xdr:nvPicPr>
        <xdr:cNvPr id="22" name="Picture 21">
          <a:extLst>
            <a:ext uri="{FF2B5EF4-FFF2-40B4-BE49-F238E27FC236}">
              <a16:creationId xmlns:a16="http://schemas.microsoft.com/office/drawing/2014/main" id="{1DE61DB0-B06E-4987-A2CE-92E1B14A5D6F}"/>
            </a:ext>
            <a:ext uri="{147F2762-F138-4A5C-976F-8EAC2B608ADB}">
              <a16:predDERef xmlns:a16="http://schemas.microsoft.com/office/drawing/2014/main" pred="{4744A8C3-2678-44A7-BB14-8FCBC01F8D7A}"/>
            </a:ext>
          </a:extLst>
        </xdr:cNvPr>
        <xdr:cNvPicPr preferRelativeResize="0"/>
      </xdr:nvPicPr>
      <xdr:blipFill>
        <a:blip xmlns:r="http://schemas.openxmlformats.org/officeDocument/2006/relationships" r:embed="rId7" cstate="print"/>
        <a:stretch>
          <a:fillRect/>
        </a:stretch>
      </xdr:blipFill>
      <xdr:spPr>
        <a:xfrm>
          <a:off x="31931610" y="5888355"/>
          <a:ext cx="6069330" cy="3815715"/>
        </a:xfrm>
        <a:prstGeom prst="rect">
          <a:avLst/>
        </a:prstGeom>
        <a:noFill/>
      </xdr:spPr>
    </xdr:pic>
    <xdr:clientData/>
  </xdr:twoCellAnchor>
  <xdr:twoCellAnchor editAs="oneCell">
    <xdr:from>
      <xdr:col>19</xdr:col>
      <xdr:colOff>1238250</xdr:colOff>
      <xdr:row>70</xdr:row>
      <xdr:rowOff>104775</xdr:rowOff>
    </xdr:from>
    <xdr:to>
      <xdr:col>31</xdr:col>
      <xdr:colOff>533400</xdr:colOff>
      <xdr:row>83</xdr:row>
      <xdr:rowOff>133349</xdr:rowOff>
    </xdr:to>
    <xdr:pic>
      <xdr:nvPicPr>
        <xdr:cNvPr id="23" name="Picture 22">
          <a:extLst>
            <a:ext uri="{FF2B5EF4-FFF2-40B4-BE49-F238E27FC236}">
              <a16:creationId xmlns:a16="http://schemas.microsoft.com/office/drawing/2014/main" id="{BF187439-6AF7-4DA1-918A-31E9FBDFEC41}"/>
            </a:ext>
            <a:ext uri="{147F2762-F138-4A5C-976F-8EAC2B608ADB}">
              <a16:predDERef xmlns:a16="http://schemas.microsoft.com/office/drawing/2014/main" pred="{6540E46F-97DD-4E63-9FCC-0D9509C4C08C}"/>
            </a:ext>
          </a:extLst>
        </xdr:cNvPr>
        <xdr:cNvPicPr preferRelativeResize="0"/>
      </xdr:nvPicPr>
      <xdr:blipFill>
        <a:blip xmlns:r="http://schemas.openxmlformats.org/officeDocument/2006/relationships" r:embed="rId8" cstate="print"/>
        <a:stretch>
          <a:fillRect/>
        </a:stretch>
      </xdr:blipFill>
      <xdr:spPr>
        <a:xfrm>
          <a:off x="24799290" y="12464415"/>
          <a:ext cx="7456170" cy="2306954"/>
        </a:xfrm>
        <a:prstGeom prst="rect">
          <a:avLst/>
        </a:prstGeom>
        <a:noFill/>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10</xdr:col>
      <xdr:colOff>390621</xdr:colOff>
      <xdr:row>1</xdr:row>
      <xdr:rowOff>75595</xdr:rowOff>
    </xdr:from>
    <xdr:to>
      <xdr:col>13</xdr:col>
      <xdr:colOff>176389</xdr:colOff>
      <xdr:row>7</xdr:row>
      <xdr:rowOff>112774</xdr:rowOff>
    </xdr:to>
    <xdr:pic>
      <xdr:nvPicPr>
        <xdr:cNvPr id="3" name="Picture 2">
          <a:extLst>
            <a:ext uri="{FF2B5EF4-FFF2-40B4-BE49-F238E27FC236}">
              <a16:creationId xmlns:a16="http://schemas.microsoft.com/office/drawing/2014/main" id="{2612931E-2700-C4D1-7C15-E0681DBBA312}"/>
            </a:ext>
          </a:extLst>
        </xdr:cNvPr>
        <xdr:cNvPicPr>
          <a:picLocks noChangeAspect="1"/>
        </xdr:cNvPicPr>
      </xdr:nvPicPr>
      <xdr:blipFill>
        <a:blip xmlns:r="http://schemas.openxmlformats.org/officeDocument/2006/relationships" r:embed="rId1"/>
        <a:stretch>
          <a:fillRect/>
        </a:stretch>
      </xdr:blipFill>
      <xdr:spPr>
        <a:xfrm>
          <a:off x="10092010" y="251984"/>
          <a:ext cx="1627268" cy="1095512"/>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oneCellAnchor>
    <xdr:from>
      <xdr:col>3</xdr:col>
      <xdr:colOff>266700</xdr:colOff>
      <xdr:row>112</xdr:row>
      <xdr:rowOff>19050</xdr:rowOff>
    </xdr:from>
    <xdr:ext cx="7010400" cy="3076575"/>
    <xdr:pic>
      <xdr:nvPicPr>
        <xdr:cNvPr id="2" name="image7.png" title="Image">
          <a:extLst>
            <a:ext uri="{FF2B5EF4-FFF2-40B4-BE49-F238E27FC236}">
              <a16:creationId xmlns:a16="http://schemas.microsoft.com/office/drawing/2014/main" id="{01E27A91-6A13-4E53-85C2-B9358D2B4C8B}"/>
            </a:ext>
            <a:ext uri="{147F2762-F138-4A5C-976F-8EAC2B608ADB}">
              <a16:predDERef xmlns:a16="http://schemas.microsoft.com/office/drawing/2014/main" pred="{00000000-0008-0000-0400-00005D000000}"/>
            </a:ext>
          </a:extLst>
        </xdr:cNvPr>
        <xdr:cNvPicPr preferRelativeResize="0"/>
      </xdr:nvPicPr>
      <xdr:blipFill>
        <a:blip xmlns:r="http://schemas.openxmlformats.org/officeDocument/2006/relationships" r:embed="rId1" cstate="print"/>
        <a:stretch>
          <a:fillRect/>
        </a:stretch>
      </xdr:blipFill>
      <xdr:spPr>
        <a:xfrm>
          <a:off x="6012180" y="23404830"/>
          <a:ext cx="7010400" cy="3076575"/>
        </a:xfrm>
        <a:prstGeom prst="rect">
          <a:avLst/>
        </a:prstGeom>
        <a:noFill/>
      </xdr:spPr>
    </xdr:pic>
    <xdr:clientData fLocksWithSheet="0"/>
  </xdr:oneCellAnchor>
  <xdr:oneCellAnchor>
    <xdr:from>
      <xdr:col>6</xdr:col>
      <xdr:colOff>600075</xdr:colOff>
      <xdr:row>38</xdr:row>
      <xdr:rowOff>-19050</xdr:rowOff>
    </xdr:from>
    <xdr:ext cx="6553200" cy="1800225"/>
    <xdr:sp macro="" textlink="">
      <xdr:nvSpPr>
        <xdr:cNvPr id="3" name="Shape 20">
          <a:extLst>
            <a:ext uri="{FF2B5EF4-FFF2-40B4-BE49-F238E27FC236}">
              <a16:creationId xmlns:a16="http://schemas.microsoft.com/office/drawing/2014/main" id="{68D033D1-9E4C-4340-B34E-DC948261A0FF}"/>
            </a:ext>
          </a:extLst>
        </xdr:cNvPr>
        <xdr:cNvSpPr/>
      </xdr:nvSpPr>
      <xdr:spPr>
        <a:xfrm>
          <a:off x="8540115" y="10039350"/>
          <a:ext cx="6553200" cy="1800225"/>
        </a:xfrm>
        <a:prstGeom prst="ellipse">
          <a:avLst/>
        </a:prstGeom>
        <a:noFill/>
        <a:ln w="38100" cap="flat" cmpd="sng">
          <a:solidFill>
            <a:srgbClr val="31538F"/>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xdr:col>
      <xdr:colOff>1057275</xdr:colOff>
      <xdr:row>38</xdr:row>
      <xdr:rowOff>66675</xdr:rowOff>
    </xdr:from>
    <xdr:ext cx="6477000" cy="342900"/>
    <xdr:grpSp>
      <xdr:nvGrpSpPr>
        <xdr:cNvPr id="4" name="Shape 2">
          <a:extLst>
            <a:ext uri="{FF2B5EF4-FFF2-40B4-BE49-F238E27FC236}">
              <a16:creationId xmlns:a16="http://schemas.microsoft.com/office/drawing/2014/main" id="{B207F6A7-714A-403C-AE0C-E05FF8A62800}"/>
            </a:ext>
          </a:extLst>
        </xdr:cNvPr>
        <xdr:cNvGrpSpPr/>
      </xdr:nvGrpSpPr>
      <xdr:grpSpPr>
        <a:xfrm>
          <a:off x="2087707" y="6716857"/>
          <a:ext cx="6477000" cy="342900"/>
          <a:chOff x="2107500" y="3608550"/>
          <a:chExt cx="6477001" cy="342900"/>
        </a:xfrm>
      </xdr:grpSpPr>
      <xdr:grpSp>
        <xdr:nvGrpSpPr>
          <xdr:cNvPr id="5" name="Shape 21">
            <a:extLst>
              <a:ext uri="{FF2B5EF4-FFF2-40B4-BE49-F238E27FC236}">
                <a16:creationId xmlns:a16="http://schemas.microsoft.com/office/drawing/2014/main" id="{83DDAE8F-A900-5FCD-0608-76EC0A1CF9B2}"/>
              </a:ext>
            </a:extLst>
          </xdr:cNvPr>
          <xdr:cNvGrpSpPr/>
        </xdr:nvGrpSpPr>
        <xdr:grpSpPr>
          <a:xfrm>
            <a:off x="2107500" y="3608550"/>
            <a:ext cx="6477001" cy="342900"/>
            <a:chOff x="2107500" y="3608550"/>
            <a:chExt cx="6477001" cy="342900"/>
          </a:xfrm>
        </xdr:grpSpPr>
        <xdr:sp macro="" textlink="">
          <xdr:nvSpPr>
            <xdr:cNvPr id="6" name="Shape 4">
              <a:extLst>
                <a:ext uri="{FF2B5EF4-FFF2-40B4-BE49-F238E27FC236}">
                  <a16:creationId xmlns:a16="http://schemas.microsoft.com/office/drawing/2014/main" id="{F52006A8-A5E8-C3F1-9A0F-729462EC9EFF}"/>
                </a:ext>
              </a:extLst>
            </xdr:cNvPr>
            <xdr:cNvSpPr/>
          </xdr:nvSpPr>
          <xdr:spPr>
            <a:xfrm>
              <a:off x="2107500" y="3608550"/>
              <a:ext cx="6477000" cy="3429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7" name="Shape 22">
              <a:extLst>
                <a:ext uri="{FF2B5EF4-FFF2-40B4-BE49-F238E27FC236}">
                  <a16:creationId xmlns:a16="http://schemas.microsoft.com/office/drawing/2014/main" id="{A2A0B082-36C6-5A85-D19A-7717C6C06D51}"/>
                </a:ext>
              </a:extLst>
            </xdr:cNvPr>
            <xdr:cNvGrpSpPr/>
          </xdr:nvGrpSpPr>
          <xdr:grpSpPr>
            <a:xfrm>
              <a:off x="2107500" y="3608550"/>
              <a:ext cx="6477001" cy="342900"/>
              <a:chOff x="2126550" y="3627600"/>
              <a:chExt cx="6438900" cy="304800"/>
            </a:xfrm>
          </xdr:grpSpPr>
          <xdr:sp macro="" textlink="">
            <xdr:nvSpPr>
              <xdr:cNvPr id="8" name="Shape 23">
                <a:extLst>
                  <a:ext uri="{FF2B5EF4-FFF2-40B4-BE49-F238E27FC236}">
                    <a16:creationId xmlns:a16="http://schemas.microsoft.com/office/drawing/2014/main" id="{060C13D1-9EDE-D30C-316D-365B3CDC4778}"/>
                  </a:ext>
                </a:extLst>
              </xdr:cNvPr>
              <xdr:cNvSpPr/>
            </xdr:nvSpPr>
            <xdr:spPr>
              <a:xfrm>
                <a:off x="2126550" y="3627600"/>
                <a:ext cx="6438900" cy="3048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9" name="Shape 24">
                <a:extLst>
                  <a:ext uri="{FF2B5EF4-FFF2-40B4-BE49-F238E27FC236}">
                    <a16:creationId xmlns:a16="http://schemas.microsoft.com/office/drawing/2014/main" id="{66226E1A-A615-50EB-6BBE-2221F9EEFCFB}"/>
                  </a:ext>
                </a:extLst>
              </xdr:cNvPr>
              <xdr:cNvCxnSpPr/>
            </xdr:nvCxnSpPr>
            <xdr:spPr>
              <a:xfrm rot="10800000">
                <a:off x="2126550" y="3627600"/>
                <a:ext cx="6438900" cy="304800"/>
              </a:xfrm>
              <a:prstGeom prst="straightConnector1">
                <a:avLst/>
              </a:prstGeom>
              <a:noFill/>
              <a:ln w="38100" cap="flat" cmpd="sng">
                <a:solidFill>
                  <a:schemeClr val="accent1"/>
                </a:solidFill>
                <a:prstDash val="solid"/>
                <a:miter lim="800000"/>
                <a:headEnd type="none" w="sm" len="sm"/>
                <a:tailEnd type="triangle" w="med" len="med"/>
              </a:ln>
            </xdr:spPr>
          </xdr:cxnSp>
        </xdr:grpSp>
      </xdr:grpSp>
    </xdr:grpSp>
    <xdr:clientData fLocksWithSheet="0"/>
  </xdr:oneCellAnchor>
  <xdr:oneCellAnchor>
    <xdr:from>
      <xdr:col>10</xdr:col>
      <xdr:colOff>38100</xdr:colOff>
      <xdr:row>46</xdr:row>
      <xdr:rowOff>123825</xdr:rowOff>
    </xdr:from>
    <xdr:ext cx="1476375" cy="457200"/>
    <xdr:sp macro="" textlink="">
      <xdr:nvSpPr>
        <xdr:cNvPr id="10" name="Shape 25">
          <a:extLst>
            <a:ext uri="{FF2B5EF4-FFF2-40B4-BE49-F238E27FC236}">
              <a16:creationId xmlns:a16="http://schemas.microsoft.com/office/drawing/2014/main" id="{E7E4723E-CEA8-403D-9ED2-3324FAFFE6E1}"/>
            </a:ext>
          </a:extLst>
        </xdr:cNvPr>
        <xdr:cNvSpPr/>
      </xdr:nvSpPr>
      <xdr:spPr>
        <a:xfrm rot="10800000" flipH="1">
          <a:off x="10995660" y="11584305"/>
          <a:ext cx="1476375" cy="457200"/>
        </a:xfrm>
        <a:prstGeom prst="ellipse">
          <a:avLst/>
        </a:prstGeom>
        <a:noFill/>
        <a:ln w="38100" cap="flat" cmpd="sng">
          <a:solidFill>
            <a:srgbClr val="517E33"/>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5</xdr:col>
      <xdr:colOff>361950</xdr:colOff>
      <xdr:row>40</xdr:row>
      <xdr:rowOff>95250</xdr:rowOff>
    </xdr:from>
    <xdr:ext cx="3619500" cy="1362075"/>
    <xdr:grpSp>
      <xdr:nvGrpSpPr>
        <xdr:cNvPr id="11" name="Shape 2">
          <a:extLst>
            <a:ext uri="{FF2B5EF4-FFF2-40B4-BE49-F238E27FC236}">
              <a16:creationId xmlns:a16="http://schemas.microsoft.com/office/drawing/2014/main" id="{E957E665-500B-4407-A2D6-B49C5941610A}"/>
            </a:ext>
          </a:extLst>
        </xdr:cNvPr>
        <xdr:cNvGrpSpPr/>
      </xdr:nvGrpSpPr>
      <xdr:grpSpPr>
        <a:xfrm>
          <a:off x="7445086" y="7091795"/>
          <a:ext cx="3619500" cy="1362075"/>
          <a:chOff x="3536250" y="3098963"/>
          <a:chExt cx="3619500" cy="1362075"/>
        </a:xfrm>
      </xdr:grpSpPr>
      <xdr:grpSp>
        <xdr:nvGrpSpPr>
          <xdr:cNvPr id="12" name="Shape 26">
            <a:extLst>
              <a:ext uri="{FF2B5EF4-FFF2-40B4-BE49-F238E27FC236}">
                <a16:creationId xmlns:a16="http://schemas.microsoft.com/office/drawing/2014/main" id="{9E7EF17C-554B-78B9-80C2-4EB8D62FEAAE}"/>
              </a:ext>
            </a:extLst>
          </xdr:cNvPr>
          <xdr:cNvGrpSpPr/>
        </xdr:nvGrpSpPr>
        <xdr:grpSpPr>
          <a:xfrm>
            <a:off x="3536250" y="3098963"/>
            <a:ext cx="3619500" cy="1362075"/>
            <a:chOff x="3536250" y="3098963"/>
            <a:chExt cx="3619500" cy="1362075"/>
          </a:xfrm>
        </xdr:grpSpPr>
        <xdr:sp macro="" textlink="">
          <xdr:nvSpPr>
            <xdr:cNvPr id="13" name="Shape 4">
              <a:extLst>
                <a:ext uri="{FF2B5EF4-FFF2-40B4-BE49-F238E27FC236}">
                  <a16:creationId xmlns:a16="http://schemas.microsoft.com/office/drawing/2014/main" id="{08E3B021-67DB-5E33-38DA-CCB3474E2591}"/>
                </a:ext>
              </a:extLst>
            </xdr:cNvPr>
            <xdr:cNvSpPr/>
          </xdr:nvSpPr>
          <xdr:spPr>
            <a:xfrm>
              <a:off x="3536250" y="3098963"/>
              <a:ext cx="3619500" cy="13620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14" name="Shape 27">
              <a:extLst>
                <a:ext uri="{FF2B5EF4-FFF2-40B4-BE49-F238E27FC236}">
                  <a16:creationId xmlns:a16="http://schemas.microsoft.com/office/drawing/2014/main" id="{EADD6B8D-47B3-DF5C-2BF7-6223F970233F}"/>
                </a:ext>
              </a:extLst>
            </xdr:cNvPr>
            <xdr:cNvGrpSpPr/>
          </xdr:nvGrpSpPr>
          <xdr:grpSpPr>
            <a:xfrm>
              <a:off x="3536250" y="3098963"/>
              <a:ext cx="3619500" cy="1362075"/>
              <a:chOff x="3555300" y="3118088"/>
              <a:chExt cx="3581400" cy="1323900"/>
            </a:xfrm>
          </xdr:grpSpPr>
          <xdr:sp macro="" textlink="">
            <xdr:nvSpPr>
              <xdr:cNvPr id="15" name="Shape 28">
                <a:extLst>
                  <a:ext uri="{FF2B5EF4-FFF2-40B4-BE49-F238E27FC236}">
                    <a16:creationId xmlns:a16="http://schemas.microsoft.com/office/drawing/2014/main" id="{D0F49585-D0FE-5EFD-1E56-49978C4EC7F0}"/>
                  </a:ext>
                </a:extLst>
              </xdr:cNvPr>
              <xdr:cNvSpPr/>
            </xdr:nvSpPr>
            <xdr:spPr>
              <a:xfrm>
                <a:off x="3555300" y="3118088"/>
                <a:ext cx="3581400" cy="13239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16" name="Shape 29">
                <a:extLst>
                  <a:ext uri="{FF2B5EF4-FFF2-40B4-BE49-F238E27FC236}">
                    <a16:creationId xmlns:a16="http://schemas.microsoft.com/office/drawing/2014/main" id="{9D7E056E-21AF-BE22-C4F7-7D4620D6A534}"/>
                  </a:ext>
                </a:extLst>
              </xdr:cNvPr>
              <xdr:cNvCxnSpPr>
                <a:stCxn id="55" idx="2"/>
              </xdr:cNvCxnSpPr>
            </xdr:nvCxnSpPr>
            <xdr:spPr>
              <a:xfrm rot="10800000">
                <a:off x="3555300" y="3118088"/>
                <a:ext cx="3581400" cy="1323900"/>
              </a:xfrm>
              <a:prstGeom prst="straightConnector1">
                <a:avLst/>
              </a:prstGeom>
              <a:noFill/>
              <a:ln w="38100" cap="flat" cmpd="sng">
                <a:solidFill>
                  <a:schemeClr val="accent6"/>
                </a:solidFill>
                <a:prstDash val="solid"/>
                <a:miter lim="800000"/>
                <a:headEnd type="none" w="sm" len="sm"/>
                <a:tailEnd type="triangle" w="med" len="med"/>
              </a:ln>
            </xdr:spPr>
          </xdr:cxnSp>
        </xdr:grpSp>
      </xdr:grpSp>
    </xdr:grpSp>
    <xdr:clientData fLocksWithSheet="0"/>
  </xdr:oneCellAnchor>
  <xdr:oneCellAnchor>
    <xdr:from>
      <xdr:col>9</xdr:col>
      <xdr:colOff>571500</xdr:colOff>
      <xdr:row>48</xdr:row>
      <xdr:rowOff>47625</xdr:rowOff>
    </xdr:from>
    <xdr:ext cx="2066925" cy="419100"/>
    <xdr:sp macro="" textlink="">
      <xdr:nvSpPr>
        <xdr:cNvPr id="17" name="Shape 30">
          <a:extLst>
            <a:ext uri="{FF2B5EF4-FFF2-40B4-BE49-F238E27FC236}">
              <a16:creationId xmlns:a16="http://schemas.microsoft.com/office/drawing/2014/main" id="{CC6D7417-68A7-4C65-ACD5-F50DEA9B744B}"/>
            </a:ext>
          </a:extLst>
        </xdr:cNvPr>
        <xdr:cNvSpPr/>
      </xdr:nvSpPr>
      <xdr:spPr>
        <a:xfrm rot="10800000" flipH="1">
          <a:off x="10812780" y="11881485"/>
          <a:ext cx="2066925" cy="419100"/>
        </a:xfrm>
        <a:prstGeom prst="ellipse">
          <a:avLst/>
        </a:prstGeom>
        <a:noFill/>
        <a:ln w="38100" cap="flat" cmpd="sng">
          <a:solidFill>
            <a:srgbClr val="BA8C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180975</xdr:colOff>
      <xdr:row>42</xdr:row>
      <xdr:rowOff>104775</xdr:rowOff>
    </xdr:from>
    <xdr:ext cx="4200525" cy="1276350"/>
    <xdr:grpSp>
      <xdr:nvGrpSpPr>
        <xdr:cNvPr id="18" name="Shape 2">
          <a:extLst>
            <a:ext uri="{FF2B5EF4-FFF2-40B4-BE49-F238E27FC236}">
              <a16:creationId xmlns:a16="http://schemas.microsoft.com/office/drawing/2014/main" id="{A8026D46-CCE3-471D-9DE1-8B818F134FC8}"/>
            </a:ext>
          </a:extLst>
        </xdr:cNvPr>
        <xdr:cNvGrpSpPr/>
      </xdr:nvGrpSpPr>
      <xdr:grpSpPr>
        <a:xfrm>
          <a:off x="6545407" y="7447684"/>
          <a:ext cx="4200525" cy="1276350"/>
          <a:chOff x="3245738" y="3141825"/>
          <a:chExt cx="4200526" cy="1276350"/>
        </a:xfrm>
      </xdr:grpSpPr>
      <xdr:grpSp>
        <xdr:nvGrpSpPr>
          <xdr:cNvPr id="19" name="Shape 31">
            <a:extLst>
              <a:ext uri="{FF2B5EF4-FFF2-40B4-BE49-F238E27FC236}">
                <a16:creationId xmlns:a16="http://schemas.microsoft.com/office/drawing/2014/main" id="{ADA466E8-8C75-0B78-F523-9CB9A997E3CF}"/>
              </a:ext>
            </a:extLst>
          </xdr:cNvPr>
          <xdr:cNvGrpSpPr/>
        </xdr:nvGrpSpPr>
        <xdr:grpSpPr>
          <a:xfrm>
            <a:off x="3245738" y="3141825"/>
            <a:ext cx="4200526" cy="1276350"/>
            <a:chOff x="3245738" y="3141825"/>
            <a:chExt cx="4200526" cy="1276350"/>
          </a:xfrm>
        </xdr:grpSpPr>
        <xdr:sp macro="" textlink="">
          <xdr:nvSpPr>
            <xdr:cNvPr id="20" name="Shape 4">
              <a:extLst>
                <a:ext uri="{FF2B5EF4-FFF2-40B4-BE49-F238E27FC236}">
                  <a16:creationId xmlns:a16="http://schemas.microsoft.com/office/drawing/2014/main" id="{0BC37DB0-479F-364D-14FA-21C9314F0B02}"/>
                </a:ext>
              </a:extLst>
            </xdr:cNvPr>
            <xdr:cNvSpPr/>
          </xdr:nvSpPr>
          <xdr:spPr>
            <a:xfrm>
              <a:off x="3245738" y="3141825"/>
              <a:ext cx="4200525" cy="12763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21" name="Shape 32">
              <a:extLst>
                <a:ext uri="{FF2B5EF4-FFF2-40B4-BE49-F238E27FC236}">
                  <a16:creationId xmlns:a16="http://schemas.microsoft.com/office/drawing/2014/main" id="{8E308757-31A0-C6BA-8D09-4C55A6001D62}"/>
                </a:ext>
              </a:extLst>
            </xdr:cNvPr>
            <xdr:cNvGrpSpPr/>
          </xdr:nvGrpSpPr>
          <xdr:grpSpPr>
            <a:xfrm>
              <a:off x="3245738" y="3141825"/>
              <a:ext cx="4200525" cy="1276350"/>
              <a:chOff x="3264788" y="3156113"/>
              <a:chExt cx="4162425" cy="1247775"/>
            </a:xfrm>
          </xdr:grpSpPr>
          <xdr:sp macro="" textlink="">
            <xdr:nvSpPr>
              <xdr:cNvPr id="22" name="Shape 33">
                <a:extLst>
                  <a:ext uri="{FF2B5EF4-FFF2-40B4-BE49-F238E27FC236}">
                    <a16:creationId xmlns:a16="http://schemas.microsoft.com/office/drawing/2014/main" id="{B5463AD1-5F8A-FC06-6A2D-3A9E1DC4974E}"/>
                  </a:ext>
                </a:extLst>
              </xdr:cNvPr>
              <xdr:cNvSpPr/>
            </xdr:nvSpPr>
            <xdr:spPr>
              <a:xfrm>
                <a:off x="3264788" y="3156113"/>
                <a:ext cx="4162425" cy="12477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23" name="Shape 34">
                <a:extLst>
                  <a:ext uri="{FF2B5EF4-FFF2-40B4-BE49-F238E27FC236}">
                    <a16:creationId xmlns:a16="http://schemas.microsoft.com/office/drawing/2014/main" id="{3CDD809F-AB60-F93A-D66D-72E1987C6EF0}"/>
                  </a:ext>
                </a:extLst>
              </xdr:cNvPr>
              <xdr:cNvCxnSpPr/>
            </xdr:nvCxnSpPr>
            <xdr:spPr>
              <a:xfrm rot="10800000">
                <a:off x="3264788" y="3156113"/>
                <a:ext cx="4162425" cy="1247775"/>
              </a:xfrm>
              <a:prstGeom prst="straightConnector1">
                <a:avLst/>
              </a:prstGeom>
              <a:noFill/>
              <a:ln w="38100" cap="flat" cmpd="sng">
                <a:solidFill>
                  <a:schemeClr val="accent4"/>
                </a:solidFill>
                <a:prstDash val="solid"/>
                <a:miter lim="800000"/>
                <a:headEnd type="none" w="sm" len="sm"/>
                <a:tailEnd type="triangle" w="med" len="med"/>
              </a:ln>
            </xdr:spPr>
          </xdr:cxnSp>
        </xdr:grpSp>
      </xdr:grpSp>
    </xdr:grpSp>
    <xdr:clientData fLocksWithSheet="0"/>
  </xdr:oneCellAnchor>
  <xdr:oneCellAnchor>
    <xdr:from>
      <xdr:col>9</xdr:col>
      <xdr:colOff>600075</xdr:colOff>
      <xdr:row>50</xdr:row>
      <xdr:rowOff>-38100</xdr:rowOff>
    </xdr:from>
    <xdr:ext cx="2076450" cy="428625"/>
    <xdr:sp macro="" textlink="">
      <xdr:nvSpPr>
        <xdr:cNvPr id="24" name="Shape 35">
          <a:extLst>
            <a:ext uri="{FF2B5EF4-FFF2-40B4-BE49-F238E27FC236}">
              <a16:creationId xmlns:a16="http://schemas.microsoft.com/office/drawing/2014/main" id="{EEA711C4-60D3-41EC-B28E-E23BF3FEBB53}"/>
            </a:ext>
          </a:extLst>
        </xdr:cNvPr>
        <xdr:cNvSpPr/>
      </xdr:nvSpPr>
      <xdr:spPr>
        <a:xfrm rot="10800000" flipH="1">
          <a:off x="10841355" y="12146280"/>
          <a:ext cx="2076450" cy="428625"/>
        </a:xfrm>
        <a:prstGeom prst="ellipse">
          <a:avLst/>
        </a:prstGeom>
        <a:noFill/>
        <a:ln w="38100" cap="flat" cmpd="sng">
          <a:solidFill>
            <a:schemeClr val="dk1"/>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66675</xdr:colOff>
      <xdr:row>44</xdr:row>
      <xdr:rowOff>95250</xdr:rowOff>
    </xdr:from>
    <xdr:ext cx="4381500" cy="1200150"/>
    <xdr:grpSp>
      <xdr:nvGrpSpPr>
        <xdr:cNvPr id="25" name="Shape 2">
          <a:extLst>
            <a:ext uri="{FF2B5EF4-FFF2-40B4-BE49-F238E27FC236}">
              <a16:creationId xmlns:a16="http://schemas.microsoft.com/office/drawing/2014/main" id="{70C75DC4-B5CE-4D17-9D50-EE8AAD29296C}"/>
            </a:ext>
          </a:extLst>
        </xdr:cNvPr>
        <xdr:cNvGrpSpPr/>
      </xdr:nvGrpSpPr>
      <xdr:grpSpPr>
        <a:xfrm>
          <a:off x="6431107" y="7784523"/>
          <a:ext cx="4381500" cy="1200150"/>
          <a:chOff x="3155250" y="3179925"/>
          <a:chExt cx="4381500" cy="1200150"/>
        </a:xfrm>
      </xdr:grpSpPr>
      <xdr:grpSp>
        <xdr:nvGrpSpPr>
          <xdr:cNvPr id="26" name="Shape 36">
            <a:extLst>
              <a:ext uri="{FF2B5EF4-FFF2-40B4-BE49-F238E27FC236}">
                <a16:creationId xmlns:a16="http://schemas.microsoft.com/office/drawing/2014/main" id="{A0012A36-40AD-D366-8EB6-F4C9E86FF1CB}"/>
              </a:ext>
            </a:extLst>
          </xdr:cNvPr>
          <xdr:cNvGrpSpPr/>
        </xdr:nvGrpSpPr>
        <xdr:grpSpPr>
          <a:xfrm>
            <a:off x="3155250" y="3179925"/>
            <a:ext cx="4381500" cy="1200150"/>
            <a:chOff x="3155250" y="3179925"/>
            <a:chExt cx="4381500" cy="1200150"/>
          </a:xfrm>
        </xdr:grpSpPr>
        <xdr:sp macro="" textlink="">
          <xdr:nvSpPr>
            <xdr:cNvPr id="27" name="Shape 4">
              <a:extLst>
                <a:ext uri="{FF2B5EF4-FFF2-40B4-BE49-F238E27FC236}">
                  <a16:creationId xmlns:a16="http://schemas.microsoft.com/office/drawing/2014/main" id="{AEAD3EC9-CBF0-484A-B9B6-73DD32E5C2D2}"/>
                </a:ext>
              </a:extLst>
            </xdr:cNvPr>
            <xdr:cNvSpPr/>
          </xdr:nvSpPr>
          <xdr:spPr>
            <a:xfrm>
              <a:off x="3155250" y="3179925"/>
              <a:ext cx="4381500" cy="1200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28" name="Shape 37">
              <a:extLst>
                <a:ext uri="{FF2B5EF4-FFF2-40B4-BE49-F238E27FC236}">
                  <a16:creationId xmlns:a16="http://schemas.microsoft.com/office/drawing/2014/main" id="{A953F1B2-62A6-9BC8-843C-72D061CEBEC9}"/>
                </a:ext>
              </a:extLst>
            </xdr:cNvPr>
            <xdr:cNvGrpSpPr/>
          </xdr:nvGrpSpPr>
          <xdr:grpSpPr>
            <a:xfrm>
              <a:off x="3155250" y="3179925"/>
              <a:ext cx="4381500" cy="1200150"/>
              <a:chOff x="3174300" y="3199125"/>
              <a:chExt cx="4343400" cy="1161900"/>
            </a:xfrm>
          </xdr:grpSpPr>
          <xdr:sp macro="" textlink="">
            <xdr:nvSpPr>
              <xdr:cNvPr id="29" name="Shape 38">
                <a:extLst>
                  <a:ext uri="{FF2B5EF4-FFF2-40B4-BE49-F238E27FC236}">
                    <a16:creationId xmlns:a16="http://schemas.microsoft.com/office/drawing/2014/main" id="{210D6855-7323-5C54-A263-F94360999A40}"/>
                  </a:ext>
                </a:extLst>
              </xdr:cNvPr>
              <xdr:cNvSpPr/>
            </xdr:nvSpPr>
            <xdr:spPr>
              <a:xfrm>
                <a:off x="3174300" y="3199125"/>
                <a:ext cx="4343400" cy="11619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30" name="Shape 39">
                <a:extLst>
                  <a:ext uri="{FF2B5EF4-FFF2-40B4-BE49-F238E27FC236}">
                    <a16:creationId xmlns:a16="http://schemas.microsoft.com/office/drawing/2014/main" id="{60150C30-56E7-11D3-23A0-1B3B7A4B8189}"/>
                  </a:ext>
                </a:extLst>
              </xdr:cNvPr>
              <xdr:cNvCxnSpPr>
                <a:stCxn id="24" idx="2"/>
              </xdr:cNvCxnSpPr>
            </xdr:nvCxnSpPr>
            <xdr:spPr>
              <a:xfrm rot="10800000">
                <a:off x="3174300" y="3199125"/>
                <a:ext cx="4343400" cy="1161900"/>
              </a:xfrm>
              <a:prstGeom prst="straightConnector1">
                <a:avLst/>
              </a:prstGeom>
              <a:noFill/>
              <a:ln w="38100" cap="flat" cmpd="sng">
                <a:solidFill>
                  <a:schemeClr val="dk1"/>
                </a:solidFill>
                <a:prstDash val="solid"/>
                <a:miter lim="800000"/>
                <a:headEnd type="none" w="sm" len="sm"/>
                <a:tailEnd type="triangle" w="med" len="med"/>
              </a:ln>
            </xdr:spPr>
          </xdr:cxnSp>
        </xdr:grpSp>
      </xdr:grpSp>
    </xdr:grpSp>
    <xdr:clientData fLocksWithSheet="0"/>
  </xdr:oneCellAnchor>
  <xdr:oneCellAnchor>
    <xdr:from>
      <xdr:col>5</xdr:col>
      <xdr:colOff>352425</xdr:colOff>
      <xdr:row>54</xdr:row>
      <xdr:rowOff>66675</xdr:rowOff>
    </xdr:from>
    <xdr:ext cx="1524000" cy="552450"/>
    <xdr:sp macro="" textlink="">
      <xdr:nvSpPr>
        <xdr:cNvPr id="31" name="Shape 40">
          <a:extLst>
            <a:ext uri="{FF2B5EF4-FFF2-40B4-BE49-F238E27FC236}">
              <a16:creationId xmlns:a16="http://schemas.microsoft.com/office/drawing/2014/main" id="{5CDAA567-CFB6-4A96-BE2E-673D76A20187}"/>
            </a:ext>
          </a:extLst>
        </xdr:cNvPr>
        <xdr:cNvSpPr/>
      </xdr:nvSpPr>
      <xdr:spPr>
        <a:xfrm>
          <a:off x="7431405" y="12952095"/>
          <a:ext cx="1524000" cy="552450"/>
        </a:xfrm>
        <a:prstGeom prst="ellipse">
          <a:avLst/>
        </a:prstGeom>
        <a:noFill/>
        <a:ln w="38100" cap="flat" cmpd="sng">
          <a:solidFill>
            <a:srgbClr val="AC5B23"/>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57150</xdr:colOff>
      <xdr:row>46</xdr:row>
      <xdr:rowOff>66675</xdr:rowOff>
    </xdr:from>
    <xdr:ext cx="1066800" cy="1752600"/>
    <xdr:grpSp>
      <xdr:nvGrpSpPr>
        <xdr:cNvPr id="32" name="Shape 2">
          <a:extLst>
            <a:ext uri="{FF2B5EF4-FFF2-40B4-BE49-F238E27FC236}">
              <a16:creationId xmlns:a16="http://schemas.microsoft.com/office/drawing/2014/main" id="{D7947CF3-2042-4604-BCF7-54134B0624CF}"/>
            </a:ext>
          </a:extLst>
        </xdr:cNvPr>
        <xdr:cNvGrpSpPr/>
      </xdr:nvGrpSpPr>
      <xdr:grpSpPr>
        <a:xfrm>
          <a:off x="6421582" y="8102311"/>
          <a:ext cx="1066800" cy="1752600"/>
          <a:chOff x="4812600" y="2903700"/>
          <a:chExt cx="1066800" cy="1752600"/>
        </a:xfrm>
      </xdr:grpSpPr>
      <xdr:grpSp>
        <xdr:nvGrpSpPr>
          <xdr:cNvPr id="33" name="Shape 41">
            <a:extLst>
              <a:ext uri="{FF2B5EF4-FFF2-40B4-BE49-F238E27FC236}">
                <a16:creationId xmlns:a16="http://schemas.microsoft.com/office/drawing/2014/main" id="{A4B1D163-0E02-4CA1-2E55-0F34899D3633}"/>
              </a:ext>
            </a:extLst>
          </xdr:cNvPr>
          <xdr:cNvGrpSpPr/>
        </xdr:nvGrpSpPr>
        <xdr:grpSpPr>
          <a:xfrm>
            <a:off x="4812600" y="2903700"/>
            <a:ext cx="1066800" cy="1752600"/>
            <a:chOff x="4812600" y="2903700"/>
            <a:chExt cx="1066800" cy="1752600"/>
          </a:xfrm>
        </xdr:grpSpPr>
        <xdr:sp macro="" textlink="">
          <xdr:nvSpPr>
            <xdr:cNvPr id="34" name="Shape 4">
              <a:extLst>
                <a:ext uri="{FF2B5EF4-FFF2-40B4-BE49-F238E27FC236}">
                  <a16:creationId xmlns:a16="http://schemas.microsoft.com/office/drawing/2014/main" id="{BC15BA65-C63A-11A2-6E82-933453F124A9}"/>
                </a:ext>
              </a:extLst>
            </xdr:cNvPr>
            <xdr:cNvSpPr/>
          </xdr:nvSpPr>
          <xdr:spPr>
            <a:xfrm>
              <a:off x="4812600" y="2903700"/>
              <a:ext cx="1066800" cy="1752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35" name="Shape 42">
              <a:extLst>
                <a:ext uri="{FF2B5EF4-FFF2-40B4-BE49-F238E27FC236}">
                  <a16:creationId xmlns:a16="http://schemas.microsoft.com/office/drawing/2014/main" id="{B54BC55F-EBCC-C181-BCF7-2C6549248DD8}"/>
                </a:ext>
              </a:extLst>
            </xdr:cNvPr>
            <xdr:cNvGrpSpPr/>
          </xdr:nvGrpSpPr>
          <xdr:grpSpPr>
            <a:xfrm>
              <a:off x="4812600" y="2903700"/>
              <a:ext cx="1066800" cy="1752600"/>
              <a:chOff x="4831650" y="2922750"/>
              <a:chExt cx="1028700" cy="1714500"/>
            </a:xfrm>
          </xdr:grpSpPr>
          <xdr:sp macro="" textlink="">
            <xdr:nvSpPr>
              <xdr:cNvPr id="36" name="Shape 43">
                <a:extLst>
                  <a:ext uri="{FF2B5EF4-FFF2-40B4-BE49-F238E27FC236}">
                    <a16:creationId xmlns:a16="http://schemas.microsoft.com/office/drawing/2014/main" id="{C4E6F09F-8A05-AC72-0F2D-F9268657FAFE}"/>
                  </a:ext>
                </a:extLst>
              </xdr:cNvPr>
              <xdr:cNvSpPr/>
            </xdr:nvSpPr>
            <xdr:spPr>
              <a:xfrm>
                <a:off x="4831650" y="2922750"/>
                <a:ext cx="1028700" cy="17145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37" name="Shape 44">
                <a:extLst>
                  <a:ext uri="{FF2B5EF4-FFF2-40B4-BE49-F238E27FC236}">
                    <a16:creationId xmlns:a16="http://schemas.microsoft.com/office/drawing/2014/main" id="{FF311F98-746A-34B8-ADBF-53D478B590EE}"/>
                  </a:ext>
                </a:extLst>
              </xdr:cNvPr>
              <xdr:cNvCxnSpPr>
                <a:stCxn id="31" idx="2"/>
              </xdr:cNvCxnSpPr>
            </xdr:nvCxnSpPr>
            <xdr:spPr>
              <a:xfrm rot="10800000">
                <a:off x="4831650" y="2922750"/>
                <a:ext cx="1028700" cy="1714500"/>
              </a:xfrm>
              <a:prstGeom prst="straightConnector1">
                <a:avLst/>
              </a:prstGeom>
              <a:noFill/>
              <a:ln w="38100" cap="flat" cmpd="sng">
                <a:solidFill>
                  <a:schemeClr val="accent2"/>
                </a:solidFill>
                <a:prstDash val="solid"/>
                <a:miter lim="800000"/>
                <a:headEnd type="none" w="sm" len="sm"/>
                <a:tailEnd type="triangle" w="med" len="med"/>
              </a:ln>
            </xdr:spPr>
          </xdr:cxnSp>
        </xdr:grpSp>
      </xdr:grpSp>
    </xdr:grpSp>
    <xdr:clientData fLocksWithSheet="0"/>
  </xdr:oneCellAnchor>
  <xdr:oneCellAnchor>
    <xdr:from>
      <xdr:col>9</xdr:col>
      <xdr:colOff>638175</xdr:colOff>
      <xdr:row>54</xdr:row>
      <xdr:rowOff>28575</xdr:rowOff>
    </xdr:from>
    <xdr:ext cx="1104900" cy="581025"/>
    <xdr:sp macro="" textlink="">
      <xdr:nvSpPr>
        <xdr:cNvPr id="38" name="Shape 45">
          <a:extLst>
            <a:ext uri="{FF2B5EF4-FFF2-40B4-BE49-F238E27FC236}">
              <a16:creationId xmlns:a16="http://schemas.microsoft.com/office/drawing/2014/main" id="{041A05BE-AB4E-4852-94FD-A2EA7952EDC4}"/>
            </a:ext>
          </a:extLst>
        </xdr:cNvPr>
        <xdr:cNvSpPr/>
      </xdr:nvSpPr>
      <xdr:spPr>
        <a:xfrm>
          <a:off x="10879455" y="12913995"/>
          <a:ext cx="1104900" cy="581025"/>
        </a:xfrm>
        <a:prstGeom prst="ellipse">
          <a:avLst/>
        </a:prstGeom>
        <a:noFill/>
        <a:ln w="38100" cap="flat" cmpd="sng">
          <a:solidFill>
            <a:srgbClr val="FF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xdr:col>
      <xdr:colOff>2581275</xdr:colOff>
      <xdr:row>48</xdr:row>
      <xdr:rowOff>95250</xdr:rowOff>
    </xdr:from>
    <xdr:ext cx="6543675" cy="1352550"/>
    <xdr:grpSp>
      <xdr:nvGrpSpPr>
        <xdr:cNvPr id="39" name="Shape 2">
          <a:extLst>
            <a:ext uri="{FF2B5EF4-FFF2-40B4-BE49-F238E27FC236}">
              <a16:creationId xmlns:a16="http://schemas.microsoft.com/office/drawing/2014/main" id="{13883825-3CA9-4060-B595-2E643877F858}"/>
            </a:ext>
          </a:extLst>
        </xdr:cNvPr>
        <xdr:cNvGrpSpPr/>
      </xdr:nvGrpSpPr>
      <xdr:grpSpPr>
        <a:xfrm>
          <a:off x="3611707" y="8503227"/>
          <a:ext cx="6543675" cy="1352550"/>
          <a:chOff x="2074163" y="3103725"/>
          <a:chExt cx="6543675" cy="1352550"/>
        </a:xfrm>
      </xdr:grpSpPr>
      <xdr:grpSp>
        <xdr:nvGrpSpPr>
          <xdr:cNvPr id="40" name="Shape 46">
            <a:extLst>
              <a:ext uri="{FF2B5EF4-FFF2-40B4-BE49-F238E27FC236}">
                <a16:creationId xmlns:a16="http://schemas.microsoft.com/office/drawing/2014/main" id="{0C0FA5A5-BD71-04B0-877C-C04B6457FDC7}"/>
              </a:ext>
            </a:extLst>
          </xdr:cNvPr>
          <xdr:cNvGrpSpPr/>
        </xdr:nvGrpSpPr>
        <xdr:grpSpPr>
          <a:xfrm>
            <a:off x="2074163" y="3103725"/>
            <a:ext cx="6543675" cy="1352550"/>
            <a:chOff x="2074163" y="3103725"/>
            <a:chExt cx="6543675" cy="1352550"/>
          </a:xfrm>
        </xdr:grpSpPr>
        <xdr:sp macro="" textlink="">
          <xdr:nvSpPr>
            <xdr:cNvPr id="41" name="Shape 4">
              <a:extLst>
                <a:ext uri="{FF2B5EF4-FFF2-40B4-BE49-F238E27FC236}">
                  <a16:creationId xmlns:a16="http://schemas.microsoft.com/office/drawing/2014/main" id="{3F3B8F20-EA3A-97D9-5C9A-DF32DDD47977}"/>
                </a:ext>
              </a:extLst>
            </xdr:cNvPr>
            <xdr:cNvSpPr/>
          </xdr:nvSpPr>
          <xdr:spPr>
            <a:xfrm>
              <a:off x="2074163" y="3103725"/>
              <a:ext cx="6543675" cy="13525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42" name="Shape 47">
              <a:extLst>
                <a:ext uri="{FF2B5EF4-FFF2-40B4-BE49-F238E27FC236}">
                  <a16:creationId xmlns:a16="http://schemas.microsoft.com/office/drawing/2014/main" id="{9C5D5BD2-5A31-CE44-C1DA-27E67B71FC99}"/>
                </a:ext>
              </a:extLst>
            </xdr:cNvPr>
            <xdr:cNvGrpSpPr/>
          </xdr:nvGrpSpPr>
          <xdr:grpSpPr>
            <a:xfrm>
              <a:off x="2074163" y="3103725"/>
              <a:ext cx="6543675" cy="1352550"/>
              <a:chOff x="2093213" y="3122775"/>
              <a:chExt cx="6505575" cy="1314450"/>
            </a:xfrm>
          </xdr:grpSpPr>
          <xdr:sp macro="" textlink="">
            <xdr:nvSpPr>
              <xdr:cNvPr id="43" name="Shape 48">
                <a:extLst>
                  <a:ext uri="{FF2B5EF4-FFF2-40B4-BE49-F238E27FC236}">
                    <a16:creationId xmlns:a16="http://schemas.microsoft.com/office/drawing/2014/main" id="{275E8FAB-1FDD-60DE-5D4E-66B2BC1E74EE}"/>
                  </a:ext>
                </a:extLst>
              </xdr:cNvPr>
              <xdr:cNvSpPr/>
            </xdr:nvSpPr>
            <xdr:spPr>
              <a:xfrm>
                <a:off x="2093213" y="3122775"/>
                <a:ext cx="6505575" cy="13144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44" name="Shape 49">
                <a:extLst>
                  <a:ext uri="{FF2B5EF4-FFF2-40B4-BE49-F238E27FC236}">
                    <a16:creationId xmlns:a16="http://schemas.microsoft.com/office/drawing/2014/main" id="{9EF64F24-4B60-CBAD-3E2D-3DF1E0168667}"/>
                  </a:ext>
                </a:extLst>
              </xdr:cNvPr>
              <xdr:cNvCxnSpPr/>
            </xdr:nvCxnSpPr>
            <xdr:spPr>
              <a:xfrm rot="10800000">
                <a:off x="2093213" y="3122775"/>
                <a:ext cx="6505575" cy="1314450"/>
              </a:xfrm>
              <a:prstGeom prst="straightConnector1">
                <a:avLst/>
              </a:prstGeom>
              <a:noFill/>
              <a:ln w="38100" cap="flat" cmpd="sng">
                <a:solidFill>
                  <a:srgbClr val="FF0000"/>
                </a:solidFill>
                <a:prstDash val="solid"/>
                <a:miter lim="800000"/>
                <a:headEnd type="none" w="sm" len="sm"/>
                <a:tailEnd type="triangle" w="med" len="med"/>
              </a:ln>
            </xdr:spPr>
          </xdr:cxnSp>
        </xdr:grpSp>
      </xdr:grpSp>
    </xdr:grpSp>
    <xdr:clientData fLocksWithSheet="0"/>
  </xdr:oneCellAnchor>
  <xdr:oneCellAnchor>
    <xdr:from>
      <xdr:col>8</xdr:col>
      <xdr:colOff>47625</xdr:colOff>
      <xdr:row>80</xdr:row>
      <xdr:rowOff>85725</xdr:rowOff>
    </xdr:from>
    <xdr:ext cx="3962400" cy="781050"/>
    <xdr:sp macro="" textlink="">
      <xdr:nvSpPr>
        <xdr:cNvPr id="45" name="Shape 50">
          <a:extLst>
            <a:ext uri="{FF2B5EF4-FFF2-40B4-BE49-F238E27FC236}">
              <a16:creationId xmlns:a16="http://schemas.microsoft.com/office/drawing/2014/main" id="{0E4AF4B2-BE34-42BF-B1A2-5AD7D5490C75}"/>
            </a:ext>
          </a:extLst>
        </xdr:cNvPr>
        <xdr:cNvSpPr/>
      </xdr:nvSpPr>
      <xdr:spPr>
        <a:xfrm rot="10800000" flipH="1">
          <a:off x="9641205" y="17626965"/>
          <a:ext cx="3962400" cy="781050"/>
        </a:xfrm>
        <a:prstGeom prst="ellipse">
          <a:avLst/>
        </a:prstGeom>
        <a:noFill/>
        <a:ln w="38100" cap="flat" cmpd="sng">
          <a:solidFill>
            <a:srgbClr val="FF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xdr:col>
      <xdr:colOff>1638300</xdr:colOff>
      <xdr:row>76</xdr:row>
      <xdr:rowOff>123825</xdr:rowOff>
    </xdr:from>
    <xdr:ext cx="6334125" cy="1200150"/>
    <xdr:grpSp>
      <xdr:nvGrpSpPr>
        <xdr:cNvPr id="46" name="Shape 2">
          <a:extLst>
            <a:ext uri="{FF2B5EF4-FFF2-40B4-BE49-F238E27FC236}">
              <a16:creationId xmlns:a16="http://schemas.microsoft.com/office/drawing/2014/main" id="{9F1D4970-F61E-46F6-A137-4A450C72DEE7}"/>
            </a:ext>
          </a:extLst>
        </xdr:cNvPr>
        <xdr:cNvGrpSpPr/>
      </xdr:nvGrpSpPr>
      <xdr:grpSpPr>
        <a:xfrm>
          <a:off x="2668732" y="13484802"/>
          <a:ext cx="6334125" cy="1200150"/>
          <a:chOff x="2178938" y="3179925"/>
          <a:chExt cx="6334125" cy="1200150"/>
        </a:xfrm>
      </xdr:grpSpPr>
      <xdr:grpSp>
        <xdr:nvGrpSpPr>
          <xdr:cNvPr id="47" name="Shape 51">
            <a:extLst>
              <a:ext uri="{FF2B5EF4-FFF2-40B4-BE49-F238E27FC236}">
                <a16:creationId xmlns:a16="http://schemas.microsoft.com/office/drawing/2014/main" id="{9BAFE7E3-AAF2-4109-4221-4A569FAFE090}"/>
              </a:ext>
            </a:extLst>
          </xdr:cNvPr>
          <xdr:cNvGrpSpPr/>
        </xdr:nvGrpSpPr>
        <xdr:grpSpPr>
          <a:xfrm>
            <a:off x="2178938" y="3179925"/>
            <a:ext cx="6334125" cy="1200150"/>
            <a:chOff x="2178938" y="3179925"/>
            <a:chExt cx="6334125" cy="1200150"/>
          </a:xfrm>
        </xdr:grpSpPr>
        <xdr:sp macro="" textlink="">
          <xdr:nvSpPr>
            <xdr:cNvPr id="48" name="Shape 4">
              <a:extLst>
                <a:ext uri="{FF2B5EF4-FFF2-40B4-BE49-F238E27FC236}">
                  <a16:creationId xmlns:a16="http://schemas.microsoft.com/office/drawing/2014/main" id="{BC79F503-5FDB-A6F9-4DA6-5E8892580AB6}"/>
                </a:ext>
              </a:extLst>
            </xdr:cNvPr>
            <xdr:cNvSpPr/>
          </xdr:nvSpPr>
          <xdr:spPr>
            <a:xfrm>
              <a:off x="2178938" y="3179925"/>
              <a:ext cx="6334125" cy="1200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49" name="Shape 52">
              <a:extLst>
                <a:ext uri="{FF2B5EF4-FFF2-40B4-BE49-F238E27FC236}">
                  <a16:creationId xmlns:a16="http://schemas.microsoft.com/office/drawing/2014/main" id="{5BE3EEA7-AE04-4964-3054-3A70AFF5269C}"/>
                </a:ext>
              </a:extLst>
            </xdr:cNvPr>
            <xdr:cNvGrpSpPr/>
          </xdr:nvGrpSpPr>
          <xdr:grpSpPr>
            <a:xfrm>
              <a:off x="2178938" y="3179925"/>
              <a:ext cx="6334125" cy="1200150"/>
              <a:chOff x="2197988" y="3198975"/>
              <a:chExt cx="6296025" cy="1162050"/>
            </a:xfrm>
          </xdr:grpSpPr>
          <xdr:sp macro="" textlink="">
            <xdr:nvSpPr>
              <xdr:cNvPr id="50" name="Shape 53">
                <a:extLst>
                  <a:ext uri="{FF2B5EF4-FFF2-40B4-BE49-F238E27FC236}">
                    <a16:creationId xmlns:a16="http://schemas.microsoft.com/office/drawing/2014/main" id="{D6E4409B-6570-7C1A-F839-858F35862116}"/>
                  </a:ext>
                </a:extLst>
              </xdr:cNvPr>
              <xdr:cNvSpPr/>
            </xdr:nvSpPr>
            <xdr:spPr>
              <a:xfrm>
                <a:off x="2197988" y="3198975"/>
                <a:ext cx="6296025" cy="11620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51" name="Shape 54">
                <a:extLst>
                  <a:ext uri="{FF2B5EF4-FFF2-40B4-BE49-F238E27FC236}">
                    <a16:creationId xmlns:a16="http://schemas.microsoft.com/office/drawing/2014/main" id="{72759398-E872-097C-9B44-DBA764ED86B9}"/>
                  </a:ext>
                </a:extLst>
              </xdr:cNvPr>
              <xdr:cNvCxnSpPr/>
            </xdr:nvCxnSpPr>
            <xdr:spPr>
              <a:xfrm rot="10800000">
                <a:off x="2197988" y="3198975"/>
                <a:ext cx="6296025" cy="1162050"/>
              </a:xfrm>
              <a:prstGeom prst="straightConnector1">
                <a:avLst/>
              </a:prstGeom>
              <a:noFill/>
              <a:ln w="38100" cap="flat" cmpd="sng">
                <a:solidFill>
                  <a:srgbClr val="FF0000"/>
                </a:solidFill>
                <a:prstDash val="solid"/>
                <a:miter lim="800000"/>
                <a:headEnd type="none" w="sm" len="sm"/>
                <a:tailEnd type="triangle" w="med" len="med"/>
              </a:ln>
            </xdr:spPr>
          </xdr:cxnSp>
        </xdr:grpSp>
      </xdr:grpSp>
    </xdr:grpSp>
    <xdr:clientData fLocksWithSheet="0"/>
  </xdr:oneCellAnchor>
  <xdr:oneCellAnchor>
    <xdr:from>
      <xdr:col>5</xdr:col>
      <xdr:colOff>457200</xdr:colOff>
      <xdr:row>84</xdr:row>
      <xdr:rowOff>0</xdr:rowOff>
    </xdr:from>
    <xdr:ext cx="1524000" cy="552450"/>
    <xdr:sp macro="" textlink="">
      <xdr:nvSpPr>
        <xdr:cNvPr id="52" name="Shape 55">
          <a:extLst>
            <a:ext uri="{FF2B5EF4-FFF2-40B4-BE49-F238E27FC236}">
              <a16:creationId xmlns:a16="http://schemas.microsoft.com/office/drawing/2014/main" id="{EE91452E-1EFD-4BFD-AEED-6C786B4BA2A1}"/>
            </a:ext>
          </a:extLst>
        </xdr:cNvPr>
        <xdr:cNvSpPr/>
      </xdr:nvSpPr>
      <xdr:spPr>
        <a:xfrm rot="10800000" flipH="1">
          <a:off x="7536180" y="18242280"/>
          <a:ext cx="1524000" cy="552450"/>
        </a:xfrm>
        <a:prstGeom prst="ellipse">
          <a:avLst/>
        </a:prstGeom>
        <a:noFill/>
        <a:ln w="38100" cap="flat" cmpd="sng">
          <a:solidFill>
            <a:srgbClr val="AC5B23"/>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xdr:col>
      <xdr:colOff>1028700</xdr:colOff>
      <xdr:row>78</xdr:row>
      <xdr:rowOff>104774</xdr:rowOff>
    </xdr:from>
    <xdr:ext cx="4848224" cy="1276351"/>
    <xdr:grpSp>
      <xdr:nvGrpSpPr>
        <xdr:cNvPr id="53" name="Shape 2">
          <a:extLst>
            <a:ext uri="{FF2B5EF4-FFF2-40B4-BE49-F238E27FC236}">
              <a16:creationId xmlns:a16="http://schemas.microsoft.com/office/drawing/2014/main" id="{ED46AB52-A7FB-441F-B6B7-F4A5CEF72463}"/>
            </a:ext>
          </a:extLst>
        </xdr:cNvPr>
        <xdr:cNvGrpSpPr/>
      </xdr:nvGrpSpPr>
      <xdr:grpSpPr>
        <a:xfrm>
          <a:off x="2059132" y="13812115"/>
          <a:ext cx="4848224" cy="1276351"/>
          <a:chOff x="2921888" y="3141824"/>
          <a:chExt cx="4848225" cy="1276351"/>
        </a:xfrm>
      </xdr:grpSpPr>
      <xdr:grpSp>
        <xdr:nvGrpSpPr>
          <xdr:cNvPr id="54" name="Shape 56">
            <a:extLst>
              <a:ext uri="{FF2B5EF4-FFF2-40B4-BE49-F238E27FC236}">
                <a16:creationId xmlns:a16="http://schemas.microsoft.com/office/drawing/2014/main" id="{0CEC86DC-AB8C-A375-58C2-AD20939236B2}"/>
              </a:ext>
            </a:extLst>
          </xdr:cNvPr>
          <xdr:cNvGrpSpPr/>
        </xdr:nvGrpSpPr>
        <xdr:grpSpPr>
          <a:xfrm>
            <a:off x="2921888" y="3141824"/>
            <a:ext cx="4848225" cy="1276351"/>
            <a:chOff x="2921888" y="3141824"/>
            <a:chExt cx="4848225" cy="1276351"/>
          </a:xfrm>
        </xdr:grpSpPr>
        <xdr:sp macro="" textlink="">
          <xdr:nvSpPr>
            <xdr:cNvPr id="55" name="Shape 4">
              <a:extLst>
                <a:ext uri="{FF2B5EF4-FFF2-40B4-BE49-F238E27FC236}">
                  <a16:creationId xmlns:a16="http://schemas.microsoft.com/office/drawing/2014/main" id="{4A236209-62E5-15DC-2FA3-6278B4FB1181}"/>
                </a:ext>
              </a:extLst>
            </xdr:cNvPr>
            <xdr:cNvSpPr/>
          </xdr:nvSpPr>
          <xdr:spPr>
            <a:xfrm>
              <a:off x="2921888" y="3141825"/>
              <a:ext cx="4848225" cy="12763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56" name="Shape 57">
              <a:extLst>
                <a:ext uri="{FF2B5EF4-FFF2-40B4-BE49-F238E27FC236}">
                  <a16:creationId xmlns:a16="http://schemas.microsoft.com/office/drawing/2014/main" id="{60274CA6-62B7-5169-8852-86103F430174}"/>
                </a:ext>
              </a:extLst>
            </xdr:cNvPr>
            <xdr:cNvGrpSpPr/>
          </xdr:nvGrpSpPr>
          <xdr:grpSpPr>
            <a:xfrm>
              <a:off x="2921888" y="3141824"/>
              <a:ext cx="4848225" cy="1276351"/>
              <a:chOff x="2940863" y="3156187"/>
              <a:chExt cx="4810200" cy="1247701"/>
            </a:xfrm>
          </xdr:grpSpPr>
          <xdr:sp macro="" textlink="">
            <xdr:nvSpPr>
              <xdr:cNvPr id="57" name="Shape 58">
                <a:extLst>
                  <a:ext uri="{FF2B5EF4-FFF2-40B4-BE49-F238E27FC236}">
                    <a16:creationId xmlns:a16="http://schemas.microsoft.com/office/drawing/2014/main" id="{80DBC179-F602-9AAC-2BC9-A85BA83E5D62}"/>
                  </a:ext>
                </a:extLst>
              </xdr:cNvPr>
              <xdr:cNvSpPr/>
            </xdr:nvSpPr>
            <xdr:spPr>
              <a:xfrm>
                <a:off x="2940863" y="3156188"/>
                <a:ext cx="4810200" cy="12477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58" name="Shape 59">
                <a:extLst>
                  <a:ext uri="{FF2B5EF4-FFF2-40B4-BE49-F238E27FC236}">
                    <a16:creationId xmlns:a16="http://schemas.microsoft.com/office/drawing/2014/main" id="{BA80AE50-10FB-AAC9-15F0-5EF255C6A25E}"/>
                  </a:ext>
                </a:extLst>
              </xdr:cNvPr>
              <xdr:cNvCxnSpPr>
                <a:stCxn id="49" idx="2"/>
              </xdr:cNvCxnSpPr>
            </xdr:nvCxnSpPr>
            <xdr:spPr>
              <a:xfrm rot="10800000">
                <a:off x="2940863" y="3156187"/>
                <a:ext cx="4810200" cy="1247700"/>
              </a:xfrm>
              <a:prstGeom prst="straightConnector1">
                <a:avLst/>
              </a:prstGeom>
              <a:noFill/>
              <a:ln w="38100" cap="flat" cmpd="sng">
                <a:solidFill>
                  <a:schemeClr val="accent2"/>
                </a:solidFill>
                <a:prstDash val="solid"/>
                <a:miter lim="800000"/>
                <a:headEnd type="none" w="sm" len="sm"/>
                <a:tailEnd type="triangle" w="med" len="med"/>
              </a:ln>
            </xdr:spPr>
          </xdr:cxnSp>
        </xdr:grpSp>
      </xdr:grpSp>
    </xdr:grpSp>
    <xdr:clientData fLocksWithSheet="0"/>
  </xdr:oneCellAnchor>
  <xdr:oneCellAnchor>
    <xdr:from>
      <xdr:col>8</xdr:col>
      <xdr:colOff>85725</xdr:colOff>
      <xdr:row>84</xdr:row>
      <xdr:rowOff>-9525</xdr:rowOff>
    </xdr:from>
    <xdr:ext cx="533400" cy="619125"/>
    <xdr:sp macro="" textlink="">
      <xdr:nvSpPr>
        <xdr:cNvPr id="59" name="Shape 60">
          <a:extLst>
            <a:ext uri="{FF2B5EF4-FFF2-40B4-BE49-F238E27FC236}">
              <a16:creationId xmlns:a16="http://schemas.microsoft.com/office/drawing/2014/main" id="{4A058023-3512-4300-B1E7-06A2C727FF34}"/>
            </a:ext>
          </a:extLst>
        </xdr:cNvPr>
        <xdr:cNvSpPr/>
      </xdr:nvSpPr>
      <xdr:spPr>
        <a:xfrm>
          <a:off x="9679305" y="18232755"/>
          <a:ext cx="533400" cy="619125"/>
        </a:xfrm>
        <a:prstGeom prst="ellipse">
          <a:avLst/>
        </a:prstGeom>
        <a:noFill/>
        <a:ln w="38100" cap="flat" cmpd="sng">
          <a:solidFill>
            <a:srgbClr val="517E33"/>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542925</xdr:colOff>
      <xdr:row>80</xdr:row>
      <xdr:rowOff>85725</xdr:rowOff>
    </xdr:from>
    <xdr:ext cx="4048125" cy="962025"/>
    <xdr:grpSp>
      <xdr:nvGrpSpPr>
        <xdr:cNvPr id="60" name="Shape 2">
          <a:extLst>
            <a:ext uri="{FF2B5EF4-FFF2-40B4-BE49-F238E27FC236}">
              <a16:creationId xmlns:a16="http://schemas.microsoft.com/office/drawing/2014/main" id="{F00A8D01-00EC-43C7-B99C-11B78359B62F}"/>
            </a:ext>
          </a:extLst>
        </xdr:cNvPr>
        <xdr:cNvGrpSpPr/>
      </xdr:nvGrpSpPr>
      <xdr:grpSpPr>
        <a:xfrm>
          <a:off x="5591175" y="14139430"/>
          <a:ext cx="4048125" cy="962025"/>
          <a:chOff x="3321938" y="3298988"/>
          <a:chExt cx="4048125" cy="962025"/>
        </a:xfrm>
      </xdr:grpSpPr>
      <xdr:grpSp>
        <xdr:nvGrpSpPr>
          <xdr:cNvPr id="61" name="Shape 61">
            <a:extLst>
              <a:ext uri="{FF2B5EF4-FFF2-40B4-BE49-F238E27FC236}">
                <a16:creationId xmlns:a16="http://schemas.microsoft.com/office/drawing/2014/main" id="{EE1BAFF2-1580-2242-BEB8-477C123007E1}"/>
              </a:ext>
            </a:extLst>
          </xdr:cNvPr>
          <xdr:cNvGrpSpPr/>
        </xdr:nvGrpSpPr>
        <xdr:grpSpPr>
          <a:xfrm>
            <a:off x="3321938" y="3298988"/>
            <a:ext cx="4048125" cy="962025"/>
            <a:chOff x="3321938" y="3298988"/>
            <a:chExt cx="4048125" cy="962025"/>
          </a:xfrm>
        </xdr:grpSpPr>
        <xdr:sp macro="" textlink="">
          <xdr:nvSpPr>
            <xdr:cNvPr id="62" name="Shape 4">
              <a:extLst>
                <a:ext uri="{FF2B5EF4-FFF2-40B4-BE49-F238E27FC236}">
                  <a16:creationId xmlns:a16="http://schemas.microsoft.com/office/drawing/2014/main" id="{C86F3A38-5EFC-5032-4B8A-8CDB914C50D4}"/>
                </a:ext>
              </a:extLst>
            </xdr:cNvPr>
            <xdr:cNvSpPr/>
          </xdr:nvSpPr>
          <xdr:spPr>
            <a:xfrm>
              <a:off x="3321938" y="3298988"/>
              <a:ext cx="4048125" cy="9620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3" name="Shape 62">
              <a:extLst>
                <a:ext uri="{FF2B5EF4-FFF2-40B4-BE49-F238E27FC236}">
                  <a16:creationId xmlns:a16="http://schemas.microsoft.com/office/drawing/2014/main" id="{A03143C9-9824-A546-1A6C-17F5196A53BD}"/>
                </a:ext>
              </a:extLst>
            </xdr:cNvPr>
            <xdr:cNvGrpSpPr/>
          </xdr:nvGrpSpPr>
          <xdr:grpSpPr>
            <a:xfrm>
              <a:off x="3321938" y="3298988"/>
              <a:ext cx="4048125" cy="962025"/>
              <a:chOff x="3340913" y="3317963"/>
              <a:chExt cx="4010100" cy="924000"/>
            </a:xfrm>
          </xdr:grpSpPr>
          <xdr:sp macro="" textlink="">
            <xdr:nvSpPr>
              <xdr:cNvPr id="64" name="Shape 63">
                <a:extLst>
                  <a:ext uri="{FF2B5EF4-FFF2-40B4-BE49-F238E27FC236}">
                    <a16:creationId xmlns:a16="http://schemas.microsoft.com/office/drawing/2014/main" id="{FF1962C0-4139-FF8A-626C-5D1F75C62502}"/>
                  </a:ext>
                </a:extLst>
              </xdr:cNvPr>
              <xdr:cNvSpPr/>
            </xdr:nvSpPr>
            <xdr:spPr>
              <a:xfrm>
                <a:off x="3340913" y="3317963"/>
                <a:ext cx="4010100" cy="924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65" name="Shape 64">
                <a:extLst>
                  <a:ext uri="{FF2B5EF4-FFF2-40B4-BE49-F238E27FC236}">
                    <a16:creationId xmlns:a16="http://schemas.microsoft.com/office/drawing/2014/main" id="{EFB187D5-FB5C-A1C8-4815-E13DFCD4F97D}"/>
                  </a:ext>
                </a:extLst>
              </xdr:cNvPr>
              <xdr:cNvCxnSpPr>
                <a:stCxn id="52" idx="2"/>
              </xdr:cNvCxnSpPr>
            </xdr:nvCxnSpPr>
            <xdr:spPr>
              <a:xfrm rot="10800000">
                <a:off x="3340913" y="3317963"/>
                <a:ext cx="4010100" cy="924000"/>
              </a:xfrm>
              <a:prstGeom prst="straightConnector1">
                <a:avLst/>
              </a:prstGeom>
              <a:noFill/>
              <a:ln w="38100" cap="flat" cmpd="sng">
                <a:solidFill>
                  <a:schemeClr val="accent6"/>
                </a:solidFill>
                <a:prstDash val="solid"/>
                <a:miter lim="800000"/>
                <a:headEnd type="none" w="sm" len="sm"/>
                <a:tailEnd type="triangle" w="med" len="med"/>
              </a:ln>
            </xdr:spPr>
          </xdr:cxnSp>
        </xdr:grpSp>
      </xdr:grpSp>
    </xdr:grpSp>
    <xdr:clientData fLocksWithSheet="0"/>
  </xdr:oneCellAnchor>
  <xdr:oneCellAnchor>
    <xdr:from>
      <xdr:col>12</xdr:col>
      <xdr:colOff>542925</xdr:colOff>
      <xdr:row>84</xdr:row>
      <xdr:rowOff>28575</xdr:rowOff>
    </xdr:from>
    <xdr:ext cx="1314450" cy="1714500"/>
    <xdr:sp macro="" textlink="">
      <xdr:nvSpPr>
        <xdr:cNvPr id="66" name="Shape 65">
          <a:extLst>
            <a:ext uri="{FF2B5EF4-FFF2-40B4-BE49-F238E27FC236}">
              <a16:creationId xmlns:a16="http://schemas.microsoft.com/office/drawing/2014/main" id="{D71C7F08-BF3B-4C13-B8EE-52E06EEA846F}"/>
            </a:ext>
          </a:extLst>
        </xdr:cNvPr>
        <xdr:cNvSpPr/>
      </xdr:nvSpPr>
      <xdr:spPr>
        <a:xfrm>
          <a:off x="13329285" y="18270855"/>
          <a:ext cx="1314450" cy="1714500"/>
        </a:xfrm>
        <a:prstGeom prst="ellipse">
          <a:avLst/>
        </a:prstGeom>
        <a:noFill/>
        <a:ln w="38100" cap="flat" cmpd="sng">
          <a:solidFill>
            <a:schemeClr val="dk1"/>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76200</xdr:colOff>
      <xdr:row>85</xdr:row>
      <xdr:rowOff>76200</xdr:rowOff>
    </xdr:from>
    <xdr:ext cx="8162925" cy="647700"/>
    <xdr:grpSp>
      <xdr:nvGrpSpPr>
        <xdr:cNvPr id="67" name="Shape 2">
          <a:extLst>
            <a:ext uri="{FF2B5EF4-FFF2-40B4-BE49-F238E27FC236}">
              <a16:creationId xmlns:a16="http://schemas.microsoft.com/office/drawing/2014/main" id="{30D648AF-035F-4AF1-9328-A3C91C06BC01}"/>
            </a:ext>
          </a:extLst>
        </xdr:cNvPr>
        <xdr:cNvGrpSpPr/>
      </xdr:nvGrpSpPr>
      <xdr:grpSpPr>
        <a:xfrm>
          <a:off x="5124450" y="14995814"/>
          <a:ext cx="8162925" cy="647700"/>
          <a:chOff x="1264538" y="3456150"/>
          <a:chExt cx="8162925" cy="647700"/>
        </a:xfrm>
      </xdr:grpSpPr>
      <xdr:grpSp>
        <xdr:nvGrpSpPr>
          <xdr:cNvPr id="68" name="Shape 66">
            <a:extLst>
              <a:ext uri="{FF2B5EF4-FFF2-40B4-BE49-F238E27FC236}">
                <a16:creationId xmlns:a16="http://schemas.microsoft.com/office/drawing/2014/main" id="{4B70C26E-831F-0009-DE6A-2FBC29CCE453}"/>
              </a:ext>
            </a:extLst>
          </xdr:cNvPr>
          <xdr:cNvGrpSpPr/>
        </xdr:nvGrpSpPr>
        <xdr:grpSpPr>
          <a:xfrm>
            <a:off x="1264538" y="3456150"/>
            <a:ext cx="8162925" cy="647700"/>
            <a:chOff x="1264538" y="3456150"/>
            <a:chExt cx="8162925" cy="647700"/>
          </a:xfrm>
        </xdr:grpSpPr>
        <xdr:sp macro="" textlink="">
          <xdr:nvSpPr>
            <xdr:cNvPr id="69" name="Shape 4">
              <a:extLst>
                <a:ext uri="{FF2B5EF4-FFF2-40B4-BE49-F238E27FC236}">
                  <a16:creationId xmlns:a16="http://schemas.microsoft.com/office/drawing/2014/main" id="{910713D5-C31A-B137-D908-69B06B545C47}"/>
                </a:ext>
              </a:extLst>
            </xdr:cNvPr>
            <xdr:cNvSpPr/>
          </xdr:nvSpPr>
          <xdr:spPr>
            <a:xfrm>
              <a:off x="1264538" y="3456150"/>
              <a:ext cx="8162925" cy="6477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70" name="Shape 67">
              <a:extLst>
                <a:ext uri="{FF2B5EF4-FFF2-40B4-BE49-F238E27FC236}">
                  <a16:creationId xmlns:a16="http://schemas.microsoft.com/office/drawing/2014/main" id="{D4AC07FD-AC62-447A-39A6-8854E3086424}"/>
                </a:ext>
              </a:extLst>
            </xdr:cNvPr>
            <xdr:cNvGrpSpPr/>
          </xdr:nvGrpSpPr>
          <xdr:grpSpPr>
            <a:xfrm>
              <a:off x="1264538" y="3456150"/>
              <a:ext cx="8162925" cy="647700"/>
              <a:chOff x="1283513" y="3475200"/>
              <a:chExt cx="8124900" cy="609600"/>
            </a:xfrm>
          </xdr:grpSpPr>
          <xdr:sp macro="" textlink="">
            <xdr:nvSpPr>
              <xdr:cNvPr id="71" name="Shape 68">
                <a:extLst>
                  <a:ext uri="{FF2B5EF4-FFF2-40B4-BE49-F238E27FC236}">
                    <a16:creationId xmlns:a16="http://schemas.microsoft.com/office/drawing/2014/main" id="{29D951AD-F30E-97EF-EA6F-028C9A973758}"/>
                  </a:ext>
                </a:extLst>
              </xdr:cNvPr>
              <xdr:cNvSpPr/>
            </xdr:nvSpPr>
            <xdr:spPr>
              <a:xfrm>
                <a:off x="1283513" y="3475200"/>
                <a:ext cx="8124900" cy="609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72" name="Shape 69">
                <a:extLst>
                  <a:ext uri="{FF2B5EF4-FFF2-40B4-BE49-F238E27FC236}">
                    <a16:creationId xmlns:a16="http://schemas.microsoft.com/office/drawing/2014/main" id="{4F6BBA49-820D-D398-CE9A-3D4B21FA4EDD}"/>
                  </a:ext>
                </a:extLst>
              </xdr:cNvPr>
              <xdr:cNvCxnSpPr>
                <a:stCxn id="57" idx="2"/>
              </xdr:cNvCxnSpPr>
            </xdr:nvCxnSpPr>
            <xdr:spPr>
              <a:xfrm rot="10800000">
                <a:off x="1283513" y="3475200"/>
                <a:ext cx="8124900" cy="609600"/>
              </a:xfrm>
              <a:prstGeom prst="straightConnector1">
                <a:avLst/>
              </a:prstGeom>
              <a:noFill/>
              <a:ln w="38100" cap="flat" cmpd="sng">
                <a:solidFill>
                  <a:schemeClr val="dk1"/>
                </a:solidFill>
                <a:prstDash val="solid"/>
                <a:miter lim="800000"/>
                <a:headEnd type="none" w="sm" len="sm"/>
                <a:tailEnd type="triangle" w="med" len="med"/>
              </a:ln>
            </xdr:spPr>
          </xdr:cxnSp>
        </xdr:grpSp>
      </xdr:grpSp>
    </xdr:grpSp>
    <xdr:clientData fLocksWithSheet="0"/>
  </xdr:oneCellAnchor>
  <xdr:oneCellAnchor>
    <xdr:from>
      <xdr:col>8</xdr:col>
      <xdr:colOff>95250</xdr:colOff>
      <xdr:row>112</xdr:row>
      <xdr:rowOff>142875</xdr:rowOff>
    </xdr:from>
    <xdr:ext cx="3971925" cy="666750"/>
    <xdr:sp macro="" textlink="">
      <xdr:nvSpPr>
        <xdr:cNvPr id="73" name="Shape 70">
          <a:extLst>
            <a:ext uri="{FF2B5EF4-FFF2-40B4-BE49-F238E27FC236}">
              <a16:creationId xmlns:a16="http://schemas.microsoft.com/office/drawing/2014/main" id="{19898C67-24B7-4C21-A15A-3DA1F2998BA7}"/>
            </a:ext>
          </a:extLst>
        </xdr:cNvPr>
        <xdr:cNvSpPr/>
      </xdr:nvSpPr>
      <xdr:spPr>
        <a:xfrm rot="10800000" flipH="1">
          <a:off x="9688830" y="23528655"/>
          <a:ext cx="3971925" cy="666750"/>
        </a:xfrm>
        <a:prstGeom prst="ellipse">
          <a:avLst/>
        </a:prstGeom>
        <a:noFill/>
        <a:ln w="38100" cap="flat" cmpd="sng">
          <a:solidFill>
            <a:srgbClr val="FF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xdr:col>
      <xdr:colOff>3028950</xdr:colOff>
      <xdr:row>112</xdr:row>
      <xdr:rowOff>142875</xdr:rowOff>
    </xdr:from>
    <xdr:ext cx="4933950" cy="352425"/>
    <xdr:grpSp>
      <xdr:nvGrpSpPr>
        <xdr:cNvPr id="74" name="Shape 2" title="Drawing">
          <a:extLst>
            <a:ext uri="{FF2B5EF4-FFF2-40B4-BE49-F238E27FC236}">
              <a16:creationId xmlns:a16="http://schemas.microsoft.com/office/drawing/2014/main" id="{BEB7F6DE-4F5F-4F90-A2B3-B6DC8C4C26CF}"/>
            </a:ext>
          </a:extLst>
        </xdr:cNvPr>
        <xdr:cNvGrpSpPr/>
      </xdr:nvGrpSpPr>
      <xdr:grpSpPr>
        <a:xfrm>
          <a:off x="4059382" y="19980852"/>
          <a:ext cx="4933950" cy="352425"/>
          <a:chOff x="2879025" y="3603788"/>
          <a:chExt cx="4933950" cy="352425"/>
        </a:xfrm>
      </xdr:grpSpPr>
      <xdr:grpSp>
        <xdr:nvGrpSpPr>
          <xdr:cNvPr id="75" name="Shape 71">
            <a:extLst>
              <a:ext uri="{FF2B5EF4-FFF2-40B4-BE49-F238E27FC236}">
                <a16:creationId xmlns:a16="http://schemas.microsoft.com/office/drawing/2014/main" id="{D5A789BB-89AD-FBEF-9FE1-4205D79A6F99}"/>
              </a:ext>
            </a:extLst>
          </xdr:cNvPr>
          <xdr:cNvGrpSpPr/>
        </xdr:nvGrpSpPr>
        <xdr:grpSpPr>
          <a:xfrm>
            <a:off x="2879025" y="3603788"/>
            <a:ext cx="4933950" cy="352425"/>
            <a:chOff x="2879025" y="3603788"/>
            <a:chExt cx="4933950" cy="352425"/>
          </a:xfrm>
        </xdr:grpSpPr>
        <xdr:sp macro="" textlink="">
          <xdr:nvSpPr>
            <xdr:cNvPr id="76" name="Shape 4">
              <a:extLst>
                <a:ext uri="{FF2B5EF4-FFF2-40B4-BE49-F238E27FC236}">
                  <a16:creationId xmlns:a16="http://schemas.microsoft.com/office/drawing/2014/main" id="{23CC0994-DD88-3C94-233E-DF9908F03701}"/>
                </a:ext>
              </a:extLst>
            </xdr:cNvPr>
            <xdr:cNvSpPr/>
          </xdr:nvSpPr>
          <xdr:spPr>
            <a:xfrm>
              <a:off x="2879025" y="3603788"/>
              <a:ext cx="4933950" cy="3524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77" name="Shape 72">
              <a:extLst>
                <a:ext uri="{FF2B5EF4-FFF2-40B4-BE49-F238E27FC236}">
                  <a16:creationId xmlns:a16="http://schemas.microsoft.com/office/drawing/2014/main" id="{A47B6274-03E6-DCB4-0D18-15D20D8ACB0B}"/>
                </a:ext>
              </a:extLst>
            </xdr:cNvPr>
            <xdr:cNvGrpSpPr/>
          </xdr:nvGrpSpPr>
          <xdr:grpSpPr>
            <a:xfrm>
              <a:off x="2879025" y="3603788"/>
              <a:ext cx="4933950" cy="352425"/>
              <a:chOff x="2897925" y="3622763"/>
              <a:chExt cx="4896000" cy="314400"/>
            </a:xfrm>
          </xdr:grpSpPr>
          <xdr:sp macro="" textlink="">
            <xdr:nvSpPr>
              <xdr:cNvPr id="78" name="Shape 73">
                <a:extLst>
                  <a:ext uri="{FF2B5EF4-FFF2-40B4-BE49-F238E27FC236}">
                    <a16:creationId xmlns:a16="http://schemas.microsoft.com/office/drawing/2014/main" id="{8F7D2285-D126-F60B-4380-C6CC5FAEDFD8}"/>
                  </a:ext>
                </a:extLst>
              </xdr:cNvPr>
              <xdr:cNvSpPr/>
            </xdr:nvSpPr>
            <xdr:spPr>
              <a:xfrm>
                <a:off x="2897925" y="3622763"/>
                <a:ext cx="4896000" cy="3144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79" name="Shape 74">
                <a:extLst>
                  <a:ext uri="{FF2B5EF4-FFF2-40B4-BE49-F238E27FC236}">
                    <a16:creationId xmlns:a16="http://schemas.microsoft.com/office/drawing/2014/main" id="{E4F77533-B9A0-C553-93FC-770B0E4DB9AC}"/>
                  </a:ext>
                </a:extLst>
              </xdr:cNvPr>
              <xdr:cNvCxnSpPr>
                <a:stCxn id="61" idx="2"/>
              </xdr:cNvCxnSpPr>
            </xdr:nvCxnSpPr>
            <xdr:spPr>
              <a:xfrm rot="10800000">
                <a:off x="2897925" y="3622763"/>
                <a:ext cx="4896000" cy="314400"/>
              </a:xfrm>
              <a:prstGeom prst="straightConnector1">
                <a:avLst/>
              </a:prstGeom>
              <a:noFill/>
              <a:ln w="38100" cap="flat" cmpd="sng">
                <a:solidFill>
                  <a:srgbClr val="FF0000"/>
                </a:solidFill>
                <a:prstDash val="solid"/>
                <a:miter lim="800000"/>
                <a:headEnd type="none" w="sm" len="sm"/>
                <a:tailEnd type="triangle" w="med" len="med"/>
              </a:ln>
            </xdr:spPr>
          </xdr:cxnSp>
        </xdr:grpSp>
      </xdr:grpSp>
    </xdr:grpSp>
    <xdr:clientData fLocksWithSheet="0"/>
  </xdr:oneCellAnchor>
  <xdr:oneCellAnchor>
    <xdr:from>
      <xdr:col>3</xdr:col>
      <xdr:colOff>476250</xdr:colOff>
      <xdr:row>118</xdr:row>
      <xdr:rowOff>123825</xdr:rowOff>
    </xdr:from>
    <xdr:ext cx="1314450" cy="838200"/>
    <xdr:sp macro="" textlink="">
      <xdr:nvSpPr>
        <xdr:cNvPr id="80" name="Shape 75">
          <a:extLst>
            <a:ext uri="{FF2B5EF4-FFF2-40B4-BE49-F238E27FC236}">
              <a16:creationId xmlns:a16="http://schemas.microsoft.com/office/drawing/2014/main" id="{12D66390-E7C6-47FB-9216-8540F8805498}"/>
            </a:ext>
          </a:extLst>
        </xdr:cNvPr>
        <xdr:cNvSpPr/>
      </xdr:nvSpPr>
      <xdr:spPr>
        <a:xfrm>
          <a:off x="6221730" y="24561165"/>
          <a:ext cx="1314450" cy="838200"/>
        </a:xfrm>
        <a:prstGeom prst="ellipse">
          <a:avLst/>
        </a:prstGeom>
        <a:noFill/>
        <a:ln w="38100" cap="flat" cmpd="sng">
          <a:solidFill>
            <a:schemeClr val="dk1"/>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xdr:col>
      <xdr:colOff>1038225</xdr:colOff>
      <xdr:row>114</xdr:row>
      <xdr:rowOff>95250</xdr:rowOff>
    </xdr:from>
    <xdr:ext cx="3562350" cy="1181100"/>
    <xdr:grpSp>
      <xdr:nvGrpSpPr>
        <xdr:cNvPr id="81" name="Shape 2" title="Drawing">
          <a:extLst>
            <a:ext uri="{FF2B5EF4-FFF2-40B4-BE49-F238E27FC236}">
              <a16:creationId xmlns:a16="http://schemas.microsoft.com/office/drawing/2014/main" id="{27AFDDCC-3B46-4805-8F66-D0E385514D2C}"/>
            </a:ext>
          </a:extLst>
        </xdr:cNvPr>
        <xdr:cNvGrpSpPr/>
      </xdr:nvGrpSpPr>
      <xdr:grpSpPr>
        <a:xfrm>
          <a:off x="2068657" y="20279591"/>
          <a:ext cx="3562350" cy="1181100"/>
          <a:chOff x="3564825" y="3189450"/>
          <a:chExt cx="3562350" cy="1181100"/>
        </a:xfrm>
      </xdr:grpSpPr>
      <xdr:grpSp>
        <xdr:nvGrpSpPr>
          <xdr:cNvPr id="82" name="Shape 76">
            <a:extLst>
              <a:ext uri="{FF2B5EF4-FFF2-40B4-BE49-F238E27FC236}">
                <a16:creationId xmlns:a16="http://schemas.microsoft.com/office/drawing/2014/main" id="{C45B935B-1D3C-BCA8-1A93-FE3DF59BB537}"/>
              </a:ext>
            </a:extLst>
          </xdr:cNvPr>
          <xdr:cNvGrpSpPr/>
        </xdr:nvGrpSpPr>
        <xdr:grpSpPr>
          <a:xfrm>
            <a:off x="3564825" y="3189450"/>
            <a:ext cx="3562350" cy="1181100"/>
            <a:chOff x="3564825" y="3189450"/>
            <a:chExt cx="3562350" cy="1181100"/>
          </a:xfrm>
        </xdr:grpSpPr>
        <xdr:sp macro="" textlink="">
          <xdr:nvSpPr>
            <xdr:cNvPr id="83" name="Shape 4">
              <a:extLst>
                <a:ext uri="{FF2B5EF4-FFF2-40B4-BE49-F238E27FC236}">
                  <a16:creationId xmlns:a16="http://schemas.microsoft.com/office/drawing/2014/main" id="{6C672D0E-A04A-1CA8-6884-EE7C6373C191}"/>
                </a:ext>
              </a:extLst>
            </xdr:cNvPr>
            <xdr:cNvSpPr/>
          </xdr:nvSpPr>
          <xdr:spPr>
            <a:xfrm>
              <a:off x="3564825" y="3189450"/>
              <a:ext cx="3562350" cy="1181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84" name="Shape 77">
              <a:extLst>
                <a:ext uri="{FF2B5EF4-FFF2-40B4-BE49-F238E27FC236}">
                  <a16:creationId xmlns:a16="http://schemas.microsoft.com/office/drawing/2014/main" id="{080467C8-212F-035A-3043-AA5B7BB9A238}"/>
                </a:ext>
              </a:extLst>
            </xdr:cNvPr>
            <xdr:cNvGrpSpPr/>
          </xdr:nvGrpSpPr>
          <xdr:grpSpPr>
            <a:xfrm>
              <a:off x="3564825" y="3189450"/>
              <a:ext cx="3562350" cy="1181100"/>
              <a:chOff x="3584025" y="3208500"/>
              <a:chExt cx="3524100" cy="1143000"/>
            </a:xfrm>
          </xdr:grpSpPr>
          <xdr:sp macro="" textlink="">
            <xdr:nvSpPr>
              <xdr:cNvPr id="85" name="Shape 78">
                <a:extLst>
                  <a:ext uri="{FF2B5EF4-FFF2-40B4-BE49-F238E27FC236}">
                    <a16:creationId xmlns:a16="http://schemas.microsoft.com/office/drawing/2014/main" id="{95EC28F3-EE07-8AD0-83AF-DEE6FE528562}"/>
                  </a:ext>
                </a:extLst>
              </xdr:cNvPr>
              <xdr:cNvSpPr/>
            </xdr:nvSpPr>
            <xdr:spPr>
              <a:xfrm>
                <a:off x="3584025" y="3208500"/>
                <a:ext cx="3524100" cy="1143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86" name="Shape 79">
                <a:extLst>
                  <a:ext uri="{FF2B5EF4-FFF2-40B4-BE49-F238E27FC236}">
                    <a16:creationId xmlns:a16="http://schemas.microsoft.com/office/drawing/2014/main" id="{43C5DCDB-AF69-D87A-7EC9-DF63FB003C51}"/>
                  </a:ext>
                </a:extLst>
              </xdr:cNvPr>
              <xdr:cNvCxnSpPr>
                <a:stCxn id="65" idx="2"/>
              </xdr:cNvCxnSpPr>
            </xdr:nvCxnSpPr>
            <xdr:spPr>
              <a:xfrm rot="10800000">
                <a:off x="3584025" y="3208500"/>
                <a:ext cx="3524100" cy="1143000"/>
              </a:xfrm>
              <a:prstGeom prst="straightConnector1">
                <a:avLst/>
              </a:prstGeom>
              <a:noFill/>
              <a:ln w="38100" cap="flat" cmpd="sng">
                <a:solidFill>
                  <a:schemeClr val="dk1"/>
                </a:solidFill>
                <a:prstDash val="solid"/>
                <a:miter lim="800000"/>
                <a:headEnd type="none" w="sm" len="sm"/>
                <a:tailEnd type="triangle" w="med" len="med"/>
              </a:ln>
            </xdr:spPr>
          </xdr:cxnSp>
        </xdr:grpSp>
      </xdr:grpSp>
    </xdr:grpSp>
    <xdr:clientData fLocksWithSheet="0"/>
  </xdr:oneCellAnchor>
  <xdr:oneCellAnchor>
    <xdr:from>
      <xdr:col>6</xdr:col>
      <xdr:colOff>600075</xdr:colOff>
      <xdr:row>119</xdr:row>
      <xdr:rowOff>76200</xdr:rowOff>
    </xdr:from>
    <xdr:ext cx="514350" cy="619125"/>
    <xdr:sp macro="" textlink="">
      <xdr:nvSpPr>
        <xdr:cNvPr id="87" name="Shape 80">
          <a:extLst>
            <a:ext uri="{FF2B5EF4-FFF2-40B4-BE49-F238E27FC236}">
              <a16:creationId xmlns:a16="http://schemas.microsoft.com/office/drawing/2014/main" id="{B6DFBCC1-5EA0-4C07-AB38-B7A1F5C428C5}"/>
            </a:ext>
          </a:extLst>
        </xdr:cNvPr>
        <xdr:cNvSpPr/>
      </xdr:nvSpPr>
      <xdr:spPr>
        <a:xfrm>
          <a:off x="8540115" y="24688800"/>
          <a:ext cx="514350" cy="619125"/>
        </a:xfrm>
        <a:prstGeom prst="ellipse">
          <a:avLst/>
        </a:prstGeom>
        <a:noFill/>
        <a:ln w="38100" cap="flat" cmpd="sng">
          <a:solidFill>
            <a:srgbClr val="517E33"/>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342900</xdr:colOff>
      <xdr:row>116</xdr:row>
      <xdr:rowOff>142875</xdr:rowOff>
    </xdr:from>
    <xdr:ext cx="3152775" cy="800100"/>
    <xdr:grpSp>
      <xdr:nvGrpSpPr>
        <xdr:cNvPr id="88" name="Shape 2" title="Drawing">
          <a:extLst>
            <a:ext uri="{FF2B5EF4-FFF2-40B4-BE49-F238E27FC236}">
              <a16:creationId xmlns:a16="http://schemas.microsoft.com/office/drawing/2014/main" id="{EDBD757F-54F1-44C3-BCB3-6C9704EDC84B}"/>
            </a:ext>
          </a:extLst>
        </xdr:cNvPr>
        <xdr:cNvGrpSpPr/>
      </xdr:nvGrpSpPr>
      <xdr:grpSpPr>
        <a:xfrm>
          <a:off x="5391150" y="20673580"/>
          <a:ext cx="3152775" cy="800100"/>
          <a:chOff x="3769613" y="3379950"/>
          <a:chExt cx="3152775" cy="800100"/>
        </a:xfrm>
      </xdr:grpSpPr>
      <xdr:grpSp>
        <xdr:nvGrpSpPr>
          <xdr:cNvPr id="89" name="Shape 81">
            <a:extLst>
              <a:ext uri="{FF2B5EF4-FFF2-40B4-BE49-F238E27FC236}">
                <a16:creationId xmlns:a16="http://schemas.microsoft.com/office/drawing/2014/main" id="{905E4451-954F-3F07-6625-93DD5F16AD6A}"/>
              </a:ext>
            </a:extLst>
          </xdr:cNvPr>
          <xdr:cNvGrpSpPr/>
        </xdr:nvGrpSpPr>
        <xdr:grpSpPr>
          <a:xfrm>
            <a:off x="3769613" y="3379950"/>
            <a:ext cx="3152775" cy="800100"/>
            <a:chOff x="3769613" y="3379950"/>
            <a:chExt cx="3152775" cy="800100"/>
          </a:xfrm>
        </xdr:grpSpPr>
        <xdr:sp macro="" textlink="">
          <xdr:nvSpPr>
            <xdr:cNvPr id="90" name="Shape 4">
              <a:extLst>
                <a:ext uri="{FF2B5EF4-FFF2-40B4-BE49-F238E27FC236}">
                  <a16:creationId xmlns:a16="http://schemas.microsoft.com/office/drawing/2014/main" id="{84681217-14A9-9891-AF70-D2633080630A}"/>
                </a:ext>
              </a:extLst>
            </xdr:cNvPr>
            <xdr:cNvSpPr/>
          </xdr:nvSpPr>
          <xdr:spPr>
            <a:xfrm>
              <a:off x="3769613" y="3379950"/>
              <a:ext cx="3152775" cy="800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91" name="Shape 82">
              <a:extLst>
                <a:ext uri="{FF2B5EF4-FFF2-40B4-BE49-F238E27FC236}">
                  <a16:creationId xmlns:a16="http://schemas.microsoft.com/office/drawing/2014/main" id="{D708B717-51F1-DAEA-8DA1-DCD07505D492}"/>
                </a:ext>
              </a:extLst>
            </xdr:cNvPr>
            <xdr:cNvGrpSpPr/>
          </xdr:nvGrpSpPr>
          <xdr:grpSpPr>
            <a:xfrm>
              <a:off x="3769613" y="3379950"/>
              <a:ext cx="3152775" cy="800100"/>
              <a:chOff x="3788738" y="3399000"/>
              <a:chExt cx="3114600" cy="762000"/>
            </a:xfrm>
          </xdr:grpSpPr>
          <xdr:sp macro="" textlink="">
            <xdr:nvSpPr>
              <xdr:cNvPr id="92" name="Shape 83">
                <a:extLst>
                  <a:ext uri="{FF2B5EF4-FFF2-40B4-BE49-F238E27FC236}">
                    <a16:creationId xmlns:a16="http://schemas.microsoft.com/office/drawing/2014/main" id="{535D1B62-B74E-D552-7CF6-588ECB3D9936}"/>
                  </a:ext>
                </a:extLst>
              </xdr:cNvPr>
              <xdr:cNvSpPr/>
            </xdr:nvSpPr>
            <xdr:spPr>
              <a:xfrm>
                <a:off x="3788738" y="3399000"/>
                <a:ext cx="3114600" cy="762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93" name="Shape 84">
                <a:extLst>
                  <a:ext uri="{FF2B5EF4-FFF2-40B4-BE49-F238E27FC236}">
                    <a16:creationId xmlns:a16="http://schemas.microsoft.com/office/drawing/2014/main" id="{FC87EFD1-A8F4-6CE4-0C2F-2EBC55A67388}"/>
                  </a:ext>
                </a:extLst>
              </xdr:cNvPr>
              <xdr:cNvCxnSpPr>
                <a:stCxn id="68" idx="2"/>
              </xdr:cNvCxnSpPr>
            </xdr:nvCxnSpPr>
            <xdr:spPr>
              <a:xfrm rot="10800000">
                <a:off x="3788738" y="3399000"/>
                <a:ext cx="3114600" cy="762000"/>
              </a:xfrm>
              <a:prstGeom prst="straightConnector1">
                <a:avLst/>
              </a:prstGeom>
              <a:noFill/>
              <a:ln w="38100" cap="flat" cmpd="sng">
                <a:solidFill>
                  <a:schemeClr val="accent6"/>
                </a:solidFill>
                <a:prstDash val="solid"/>
                <a:miter lim="800000"/>
                <a:headEnd type="none" w="sm" len="sm"/>
                <a:tailEnd type="triangle" w="med" len="med"/>
              </a:ln>
            </xdr:spPr>
          </xdr:cxnSp>
        </xdr:grpSp>
      </xdr:grpSp>
    </xdr:grpSp>
    <xdr:clientData fLocksWithSheet="0"/>
  </xdr:oneCellAnchor>
  <xdr:oneCellAnchor>
    <xdr:from>
      <xdr:col>9</xdr:col>
      <xdr:colOff>114300</xdr:colOff>
      <xdr:row>119</xdr:row>
      <xdr:rowOff>66675</xdr:rowOff>
    </xdr:from>
    <xdr:ext cx="561975" cy="600075"/>
    <xdr:sp macro="" textlink="">
      <xdr:nvSpPr>
        <xdr:cNvPr id="94" name="Shape 85">
          <a:extLst>
            <a:ext uri="{FF2B5EF4-FFF2-40B4-BE49-F238E27FC236}">
              <a16:creationId xmlns:a16="http://schemas.microsoft.com/office/drawing/2014/main" id="{217A5536-5C57-4D94-A374-6DE5077E2783}"/>
            </a:ext>
          </a:extLst>
        </xdr:cNvPr>
        <xdr:cNvSpPr/>
      </xdr:nvSpPr>
      <xdr:spPr>
        <a:xfrm rot="10800000" flipH="1">
          <a:off x="10355580" y="24679275"/>
          <a:ext cx="561975" cy="600075"/>
        </a:xfrm>
        <a:prstGeom prst="ellipse">
          <a:avLst/>
        </a:prstGeom>
        <a:noFill/>
        <a:ln w="38100" cap="flat" cmpd="sng">
          <a:solidFill>
            <a:srgbClr val="AC5B23"/>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xdr:col>
      <xdr:colOff>1638300</xdr:colOff>
      <xdr:row>118</xdr:row>
      <xdr:rowOff>114300</xdr:rowOff>
    </xdr:from>
    <xdr:ext cx="6972300" cy="476250"/>
    <xdr:grpSp>
      <xdr:nvGrpSpPr>
        <xdr:cNvPr id="95" name="Shape 2" title="Drawing">
          <a:extLst>
            <a:ext uri="{FF2B5EF4-FFF2-40B4-BE49-F238E27FC236}">
              <a16:creationId xmlns:a16="http://schemas.microsoft.com/office/drawing/2014/main" id="{638CC300-E500-4BD6-96F1-EC84FB5739CD}"/>
            </a:ext>
          </a:extLst>
        </xdr:cNvPr>
        <xdr:cNvGrpSpPr/>
      </xdr:nvGrpSpPr>
      <xdr:grpSpPr>
        <a:xfrm>
          <a:off x="2668732" y="20991368"/>
          <a:ext cx="6972300" cy="476250"/>
          <a:chOff x="1859850" y="3541875"/>
          <a:chExt cx="6972300" cy="476250"/>
        </a:xfrm>
      </xdr:grpSpPr>
      <xdr:grpSp>
        <xdr:nvGrpSpPr>
          <xdr:cNvPr id="96" name="Shape 86">
            <a:extLst>
              <a:ext uri="{FF2B5EF4-FFF2-40B4-BE49-F238E27FC236}">
                <a16:creationId xmlns:a16="http://schemas.microsoft.com/office/drawing/2014/main" id="{A6E1CC93-941F-25B2-A917-5923437B05E1}"/>
              </a:ext>
            </a:extLst>
          </xdr:cNvPr>
          <xdr:cNvGrpSpPr/>
        </xdr:nvGrpSpPr>
        <xdr:grpSpPr>
          <a:xfrm>
            <a:off x="1859850" y="3541875"/>
            <a:ext cx="6972300" cy="476250"/>
            <a:chOff x="1859850" y="3541875"/>
            <a:chExt cx="6972300" cy="476250"/>
          </a:xfrm>
        </xdr:grpSpPr>
        <xdr:sp macro="" textlink="">
          <xdr:nvSpPr>
            <xdr:cNvPr id="97" name="Shape 4">
              <a:extLst>
                <a:ext uri="{FF2B5EF4-FFF2-40B4-BE49-F238E27FC236}">
                  <a16:creationId xmlns:a16="http://schemas.microsoft.com/office/drawing/2014/main" id="{325DF116-79EF-BC6D-17B1-45446F59D690}"/>
                </a:ext>
              </a:extLst>
            </xdr:cNvPr>
            <xdr:cNvSpPr/>
          </xdr:nvSpPr>
          <xdr:spPr>
            <a:xfrm>
              <a:off x="1859850" y="3541875"/>
              <a:ext cx="6972300" cy="4762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98" name="Shape 87">
              <a:extLst>
                <a:ext uri="{FF2B5EF4-FFF2-40B4-BE49-F238E27FC236}">
                  <a16:creationId xmlns:a16="http://schemas.microsoft.com/office/drawing/2014/main" id="{AC05B071-C295-8C89-50D4-11F7EC0907F8}"/>
                </a:ext>
              </a:extLst>
            </xdr:cNvPr>
            <xdr:cNvGrpSpPr/>
          </xdr:nvGrpSpPr>
          <xdr:grpSpPr>
            <a:xfrm>
              <a:off x="1859850" y="3541875"/>
              <a:ext cx="6972300" cy="476250"/>
              <a:chOff x="1878900" y="3560775"/>
              <a:chExt cx="6934200" cy="438300"/>
            </a:xfrm>
          </xdr:grpSpPr>
          <xdr:sp macro="" textlink="">
            <xdr:nvSpPr>
              <xdr:cNvPr id="99" name="Shape 88">
                <a:extLst>
                  <a:ext uri="{FF2B5EF4-FFF2-40B4-BE49-F238E27FC236}">
                    <a16:creationId xmlns:a16="http://schemas.microsoft.com/office/drawing/2014/main" id="{C42D1C14-6BB2-FDE3-2C0E-7D066E9CA753}"/>
                  </a:ext>
                </a:extLst>
              </xdr:cNvPr>
              <xdr:cNvSpPr/>
            </xdr:nvSpPr>
            <xdr:spPr>
              <a:xfrm>
                <a:off x="1878900" y="3560775"/>
                <a:ext cx="6934200" cy="4383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100" name="Shape 89">
                <a:extLst>
                  <a:ext uri="{FF2B5EF4-FFF2-40B4-BE49-F238E27FC236}">
                    <a16:creationId xmlns:a16="http://schemas.microsoft.com/office/drawing/2014/main" id="{707A6EA2-30C3-3B92-8E19-FAA1A4BE149E}"/>
                  </a:ext>
                </a:extLst>
              </xdr:cNvPr>
              <xdr:cNvCxnSpPr>
                <a:stCxn id="71" idx="2"/>
              </xdr:cNvCxnSpPr>
            </xdr:nvCxnSpPr>
            <xdr:spPr>
              <a:xfrm rot="10800000">
                <a:off x="1878900" y="3560775"/>
                <a:ext cx="6934200" cy="438300"/>
              </a:xfrm>
              <a:prstGeom prst="straightConnector1">
                <a:avLst/>
              </a:prstGeom>
              <a:noFill/>
              <a:ln w="38100" cap="flat" cmpd="sng">
                <a:solidFill>
                  <a:schemeClr val="accent2"/>
                </a:solidFill>
                <a:prstDash val="solid"/>
                <a:miter lim="800000"/>
                <a:headEnd type="none" w="sm" len="sm"/>
                <a:tailEnd type="triangle" w="med" len="med"/>
              </a:ln>
            </xdr:spPr>
          </xdr:cxnSp>
        </xdr:grpSp>
      </xdr:grpSp>
    </xdr:grpSp>
    <xdr:clientData fLocksWithSheet="0"/>
  </xdr:oneCellAnchor>
  <xdr:oneCellAnchor>
    <xdr:from>
      <xdr:col>5</xdr:col>
      <xdr:colOff>457200</xdr:colOff>
      <xdr:row>76</xdr:row>
      <xdr:rowOff>9525</xdr:rowOff>
    </xdr:from>
    <xdr:ext cx="7029450" cy="5372100"/>
    <xdr:pic>
      <xdr:nvPicPr>
        <xdr:cNvPr id="101" name="image4.png">
          <a:extLst>
            <a:ext uri="{FF2B5EF4-FFF2-40B4-BE49-F238E27FC236}">
              <a16:creationId xmlns:a16="http://schemas.microsoft.com/office/drawing/2014/main" id="{253C777B-875F-4602-BB3F-02ECDAD07325}"/>
            </a:ext>
          </a:extLst>
        </xdr:cNvPr>
        <xdr:cNvPicPr preferRelativeResize="0"/>
      </xdr:nvPicPr>
      <xdr:blipFill>
        <a:blip xmlns:r="http://schemas.openxmlformats.org/officeDocument/2006/relationships" r:embed="rId2" cstate="print"/>
        <a:stretch>
          <a:fillRect/>
        </a:stretch>
      </xdr:blipFill>
      <xdr:spPr>
        <a:xfrm>
          <a:off x="7536180" y="16849725"/>
          <a:ext cx="7029450" cy="5372100"/>
        </a:xfrm>
        <a:prstGeom prst="rect">
          <a:avLst/>
        </a:prstGeom>
        <a:noFill/>
      </xdr:spPr>
    </xdr:pic>
    <xdr:clientData fLocksWithSheet="0"/>
  </xdr:oneCellAnchor>
  <xdr:oneCellAnchor>
    <xdr:from>
      <xdr:col>6</xdr:col>
      <xdr:colOff>28575</xdr:colOff>
      <xdr:row>37</xdr:row>
      <xdr:rowOff>142875</xdr:rowOff>
    </xdr:from>
    <xdr:ext cx="7391400" cy="5962650"/>
    <xdr:pic>
      <xdr:nvPicPr>
        <xdr:cNvPr id="102" name="image10.png">
          <a:extLst>
            <a:ext uri="{FF2B5EF4-FFF2-40B4-BE49-F238E27FC236}">
              <a16:creationId xmlns:a16="http://schemas.microsoft.com/office/drawing/2014/main" id="{95960766-37BA-4982-A50A-311549F7F1DA}"/>
            </a:ext>
            <a:ext uri="{147F2762-F138-4A5C-976F-8EAC2B608ADB}">
              <a16:predDERef xmlns:a16="http://schemas.microsoft.com/office/drawing/2014/main" pred="{00000000-0008-0000-0400-000065000000}"/>
            </a:ext>
          </a:extLst>
        </xdr:cNvPr>
        <xdr:cNvPicPr preferRelativeResize="0"/>
      </xdr:nvPicPr>
      <xdr:blipFill>
        <a:blip xmlns:r="http://schemas.openxmlformats.org/officeDocument/2006/relationships" r:embed="rId3" cstate="print"/>
        <a:stretch>
          <a:fillRect/>
        </a:stretch>
      </xdr:blipFill>
      <xdr:spPr>
        <a:xfrm>
          <a:off x="7968615" y="10026015"/>
          <a:ext cx="7391400" cy="5962650"/>
        </a:xfrm>
        <a:prstGeom prst="rect">
          <a:avLst/>
        </a:prstGeom>
        <a:noFill/>
      </xdr:spPr>
    </xdr:pic>
    <xdr:clientData fLocksWithSheet="0"/>
  </xdr:oneCellAnchor>
  <xdr:oneCellAnchor>
    <xdr:from>
      <xdr:col>30</xdr:col>
      <xdr:colOff>85725</xdr:colOff>
      <xdr:row>1</xdr:row>
      <xdr:rowOff>104775</xdr:rowOff>
    </xdr:from>
    <xdr:ext cx="4552950" cy="2286000"/>
    <xdr:pic>
      <xdr:nvPicPr>
        <xdr:cNvPr id="103" name="image8.png">
          <a:extLst>
            <a:ext uri="{FF2B5EF4-FFF2-40B4-BE49-F238E27FC236}">
              <a16:creationId xmlns:a16="http://schemas.microsoft.com/office/drawing/2014/main" id="{A4364CB7-9C34-42C3-8306-BEB6F651BDE1}"/>
            </a:ext>
          </a:extLst>
        </xdr:cNvPr>
        <xdr:cNvPicPr preferRelativeResize="0"/>
      </xdr:nvPicPr>
      <xdr:blipFill>
        <a:blip xmlns:r="http://schemas.openxmlformats.org/officeDocument/2006/relationships" r:embed="rId4" cstate="print"/>
        <a:stretch>
          <a:fillRect/>
        </a:stretch>
      </xdr:blipFill>
      <xdr:spPr>
        <a:xfrm>
          <a:off x="27616785" y="280035"/>
          <a:ext cx="4552950" cy="2286000"/>
        </a:xfrm>
        <a:prstGeom prst="rect">
          <a:avLst/>
        </a:prstGeom>
        <a:noFill/>
      </xdr:spPr>
    </xdr:pic>
    <xdr:clientData fLocksWithSheet="0"/>
  </xdr:oneCellAnchor>
  <xdr:oneCellAnchor>
    <xdr:from>
      <xdr:col>19</xdr:col>
      <xdr:colOff>104775</xdr:colOff>
      <xdr:row>1</xdr:row>
      <xdr:rowOff>123825</xdr:rowOff>
    </xdr:from>
    <xdr:ext cx="5553075" cy="3000375"/>
    <xdr:pic>
      <xdr:nvPicPr>
        <xdr:cNvPr id="104" name="image3.png">
          <a:extLst>
            <a:ext uri="{FF2B5EF4-FFF2-40B4-BE49-F238E27FC236}">
              <a16:creationId xmlns:a16="http://schemas.microsoft.com/office/drawing/2014/main" id="{4435D001-7516-491F-92D0-24B5CFA7FBA6}"/>
            </a:ext>
          </a:extLst>
        </xdr:cNvPr>
        <xdr:cNvPicPr preferRelativeResize="0"/>
      </xdr:nvPicPr>
      <xdr:blipFill>
        <a:blip xmlns:r="http://schemas.openxmlformats.org/officeDocument/2006/relationships" r:embed="rId5" cstate="print"/>
        <a:stretch>
          <a:fillRect/>
        </a:stretch>
      </xdr:blipFill>
      <xdr:spPr>
        <a:xfrm>
          <a:off x="21181695" y="299085"/>
          <a:ext cx="5553075" cy="3000375"/>
        </a:xfrm>
        <a:prstGeom prst="rect">
          <a:avLst/>
        </a:prstGeom>
        <a:noFill/>
      </xdr:spPr>
    </xdr:pic>
    <xdr:clientData fLocksWithSheet="0"/>
  </xdr:oneCellAnchor>
  <xdr:oneCellAnchor>
    <xdr:from>
      <xdr:col>19</xdr:col>
      <xdr:colOff>9525</xdr:colOff>
      <xdr:row>27</xdr:row>
      <xdr:rowOff>0</xdr:rowOff>
    </xdr:from>
    <xdr:ext cx="5819775" cy="5095875"/>
    <xdr:pic>
      <xdr:nvPicPr>
        <xdr:cNvPr id="105" name="image6.png">
          <a:extLst>
            <a:ext uri="{FF2B5EF4-FFF2-40B4-BE49-F238E27FC236}">
              <a16:creationId xmlns:a16="http://schemas.microsoft.com/office/drawing/2014/main" id="{079AE053-E489-4F16-9F76-A5FDAFF18859}"/>
            </a:ext>
          </a:extLst>
        </xdr:cNvPr>
        <xdr:cNvPicPr preferRelativeResize="0"/>
      </xdr:nvPicPr>
      <xdr:blipFill>
        <a:blip xmlns:r="http://schemas.openxmlformats.org/officeDocument/2006/relationships" r:embed="rId6" cstate="print"/>
        <a:stretch>
          <a:fillRect/>
        </a:stretch>
      </xdr:blipFill>
      <xdr:spPr>
        <a:xfrm>
          <a:off x="21086445" y="8237220"/>
          <a:ext cx="5819775" cy="5095875"/>
        </a:xfrm>
        <a:prstGeom prst="rect">
          <a:avLst/>
        </a:prstGeom>
        <a:noFill/>
      </xdr:spPr>
    </xdr:pic>
    <xdr:clientData fLocksWithSheet="0"/>
  </xdr:oneCellAnchor>
  <xdr:oneCellAnchor>
    <xdr:from>
      <xdr:col>30</xdr:col>
      <xdr:colOff>85725</xdr:colOff>
      <xdr:row>27</xdr:row>
      <xdr:rowOff>0</xdr:rowOff>
    </xdr:from>
    <xdr:ext cx="5743575" cy="3933825"/>
    <xdr:pic>
      <xdr:nvPicPr>
        <xdr:cNvPr id="106" name="image9.png">
          <a:extLst>
            <a:ext uri="{FF2B5EF4-FFF2-40B4-BE49-F238E27FC236}">
              <a16:creationId xmlns:a16="http://schemas.microsoft.com/office/drawing/2014/main" id="{317D5F5C-F097-48B6-8017-9D6B05B848C4}"/>
            </a:ext>
          </a:extLst>
        </xdr:cNvPr>
        <xdr:cNvPicPr preferRelativeResize="0"/>
      </xdr:nvPicPr>
      <xdr:blipFill>
        <a:blip xmlns:r="http://schemas.openxmlformats.org/officeDocument/2006/relationships" r:embed="rId7" cstate="print"/>
        <a:stretch>
          <a:fillRect/>
        </a:stretch>
      </xdr:blipFill>
      <xdr:spPr>
        <a:xfrm>
          <a:off x="27616785" y="8237220"/>
          <a:ext cx="5743575" cy="3933825"/>
        </a:xfrm>
        <a:prstGeom prst="rect">
          <a:avLst/>
        </a:prstGeom>
        <a:noFill/>
      </xdr:spPr>
    </xdr:pic>
    <xdr:clientData fLocksWithSheet="0"/>
  </xdr:oneCellAnchor>
  <xdr:oneCellAnchor>
    <xdr:from>
      <xdr:col>19</xdr:col>
      <xdr:colOff>533400</xdr:colOff>
      <xdr:row>58</xdr:row>
      <xdr:rowOff>104775</xdr:rowOff>
    </xdr:from>
    <xdr:ext cx="7038975" cy="2381250"/>
    <xdr:pic>
      <xdr:nvPicPr>
        <xdr:cNvPr id="107" name="image5.png">
          <a:extLst>
            <a:ext uri="{FF2B5EF4-FFF2-40B4-BE49-F238E27FC236}">
              <a16:creationId xmlns:a16="http://schemas.microsoft.com/office/drawing/2014/main" id="{6E8CA369-7468-44F8-AA3F-CF85B206BE14}"/>
            </a:ext>
          </a:extLst>
        </xdr:cNvPr>
        <xdr:cNvPicPr preferRelativeResize="0"/>
      </xdr:nvPicPr>
      <xdr:blipFill>
        <a:blip xmlns:r="http://schemas.openxmlformats.org/officeDocument/2006/relationships" r:embed="rId8" cstate="print"/>
        <a:stretch>
          <a:fillRect/>
        </a:stretch>
      </xdr:blipFill>
      <xdr:spPr>
        <a:xfrm>
          <a:off x="21610320" y="13691235"/>
          <a:ext cx="7038975" cy="2381250"/>
        </a:xfrm>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dr:twoCellAnchor editAs="oneCell">
    <xdr:from>
      <xdr:col>10</xdr:col>
      <xdr:colOff>556261</xdr:colOff>
      <xdr:row>1</xdr:row>
      <xdr:rowOff>160021</xdr:rowOff>
    </xdr:from>
    <xdr:to>
      <xdr:col>12</xdr:col>
      <xdr:colOff>474191</xdr:colOff>
      <xdr:row>7</xdr:row>
      <xdr:rowOff>1</xdr:rowOff>
    </xdr:to>
    <xdr:pic>
      <xdr:nvPicPr>
        <xdr:cNvPr id="2" name="Picture 2">
          <a:extLst>
            <a:ext uri="{FF2B5EF4-FFF2-40B4-BE49-F238E27FC236}">
              <a16:creationId xmlns:a16="http://schemas.microsoft.com/office/drawing/2014/main" id="{CFC9AD85-6345-4386-80E7-09C10F73A04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59341" y="335281"/>
          <a:ext cx="1137130" cy="89154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6</xdr:col>
      <xdr:colOff>600075</xdr:colOff>
      <xdr:row>24</xdr:row>
      <xdr:rowOff>161925</xdr:rowOff>
    </xdr:from>
    <xdr:to>
      <xdr:col>14</xdr:col>
      <xdr:colOff>1114425</xdr:colOff>
      <xdr:row>34</xdr:row>
      <xdr:rowOff>152400</xdr:rowOff>
    </xdr:to>
    <xdr:sp macro="" textlink="">
      <xdr:nvSpPr>
        <xdr:cNvPr id="2" name="Oval 1">
          <a:extLst>
            <a:ext uri="{FF2B5EF4-FFF2-40B4-BE49-F238E27FC236}">
              <a16:creationId xmlns:a16="http://schemas.microsoft.com/office/drawing/2014/main" id="{58A70C9F-31AF-48C3-B770-9F04ABC0CAD0}"/>
            </a:ext>
          </a:extLst>
        </xdr:cNvPr>
        <xdr:cNvSpPr/>
      </xdr:nvSpPr>
      <xdr:spPr>
        <a:xfrm>
          <a:off x="8669655" y="5770245"/>
          <a:ext cx="9742170" cy="1743075"/>
        </a:xfrm>
        <a:prstGeom prst="ellipse">
          <a:avLst/>
        </a:prstGeom>
        <a:noFill/>
        <a:ln w="38100" cap="flat" cmpd="sng">
          <a:solidFill>
            <a:srgbClr val="31538F"/>
          </a:solidFill>
          <a:prstDash val="solid"/>
          <a:miter lim="800000"/>
          <a:headEnd type="none" w="sm" len="sm"/>
          <a:tailEnd type="none" w="sm" len="sm"/>
        </a:ln>
      </xdr:spPr>
      <xdr:txBody>
        <a:bodyPr spcFirstLastPara="1" wrap="square" lIns="91425" tIns="45700" rIns="91425" bIns="45700" anchor="t" anchorCtr="0">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lvl="0" indent="0" algn="l" rtl="0">
            <a:spcBef>
              <a:spcPts val="0"/>
            </a:spcBef>
            <a:spcAft>
              <a:spcPts val="0"/>
            </a:spcAft>
            <a:buSzPts val="1100"/>
            <a:buFont typeface="Arial"/>
            <a:buNone/>
          </a:pPr>
          <a:endParaRPr sz="1100"/>
        </a:p>
      </xdr:txBody>
    </xdr:sp>
    <xdr:clientData/>
  </xdr:twoCellAnchor>
  <xdr:twoCellAnchor>
    <xdr:from>
      <xdr:col>10</xdr:col>
      <xdr:colOff>38100</xdr:colOff>
      <xdr:row>33</xdr:row>
      <xdr:rowOff>123825</xdr:rowOff>
    </xdr:from>
    <xdr:to>
      <xdr:col>12</xdr:col>
      <xdr:colOff>85725</xdr:colOff>
      <xdr:row>36</xdr:row>
      <xdr:rowOff>19050</xdr:rowOff>
    </xdr:to>
    <xdr:sp macro="" textlink="">
      <xdr:nvSpPr>
        <xdr:cNvPr id="3" name="Oval 2">
          <a:extLst>
            <a:ext uri="{FF2B5EF4-FFF2-40B4-BE49-F238E27FC236}">
              <a16:creationId xmlns:a16="http://schemas.microsoft.com/office/drawing/2014/main" id="{E17BB513-5037-4494-9759-87A175F2497C}"/>
            </a:ext>
            <a:ext uri="{147F2762-F138-4A5C-976F-8EAC2B608ADB}">
              <a16:predDERef xmlns:a16="http://schemas.microsoft.com/office/drawing/2014/main" pred="{B705D988-B27D-4269-84F6-B54A84CD340D}"/>
            </a:ext>
          </a:extLst>
        </xdr:cNvPr>
        <xdr:cNvSpPr/>
      </xdr:nvSpPr>
      <xdr:spPr>
        <a:xfrm rot="10800000" flipH="1">
          <a:off x="12176760" y="7309485"/>
          <a:ext cx="2615565" cy="421005"/>
        </a:xfrm>
        <a:prstGeom prst="ellipse">
          <a:avLst/>
        </a:prstGeom>
        <a:noFill/>
        <a:ln w="38100" cap="flat" cmpd="sng">
          <a:solidFill>
            <a:srgbClr val="517E33"/>
          </a:solidFill>
          <a:prstDash val="solid"/>
          <a:miter lim="800000"/>
          <a:headEnd type="none" w="sm" len="sm"/>
          <a:tailEnd type="none" w="sm" len="sm"/>
        </a:ln>
      </xdr:spPr>
      <xdr:txBody>
        <a:bodyPr spcFirstLastPara="1" wrap="square" lIns="91425" tIns="45700" rIns="91425" bIns="45700" anchor="t" anchorCtr="0">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lvl="0" indent="0" algn="l" rtl="0">
            <a:spcBef>
              <a:spcPts val="0"/>
            </a:spcBef>
            <a:spcAft>
              <a:spcPts val="0"/>
            </a:spcAft>
            <a:buSzPts val="1100"/>
            <a:buFont typeface="Arial"/>
            <a:buNone/>
          </a:pPr>
          <a:endParaRPr sz="1100"/>
        </a:p>
      </xdr:txBody>
    </xdr:sp>
    <xdr:clientData/>
  </xdr:twoCellAnchor>
  <xdr:twoCellAnchor>
    <xdr:from>
      <xdr:col>9</xdr:col>
      <xdr:colOff>571500</xdr:colOff>
      <xdr:row>35</xdr:row>
      <xdr:rowOff>47625</xdr:rowOff>
    </xdr:from>
    <xdr:to>
      <xdr:col>12</xdr:col>
      <xdr:colOff>428625</xdr:colOff>
      <xdr:row>37</xdr:row>
      <xdr:rowOff>104775</xdr:rowOff>
    </xdr:to>
    <xdr:sp macro="" textlink="">
      <xdr:nvSpPr>
        <xdr:cNvPr id="4" name="Oval 3">
          <a:extLst>
            <a:ext uri="{FF2B5EF4-FFF2-40B4-BE49-F238E27FC236}">
              <a16:creationId xmlns:a16="http://schemas.microsoft.com/office/drawing/2014/main" id="{BFDF7867-713E-4EA6-A6DD-CC48546A7F38}"/>
            </a:ext>
            <a:ext uri="{147F2762-F138-4A5C-976F-8EAC2B608ADB}">
              <a16:predDERef xmlns:a16="http://schemas.microsoft.com/office/drawing/2014/main" pred="{A255D506-963F-43D1-9D5D-4AD03079AC24}"/>
            </a:ext>
          </a:extLst>
        </xdr:cNvPr>
        <xdr:cNvSpPr/>
      </xdr:nvSpPr>
      <xdr:spPr>
        <a:xfrm rot="10800000" flipH="1">
          <a:off x="11742420" y="7583805"/>
          <a:ext cx="3392805" cy="407670"/>
        </a:xfrm>
        <a:prstGeom prst="ellipse">
          <a:avLst/>
        </a:prstGeom>
        <a:noFill/>
        <a:ln w="38100" cap="flat" cmpd="sng">
          <a:solidFill>
            <a:srgbClr val="BA8C00"/>
          </a:solidFill>
          <a:prstDash val="solid"/>
          <a:miter lim="800000"/>
          <a:headEnd type="none" w="sm" len="sm"/>
          <a:tailEnd type="none" w="sm" len="sm"/>
        </a:ln>
      </xdr:spPr>
      <xdr:txBody>
        <a:bodyPr spcFirstLastPara="1" wrap="square" lIns="91425" tIns="45700" rIns="91425" bIns="45700" anchor="t" anchorCtr="0">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lvl="0" indent="0" algn="l" rtl="0">
            <a:spcBef>
              <a:spcPts val="0"/>
            </a:spcBef>
            <a:spcAft>
              <a:spcPts val="0"/>
            </a:spcAft>
            <a:buSzPts val="1100"/>
            <a:buFont typeface="Arial"/>
            <a:buNone/>
          </a:pPr>
          <a:endParaRPr sz="1100"/>
        </a:p>
      </xdr:txBody>
    </xdr:sp>
    <xdr:clientData/>
  </xdr:twoCellAnchor>
  <xdr:twoCellAnchor>
    <xdr:from>
      <xdr:col>9</xdr:col>
      <xdr:colOff>600075</xdr:colOff>
      <xdr:row>36</xdr:row>
      <xdr:rowOff>142875</xdr:rowOff>
    </xdr:from>
    <xdr:to>
      <xdr:col>12</xdr:col>
      <xdr:colOff>466725</xdr:colOff>
      <xdr:row>39</xdr:row>
      <xdr:rowOff>28575</xdr:rowOff>
    </xdr:to>
    <xdr:sp macro="" textlink="">
      <xdr:nvSpPr>
        <xdr:cNvPr id="5" name="Oval 4">
          <a:extLst>
            <a:ext uri="{FF2B5EF4-FFF2-40B4-BE49-F238E27FC236}">
              <a16:creationId xmlns:a16="http://schemas.microsoft.com/office/drawing/2014/main" id="{E005C5E5-DB6E-4796-A98A-D4C73265EAFB}"/>
            </a:ext>
            <a:ext uri="{147F2762-F138-4A5C-976F-8EAC2B608ADB}">
              <a16:predDERef xmlns:a16="http://schemas.microsoft.com/office/drawing/2014/main" pred="{58B98210-0123-4C88-8860-3A0BE74156EA}"/>
            </a:ext>
          </a:extLst>
        </xdr:cNvPr>
        <xdr:cNvSpPr/>
      </xdr:nvSpPr>
      <xdr:spPr>
        <a:xfrm rot="10800000" flipH="1">
          <a:off x="11770995" y="7854315"/>
          <a:ext cx="3402330" cy="411480"/>
        </a:xfrm>
        <a:prstGeom prst="ellipse">
          <a:avLst/>
        </a:prstGeom>
        <a:noFill/>
        <a:ln w="38100" cap="flat" cmpd="sng">
          <a:solidFill>
            <a:schemeClr val="dk1"/>
          </a:solidFill>
          <a:prstDash val="solid"/>
          <a:miter lim="800000"/>
          <a:headEnd type="none" w="sm" len="sm"/>
          <a:tailEnd type="none" w="sm" len="sm"/>
        </a:ln>
      </xdr:spPr>
      <xdr:txBody>
        <a:bodyPr spcFirstLastPara="1" wrap="square" lIns="91425" tIns="45700" rIns="91425" bIns="45700" anchor="t" anchorCtr="0">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lvl="0" indent="0" algn="l" rtl="0">
            <a:spcBef>
              <a:spcPts val="0"/>
            </a:spcBef>
            <a:spcAft>
              <a:spcPts val="0"/>
            </a:spcAft>
            <a:buSzPts val="1100"/>
            <a:buFont typeface="Arial"/>
            <a:buNone/>
          </a:pPr>
          <a:endParaRPr sz="1100"/>
        </a:p>
      </xdr:txBody>
    </xdr:sp>
    <xdr:clientData/>
  </xdr:twoCellAnchor>
  <xdr:twoCellAnchor>
    <xdr:from>
      <xdr:col>5</xdr:col>
      <xdr:colOff>352425</xdr:colOff>
      <xdr:row>41</xdr:row>
      <xdr:rowOff>66675</xdr:rowOff>
    </xdr:from>
    <xdr:to>
      <xdr:col>7</xdr:col>
      <xdr:colOff>200025</xdr:colOff>
      <xdr:row>44</xdr:row>
      <xdr:rowOff>76200</xdr:rowOff>
    </xdr:to>
    <xdr:sp macro="" textlink="">
      <xdr:nvSpPr>
        <xdr:cNvPr id="6" name="Oval 5">
          <a:extLst>
            <a:ext uri="{FF2B5EF4-FFF2-40B4-BE49-F238E27FC236}">
              <a16:creationId xmlns:a16="http://schemas.microsoft.com/office/drawing/2014/main" id="{D445DBBC-C3B2-45A4-AD3D-020FB795DFBF}"/>
            </a:ext>
            <a:ext uri="{147F2762-F138-4A5C-976F-8EAC2B608ADB}">
              <a16:predDERef xmlns:a16="http://schemas.microsoft.com/office/drawing/2014/main" pred="{1892BCA9-7222-401C-B85C-4F2C24DA18B8}"/>
            </a:ext>
          </a:extLst>
        </xdr:cNvPr>
        <xdr:cNvSpPr/>
      </xdr:nvSpPr>
      <xdr:spPr>
        <a:xfrm>
          <a:off x="7560945" y="8654415"/>
          <a:ext cx="1569720" cy="535305"/>
        </a:xfrm>
        <a:prstGeom prst="ellipse">
          <a:avLst/>
        </a:prstGeom>
        <a:noFill/>
        <a:ln w="38100" cap="flat" cmpd="sng">
          <a:solidFill>
            <a:srgbClr val="AC5B23"/>
          </a:solidFill>
          <a:prstDash val="solid"/>
          <a:miter lim="800000"/>
          <a:headEnd type="none" w="sm" len="sm"/>
          <a:tailEnd type="none" w="sm" len="sm"/>
        </a:ln>
      </xdr:spPr>
      <xdr:txBody>
        <a:bodyPr spcFirstLastPara="1" wrap="square" lIns="91425" tIns="45700" rIns="91425" bIns="45700" anchor="t" anchorCtr="0">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lvl="0" indent="0" algn="l" rtl="0">
            <a:spcBef>
              <a:spcPts val="0"/>
            </a:spcBef>
            <a:spcAft>
              <a:spcPts val="0"/>
            </a:spcAft>
            <a:buSzPts val="1100"/>
            <a:buFont typeface="Arial"/>
            <a:buNone/>
          </a:pPr>
          <a:endParaRPr sz="1100"/>
        </a:p>
      </xdr:txBody>
    </xdr:sp>
    <xdr:clientData/>
  </xdr:twoCellAnchor>
  <xdr:twoCellAnchor>
    <xdr:from>
      <xdr:col>9</xdr:col>
      <xdr:colOff>638175</xdr:colOff>
      <xdr:row>41</xdr:row>
      <xdr:rowOff>28575</xdr:rowOff>
    </xdr:from>
    <xdr:to>
      <xdr:col>11</xdr:col>
      <xdr:colOff>352425</xdr:colOff>
      <xdr:row>44</xdr:row>
      <xdr:rowOff>66675</xdr:rowOff>
    </xdr:to>
    <xdr:sp macro="" textlink="">
      <xdr:nvSpPr>
        <xdr:cNvPr id="7" name="Oval 6">
          <a:extLst>
            <a:ext uri="{FF2B5EF4-FFF2-40B4-BE49-F238E27FC236}">
              <a16:creationId xmlns:a16="http://schemas.microsoft.com/office/drawing/2014/main" id="{B1F7DA13-DEC7-4232-9F35-2A7D3DC3345D}"/>
            </a:ext>
            <a:ext uri="{147F2762-F138-4A5C-976F-8EAC2B608ADB}">
              <a16:predDERef xmlns:a16="http://schemas.microsoft.com/office/drawing/2014/main" pred="{586D817C-B59F-4A16-B07D-A9C73F8F0B6B}"/>
            </a:ext>
          </a:extLst>
        </xdr:cNvPr>
        <xdr:cNvSpPr/>
      </xdr:nvSpPr>
      <xdr:spPr>
        <a:xfrm>
          <a:off x="11809095" y="8616315"/>
          <a:ext cx="1771650" cy="563880"/>
        </a:xfrm>
        <a:prstGeom prst="ellipse">
          <a:avLst/>
        </a:prstGeom>
        <a:noFill/>
        <a:ln w="38100" cap="flat" cmpd="sng">
          <a:solidFill>
            <a:srgbClr val="FF0000"/>
          </a:solidFill>
          <a:prstDash val="solid"/>
          <a:miter lim="800000"/>
          <a:headEnd type="none" w="sm" len="sm"/>
          <a:tailEnd type="none" w="sm" len="sm"/>
        </a:ln>
      </xdr:spPr>
      <xdr:txBody>
        <a:bodyPr spcFirstLastPara="1" wrap="square" lIns="91425" tIns="45700" rIns="91425" bIns="45700" anchor="t" anchorCtr="0">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lvl="0" indent="0" algn="l" rtl="0">
            <a:spcBef>
              <a:spcPts val="0"/>
            </a:spcBef>
            <a:spcAft>
              <a:spcPts val="0"/>
            </a:spcAft>
            <a:buSzPts val="1100"/>
            <a:buFont typeface="Arial"/>
            <a:buNone/>
          </a:pPr>
          <a:endParaRPr sz="1100"/>
        </a:p>
      </xdr:txBody>
    </xdr:sp>
    <xdr:clientData/>
  </xdr:twoCellAnchor>
  <xdr:twoCellAnchor>
    <xdr:from>
      <xdr:col>8</xdr:col>
      <xdr:colOff>47625</xdr:colOff>
      <xdr:row>67</xdr:row>
      <xdr:rowOff>85725</xdr:rowOff>
    </xdr:from>
    <xdr:to>
      <xdr:col>13</xdr:col>
      <xdr:colOff>561975</xdr:colOff>
      <xdr:row>71</xdr:row>
      <xdr:rowOff>142875</xdr:rowOff>
    </xdr:to>
    <xdr:sp macro="" textlink="">
      <xdr:nvSpPr>
        <xdr:cNvPr id="8" name="Oval 7">
          <a:extLst>
            <a:ext uri="{FF2B5EF4-FFF2-40B4-BE49-F238E27FC236}">
              <a16:creationId xmlns:a16="http://schemas.microsoft.com/office/drawing/2014/main" id="{3138B3E3-5E6E-4559-BF08-0DC635B2861B}"/>
            </a:ext>
            <a:ext uri="{147F2762-F138-4A5C-976F-8EAC2B608ADB}">
              <a16:predDERef xmlns:a16="http://schemas.microsoft.com/office/drawing/2014/main" pred="{B24472D0-FE23-4911-A9ED-28F073161105}"/>
            </a:ext>
          </a:extLst>
        </xdr:cNvPr>
        <xdr:cNvSpPr/>
      </xdr:nvSpPr>
      <xdr:spPr>
        <a:xfrm rot="10800000" flipH="1">
          <a:off x="9770745" y="13321665"/>
          <a:ext cx="6656070" cy="758190"/>
        </a:xfrm>
        <a:prstGeom prst="ellipse">
          <a:avLst/>
        </a:prstGeom>
        <a:noFill/>
        <a:ln w="38100" cap="flat" cmpd="sng">
          <a:solidFill>
            <a:srgbClr val="FF0000"/>
          </a:solidFill>
          <a:prstDash val="solid"/>
          <a:miter lim="800000"/>
          <a:headEnd type="none" w="sm" len="sm"/>
          <a:tailEnd type="none" w="sm" len="sm"/>
        </a:ln>
      </xdr:spPr>
      <xdr:txBody>
        <a:bodyPr spcFirstLastPara="1" wrap="square" lIns="91425" tIns="45700" rIns="91425" bIns="45700" anchor="t" anchorCtr="0">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lvl="0" indent="0" algn="l" rtl="0">
            <a:spcBef>
              <a:spcPts val="0"/>
            </a:spcBef>
            <a:spcAft>
              <a:spcPts val="0"/>
            </a:spcAft>
            <a:buSzPts val="1100"/>
            <a:buFont typeface="Arial"/>
            <a:buNone/>
          </a:pPr>
          <a:endParaRPr sz="1100"/>
        </a:p>
      </xdr:txBody>
    </xdr:sp>
    <xdr:clientData/>
  </xdr:twoCellAnchor>
  <xdr:twoCellAnchor>
    <xdr:from>
      <xdr:col>5</xdr:col>
      <xdr:colOff>457200</xdr:colOff>
      <xdr:row>71</xdr:row>
      <xdr:rowOff>0</xdr:rowOff>
    </xdr:from>
    <xdr:to>
      <xdr:col>7</xdr:col>
      <xdr:colOff>304800</xdr:colOff>
      <xdr:row>74</xdr:row>
      <xdr:rowOff>9525</xdr:rowOff>
    </xdr:to>
    <xdr:sp macro="" textlink="">
      <xdr:nvSpPr>
        <xdr:cNvPr id="9" name="Oval 8">
          <a:extLst>
            <a:ext uri="{FF2B5EF4-FFF2-40B4-BE49-F238E27FC236}">
              <a16:creationId xmlns:a16="http://schemas.microsoft.com/office/drawing/2014/main" id="{3644EC1A-0DF7-46E8-AAFC-5BC49756235A}"/>
            </a:ext>
            <a:ext uri="{147F2762-F138-4A5C-976F-8EAC2B608ADB}">
              <a16:predDERef xmlns:a16="http://schemas.microsoft.com/office/drawing/2014/main" pred="{1D09986C-C4B3-49DD-8B1B-63546E0BB3B0}"/>
            </a:ext>
          </a:extLst>
        </xdr:cNvPr>
        <xdr:cNvSpPr/>
      </xdr:nvSpPr>
      <xdr:spPr>
        <a:xfrm rot="10800000" flipH="1">
          <a:off x="7665720" y="13936980"/>
          <a:ext cx="1569720" cy="535305"/>
        </a:xfrm>
        <a:prstGeom prst="ellipse">
          <a:avLst/>
        </a:prstGeom>
        <a:noFill/>
        <a:ln w="38100" cap="flat" cmpd="sng">
          <a:solidFill>
            <a:srgbClr val="AC5B23"/>
          </a:solidFill>
          <a:prstDash val="solid"/>
          <a:miter lim="800000"/>
          <a:headEnd type="none" w="sm" len="sm"/>
          <a:tailEnd type="none" w="sm" len="sm"/>
        </a:ln>
      </xdr:spPr>
      <xdr:txBody>
        <a:bodyPr spcFirstLastPara="1" wrap="square" lIns="91425" tIns="45700" rIns="91425" bIns="45700" anchor="t" anchorCtr="0">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lvl="0" indent="0" algn="l" rtl="0">
            <a:spcBef>
              <a:spcPts val="0"/>
            </a:spcBef>
            <a:spcAft>
              <a:spcPts val="0"/>
            </a:spcAft>
            <a:buSzPts val="1100"/>
            <a:buFont typeface="Arial"/>
            <a:buNone/>
          </a:pPr>
          <a:endParaRPr sz="1100"/>
        </a:p>
      </xdr:txBody>
    </xdr:sp>
    <xdr:clientData/>
  </xdr:twoCellAnchor>
  <xdr:twoCellAnchor>
    <xdr:from>
      <xdr:col>8</xdr:col>
      <xdr:colOff>85725</xdr:colOff>
      <xdr:row>70</xdr:row>
      <xdr:rowOff>171450</xdr:rowOff>
    </xdr:from>
    <xdr:to>
      <xdr:col>8</xdr:col>
      <xdr:colOff>619125</xdr:colOff>
      <xdr:row>74</xdr:row>
      <xdr:rowOff>66675</xdr:rowOff>
    </xdr:to>
    <xdr:sp macro="" textlink="">
      <xdr:nvSpPr>
        <xdr:cNvPr id="10" name="Oval 9">
          <a:extLst>
            <a:ext uri="{FF2B5EF4-FFF2-40B4-BE49-F238E27FC236}">
              <a16:creationId xmlns:a16="http://schemas.microsoft.com/office/drawing/2014/main" id="{CFDA05A3-D235-404C-92B0-E705183EFCDD}"/>
            </a:ext>
            <a:ext uri="{147F2762-F138-4A5C-976F-8EAC2B608ADB}">
              <a16:predDERef xmlns:a16="http://schemas.microsoft.com/office/drawing/2014/main" pred="{5D8A160A-07D0-4BE2-B8CB-3D0C1485A774}"/>
            </a:ext>
          </a:extLst>
        </xdr:cNvPr>
        <xdr:cNvSpPr/>
      </xdr:nvSpPr>
      <xdr:spPr>
        <a:xfrm>
          <a:off x="9808845" y="13933170"/>
          <a:ext cx="533400" cy="596265"/>
        </a:xfrm>
        <a:prstGeom prst="ellipse">
          <a:avLst/>
        </a:prstGeom>
        <a:noFill/>
        <a:ln w="38100" cap="flat" cmpd="sng">
          <a:solidFill>
            <a:srgbClr val="517E33"/>
          </a:solidFill>
          <a:prstDash val="solid"/>
          <a:miter lim="800000"/>
          <a:headEnd type="none" w="sm" len="sm"/>
          <a:tailEnd type="none" w="sm" len="sm"/>
        </a:ln>
      </xdr:spPr>
      <xdr:txBody>
        <a:bodyPr spcFirstLastPara="1" wrap="square" lIns="91425" tIns="45700" rIns="91425" bIns="45700" anchor="t" anchorCtr="0">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lvl="0" indent="0" algn="l" rtl="0">
            <a:spcBef>
              <a:spcPts val="0"/>
            </a:spcBef>
            <a:spcAft>
              <a:spcPts val="0"/>
            </a:spcAft>
            <a:buSzPts val="1100"/>
            <a:buFont typeface="Arial"/>
            <a:buNone/>
          </a:pPr>
          <a:endParaRPr sz="1100"/>
        </a:p>
      </xdr:txBody>
    </xdr:sp>
    <xdr:clientData/>
  </xdr:twoCellAnchor>
  <xdr:twoCellAnchor>
    <xdr:from>
      <xdr:col>13</xdr:col>
      <xdr:colOff>285750</xdr:colOff>
      <xdr:row>71</xdr:row>
      <xdr:rowOff>28575</xdr:rowOff>
    </xdr:from>
    <xdr:to>
      <xdr:col>14</xdr:col>
      <xdr:colOff>619125</xdr:colOff>
      <xdr:row>80</xdr:row>
      <xdr:rowOff>114300</xdr:rowOff>
    </xdr:to>
    <xdr:sp macro="" textlink="">
      <xdr:nvSpPr>
        <xdr:cNvPr id="11" name="Oval 10">
          <a:extLst>
            <a:ext uri="{FF2B5EF4-FFF2-40B4-BE49-F238E27FC236}">
              <a16:creationId xmlns:a16="http://schemas.microsoft.com/office/drawing/2014/main" id="{9A447543-B237-4DA2-8F25-15AB1E87A9C1}"/>
            </a:ext>
            <a:ext uri="{147F2762-F138-4A5C-976F-8EAC2B608ADB}">
              <a16:predDERef xmlns:a16="http://schemas.microsoft.com/office/drawing/2014/main" pred="{6A789310-AD29-459D-889E-A91D13190625}"/>
            </a:ext>
          </a:extLst>
        </xdr:cNvPr>
        <xdr:cNvSpPr/>
      </xdr:nvSpPr>
      <xdr:spPr>
        <a:xfrm>
          <a:off x="16150590" y="13965555"/>
          <a:ext cx="1765935" cy="1663065"/>
        </a:xfrm>
        <a:prstGeom prst="ellipse">
          <a:avLst/>
        </a:prstGeom>
        <a:noFill/>
        <a:ln w="38100" cap="flat" cmpd="sng">
          <a:solidFill>
            <a:schemeClr val="dk1"/>
          </a:solidFill>
          <a:prstDash val="solid"/>
          <a:miter lim="800000"/>
          <a:headEnd type="none" w="sm" len="sm"/>
          <a:tailEnd type="none" w="sm" len="sm"/>
        </a:ln>
      </xdr:spPr>
      <xdr:txBody>
        <a:bodyPr spcFirstLastPara="1" wrap="square" lIns="91425" tIns="45700" rIns="91425" bIns="45700" anchor="t" anchorCtr="0">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lvl="0" indent="0" algn="l" rtl="0">
            <a:spcBef>
              <a:spcPts val="0"/>
            </a:spcBef>
            <a:spcAft>
              <a:spcPts val="0"/>
            </a:spcAft>
            <a:buSzPts val="1100"/>
            <a:buFont typeface="Arial"/>
            <a:buNone/>
          </a:pPr>
          <a:endParaRPr sz="1100"/>
        </a:p>
      </xdr:txBody>
    </xdr:sp>
    <xdr:clientData/>
  </xdr:twoCellAnchor>
  <xdr:twoCellAnchor>
    <xdr:from>
      <xdr:col>8</xdr:col>
      <xdr:colOff>95250</xdr:colOff>
      <xdr:row>99</xdr:row>
      <xdr:rowOff>142875</xdr:rowOff>
    </xdr:from>
    <xdr:to>
      <xdr:col>13</xdr:col>
      <xdr:colOff>619125</xdr:colOff>
      <xdr:row>103</xdr:row>
      <xdr:rowOff>85725</xdr:rowOff>
    </xdr:to>
    <xdr:sp macro="" textlink="">
      <xdr:nvSpPr>
        <xdr:cNvPr id="12" name="Oval 11">
          <a:extLst>
            <a:ext uri="{FF2B5EF4-FFF2-40B4-BE49-F238E27FC236}">
              <a16:creationId xmlns:a16="http://schemas.microsoft.com/office/drawing/2014/main" id="{4BBB41EF-CB1F-4583-826B-487DA7966E4D}"/>
            </a:ext>
            <a:ext uri="{147F2762-F138-4A5C-976F-8EAC2B608ADB}">
              <a16:predDERef xmlns:a16="http://schemas.microsoft.com/office/drawing/2014/main" pred="{72C7DD0F-0B9A-49FC-A7AC-043A5F399B47}"/>
            </a:ext>
          </a:extLst>
        </xdr:cNvPr>
        <xdr:cNvSpPr/>
      </xdr:nvSpPr>
      <xdr:spPr>
        <a:xfrm rot="10800000" flipH="1">
          <a:off x="9818370" y="19086195"/>
          <a:ext cx="6665595" cy="643890"/>
        </a:xfrm>
        <a:prstGeom prst="ellipse">
          <a:avLst/>
        </a:prstGeom>
        <a:noFill/>
        <a:ln w="38100" cap="flat" cmpd="sng">
          <a:solidFill>
            <a:srgbClr val="FF0000"/>
          </a:solidFill>
          <a:prstDash val="solid"/>
          <a:miter lim="800000"/>
          <a:headEnd type="none" w="sm" len="sm"/>
          <a:tailEnd type="none" w="sm" len="sm"/>
        </a:ln>
      </xdr:spPr>
      <xdr:txBody>
        <a:bodyPr spcFirstLastPara="1" wrap="square" lIns="91425" tIns="45700" rIns="91425" bIns="45700" anchor="t" anchorCtr="0">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lvl="0" indent="0" algn="l" rtl="0">
            <a:spcBef>
              <a:spcPts val="0"/>
            </a:spcBef>
            <a:spcAft>
              <a:spcPts val="0"/>
            </a:spcAft>
            <a:buSzPts val="1100"/>
            <a:buFont typeface="Arial"/>
            <a:buNone/>
          </a:pPr>
          <a:endParaRPr sz="1100"/>
        </a:p>
      </xdr:txBody>
    </xdr:sp>
    <xdr:clientData/>
  </xdr:twoCellAnchor>
  <xdr:twoCellAnchor>
    <xdr:from>
      <xdr:col>3</xdr:col>
      <xdr:colOff>476250</xdr:colOff>
      <xdr:row>105</xdr:row>
      <xdr:rowOff>123825</xdr:rowOff>
    </xdr:from>
    <xdr:to>
      <xdr:col>5</xdr:col>
      <xdr:colOff>495300</xdr:colOff>
      <xdr:row>110</xdr:row>
      <xdr:rowOff>57150</xdr:rowOff>
    </xdr:to>
    <xdr:sp macro="" textlink="">
      <xdr:nvSpPr>
        <xdr:cNvPr id="13" name="Oval 12">
          <a:extLst>
            <a:ext uri="{FF2B5EF4-FFF2-40B4-BE49-F238E27FC236}">
              <a16:creationId xmlns:a16="http://schemas.microsoft.com/office/drawing/2014/main" id="{EDAB83F3-150A-493C-836E-650CB70A1345}"/>
            </a:ext>
            <a:ext uri="{147F2762-F138-4A5C-976F-8EAC2B608ADB}">
              <a16:predDERef xmlns:a16="http://schemas.microsoft.com/office/drawing/2014/main" pred="{EF31B23D-632C-400C-8E12-F909FCBFE242}"/>
            </a:ext>
          </a:extLst>
        </xdr:cNvPr>
        <xdr:cNvSpPr/>
      </xdr:nvSpPr>
      <xdr:spPr>
        <a:xfrm>
          <a:off x="6351270" y="20118705"/>
          <a:ext cx="1352550" cy="809625"/>
        </a:xfrm>
        <a:prstGeom prst="ellipse">
          <a:avLst/>
        </a:prstGeom>
        <a:noFill/>
        <a:ln w="38100" cap="flat" cmpd="sng">
          <a:solidFill>
            <a:schemeClr val="dk1"/>
          </a:solidFill>
          <a:prstDash val="solid"/>
          <a:miter lim="800000"/>
          <a:headEnd type="none" w="sm" len="sm"/>
          <a:tailEnd type="none" w="sm" len="sm"/>
        </a:ln>
      </xdr:spPr>
      <xdr:txBody>
        <a:bodyPr spcFirstLastPara="1" wrap="square" lIns="91425" tIns="45700" rIns="91425" bIns="45700" anchor="t" anchorCtr="0">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lvl="0" indent="0" algn="l" rtl="0">
            <a:spcBef>
              <a:spcPts val="0"/>
            </a:spcBef>
            <a:spcAft>
              <a:spcPts val="0"/>
            </a:spcAft>
            <a:buSzPts val="1100"/>
            <a:buFont typeface="Arial"/>
            <a:buNone/>
          </a:pPr>
          <a:endParaRPr sz="1100"/>
        </a:p>
      </xdr:txBody>
    </xdr:sp>
    <xdr:clientData/>
  </xdr:twoCellAnchor>
  <xdr:twoCellAnchor>
    <xdr:from>
      <xdr:col>6</xdr:col>
      <xdr:colOff>600075</xdr:colOff>
      <xdr:row>106</xdr:row>
      <xdr:rowOff>76200</xdr:rowOff>
    </xdr:from>
    <xdr:to>
      <xdr:col>7</xdr:col>
      <xdr:colOff>276225</xdr:colOff>
      <xdr:row>109</xdr:row>
      <xdr:rowOff>152400</xdr:rowOff>
    </xdr:to>
    <xdr:sp macro="" textlink="">
      <xdr:nvSpPr>
        <xdr:cNvPr id="14" name="Oval 13">
          <a:extLst>
            <a:ext uri="{FF2B5EF4-FFF2-40B4-BE49-F238E27FC236}">
              <a16:creationId xmlns:a16="http://schemas.microsoft.com/office/drawing/2014/main" id="{2A32F6EC-6CEA-4B17-B1DA-E88E92FD7720}"/>
            </a:ext>
            <a:ext uri="{147F2762-F138-4A5C-976F-8EAC2B608ADB}">
              <a16:predDERef xmlns:a16="http://schemas.microsoft.com/office/drawing/2014/main" pred="{F4D28FDA-4ECD-4CA9-9973-85CBD290937E}"/>
            </a:ext>
          </a:extLst>
        </xdr:cNvPr>
        <xdr:cNvSpPr/>
      </xdr:nvSpPr>
      <xdr:spPr>
        <a:xfrm>
          <a:off x="8669655" y="20246340"/>
          <a:ext cx="537210" cy="601980"/>
        </a:xfrm>
        <a:prstGeom prst="ellipse">
          <a:avLst/>
        </a:prstGeom>
        <a:noFill/>
        <a:ln w="38100" cap="flat" cmpd="sng">
          <a:solidFill>
            <a:srgbClr val="517E33"/>
          </a:solidFill>
          <a:prstDash val="solid"/>
          <a:miter lim="800000"/>
          <a:headEnd type="none" w="sm" len="sm"/>
          <a:tailEnd type="none" w="sm" len="sm"/>
        </a:ln>
      </xdr:spPr>
      <xdr:txBody>
        <a:bodyPr spcFirstLastPara="1" wrap="square" lIns="91425" tIns="45700" rIns="91425" bIns="45700" anchor="t" anchorCtr="0">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lvl="0" indent="0" algn="l" rtl="0">
            <a:spcBef>
              <a:spcPts val="0"/>
            </a:spcBef>
            <a:spcAft>
              <a:spcPts val="0"/>
            </a:spcAft>
            <a:buSzPts val="1100"/>
            <a:buFont typeface="Arial"/>
            <a:buNone/>
          </a:pPr>
          <a:endParaRPr sz="1100"/>
        </a:p>
      </xdr:txBody>
    </xdr:sp>
    <xdr:clientData/>
  </xdr:twoCellAnchor>
  <xdr:twoCellAnchor>
    <xdr:from>
      <xdr:col>9</xdr:col>
      <xdr:colOff>114300</xdr:colOff>
      <xdr:row>106</xdr:row>
      <xdr:rowOff>66675</xdr:rowOff>
    </xdr:from>
    <xdr:to>
      <xdr:col>9</xdr:col>
      <xdr:colOff>676275</xdr:colOff>
      <xdr:row>109</xdr:row>
      <xdr:rowOff>123825</xdr:rowOff>
    </xdr:to>
    <xdr:sp macro="" textlink="">
      <xdr:nvSpPr>
        <xdr:cNvPr id="15" name="Oval 14">
          <a:extLst>
            <a:ext uri="{FF2B5EF4-FFF2-40B4-BE49-F238E27FC236}">
              <a16:creationId xmlns:a16="http://schemas.microsoft.com/office/drawing/2014/main" id="{B1A740E2-A6D1-418D-925B-4D9CBB0D2638}"/>
            </a:ext>
            <a:ext uri="{147F2762-F138-4A5C-976F-8EAC2B608ADB}">
              <a16:predDERef xmlns:a16="http://schemas.microsoft.com/office/drawing/2014/main" pred="{99E8B75B-22EF-4283-A6C2-A408C06C52D0}"/>
            </a:ext>
          </a:extLst>
        </xdr:cNvPr>
        <xdr:cNvSpPr/>
      </xdr:nvSpPr>
      <xdr:spPr>
        <a:xfrm rot="10800000" flipH="1">
          <a:off x="11285220" y="20236815"/>
          <a:ext cx="561975" cy="582930"/>
        </a:xfrm>
        <a:prstGeom prst="ellipse">
          <a:avLst/>
        </a:prstGeom>
        <a:noFill/>
        <a:ln w="38100" cap="flat" cmpd="sng">
          <a:solidFill>
            <a:srgbClr val="AC5B23"/>
          </a:solidFill>
          <a:prstDash val="solid"/>
          <a:miter lim="800000"/>
          <a:headEnd type="none" w="sm" len="sm"/>
          <a:tailEnd type="none" w="sm" len="sm"/>
        </a:ln>
      </xdr:spPr>
      <xdr:txBody>
        <a:bodyPr spcFirstLastPara="1" wrap="square" lIns="91425" tIns="45700" rIns="91425" bIns="45700" anchor="t" anchorCtr="0">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lvl="0" indent="0" algn="l" rtl="0">
            <a:spcBef>
              <a:spcPts val="0"/>
            </a:spcBef>
            <a:spcAft>
              <a:spcPts val="0"/>
            </a:spcAft>
            <a:buSzPts val="1100"/>
            <a:buFont typeface="Arial"/>
            <a:buNone/>
          </a:pPr>
          <a:endParaRPr sz="1100"/>
        </a:p>
      </xdr:txBody>
    </xdr:sp>
    <xdr:clientData/>
  </xdr:twoCellAnchor>
  <xdr:twoCellAnchor editAs="oneCell">
    <xdr:from>
      <xdr:col>3</xdr:col>
      <xdr:colOff>533400</xdr:colOff>
      <xdr:row>99</xdr:row>
      <xdr:rowOff>57150</xdr:rowOff>
    </xdr:from>
    <xdr:to>
      <xdr:col>11</xdr:col>
      <xdr:colOff>390525</xdr:colOff>
      <xdr:row>116</xdr:row>
      <xdr:rowOff>57150</xdr:rowOff>
    </xdr:to>
    <xdr:pic>
      <xdr:nvPicPr>
        <xdr:cNvPr id="16" name="Picture 15" title="Image">
          <a:extLst>
            <a:ext uri="{FF2B5EF4-FFF2-40B4-BE49-F238E27FC236}">
              <a16:creationId xmlns:a16="http://schemas.microsoft.com/office/drawing/2014/main" id="{082A30A5-5741-4DFD-8316-65D2FA7AF9D4}"/>
            </a:ext>
            <a:ext uri="{147F2762-F138-4A5C-976F-8EAC2B608ADB}">
              <a16:predDERef xmlns:a16="http://schemas.microsoft.com/office/drawing/2014/main" pred="{FFBD8A3C-625D-42A4-AFBA-7C7E4FCE378E}"/>
            </a:ext>
          </a:extLst>
        </xdr:cNvPr>
        <xdr:cNvPicPr preferRelativeResize="0"/>
      </xdr:nvPicPr>
      <xdr:blipFill>
        <a:blip xmlns:r="http://schemas.openxmlformats.org/officeDocument/2006/relationships" r:embed="rId1" cstate="print"/>
        <a:stretch>
          <a:fillRect/>
        </a:stretch>
      </xdr:blipFill>
      <xdr:spPr>
        <a:xfrm>
          <a:off x="6408420" y="19000470"/>
          <a:ext cx="7210425" cy="2979420"/>
        </a:xfrm>
        <a:prstGeom prst="rect">
          <a:avLst/>
        </a:prstGeom>
        <a:noFill/>
      </xdr:spPr>
    </xdr:pic>
    <xdr:clientData/>
  </xdr:twoCellAnchor>
  <xdr:twoCellAnchor editAs="oneCell">
    <xdr:from>
      <xdr:col>5</xdr:col>
      <xdr:colOff>457200</xdr:colOff>
      <xdr:row>63</xdr:row>
      <xdr:rowOff>9525</xdr:rowOff>
    </xdr:from>
    <xdr:to>
      <xdr:col>12</xdr:col>
      <xdr:colOff>190500</xdr:colOff>
      <xdr:row>92</xdr:row>
      <xdr:rowOff>38100</xdr:rowOff>
    </xdr:to>
    <xdr:pic>
      <xdr:nvPicPr>
        <xdr:cNvPr id="17" name="Picture 16">
          <a:extLst>
            <a:ext uri="{FF2B5EF4-FFF2-40B4-BE49-F238E27FC236}">
              <a16:creationId xmlns:a16="http://schemas.microsoft.com/office/drawing/2014/main" id="{3BE24524-137C-4B96-BEF1-40B3658E5F54}"/>
            </a:ext>
            <a:ext uri="{147F2762-F138-4A5C-976F-8EAC2B608ADB}">
              <a16:predDERef xmlns:a16="http://schemas.microsoft.com/office/drawing/2014/main" pred="{399379E7-48F7-4F47-AB5F-B1BF817ED8CA}"/>
            </a:ext>
          </a:extLst>
        </xdr:cNvPr>
        <xdr:cNvPicPr preferRelativeResize="0"/>
      </xdr:nvPicPr>
      <xdr:blipFill>
        <a:blip xmlns:r="http://schemas.openxmlformats.org/officeDocument/2006/relationships" r:embed="rId2" cstate="print"/>
        <a:stretch>
          <a:fillRect/>
        </a:stretch>
      </xdr:blipFill>
      <xdr:spPr>
        <a:xfrm>
          <a:off x="7665720" y="12544425"/>
          <a:ext cx="7231380" cy="5210175"/>
        </a:xfrm>
        <a:prstGeom prst="rect">
          <a:avLst/>
        </a:prstGeom>
        <a:noFill/>
      </xdr:spPr>
    </xdr:pic>
    <xdr:clientData/>
  </xdr:twoCellAnchor>
  <xdr:twoCellAnchor editAs="oneCell">
    <xdr:from>
      <xdr:col>6</xdr:col>
      <xdr:colOff>28575</xdr:colOff>
      <xdr:row>24</xdr:row>
      <xdr:rowOff>142875</xdr:rowOff>
    </xdr:from>
    <xdr:to>
      <xdr:col>12</xdr:col>
      <xdr:colOff>962025</xdr:colOff>
      <xdr:row>57</xdr:row>
      <xdr:rowOff>66675</xdr:rowOff>
    </xdr:to>
    <xdr:pic>
      <xdr:nvPicPr>
        <xdr:cNvPr id="18" name="Picture 17">
          <a:extLst>
            <a:ext uri="{FF2B5EF4-FFF2-40B4-BE49-F238E27FC236}">
              <a16:creationId xmlns:a16="http://schemas.microsoft.com/office/drawing/2014/main" id="{DECDEBBE-93B8-4772-AAE4-EC7C1B19D528}"/>
            </a:ext>
            <a:ext uri="{147F2762-F138-4A5C-976F-8EAC2B608ADB}">
              <a16:predDERef xmlns:a16="http://schemas.microsoft.com/office/drawing/2014/main" pred="{DF87CF31-9794-45F3-BD30-7E3862E46BCF}"/>
            </a:ext>
          </a:extLst>
        </xdr:cNvPr>
        <xdr:cNvPicPr preferRelativeResize="0"/>
      </xdr:nvPicPr>
      <xdr:blipFill>
        <a:blip xmlns:r="http://schemas.openxmlformats.org/officeDocument/2006/relationships" r:embed="rId3" cstate="print"/>
        <a:stretch>
          <a:fillRect/>
        </a:stretch>
      </xdr:blipFill>
      <xdr:spPr>
        <a:xfrm>
          <a:off x="8098155" y="5751195"/>
          <a:ext cx="7570470" cy="5775960"/>
        </a:xfrm>
        <a:prstGeom prst="rect">
          <a:avLst/>
        </a:prstGeom>
        <a:noFill/>
      </xdr:spPr>
    </xdr:pic>
    <xdr:clientData/>
  </xdr:twoCellAnchor>
  <xdr:twoCellAnchor editAs="oneCell">
    <xdr:from>
      <xdr:col>31</xdr:col>
      <xdr:colOff>209550</xdr:colOff>
      <xdr:row>1</xdr:row>
      <xdr:rowOff>104775</xdr:rowOff>
    </xdr:from>
    <xdr:to>
      <xdr:col>39</xdr:col>
      <xdr:colOff>114300</xdr:colOff>
      <xdr:row>14</xdr:row>
      <xdr:rowOff>38100</xdr:rowOff>
    </xdr:to>
    <xdr:pic>
      <xdr:nvPicPr>
        <xdr:cNvPr id="19" name="Picture 18">
          <a:extLst>
            <a:ext uri="{FF2B5EF4-FFF2-40B4-BE49-F238E27FC236}">
              <a16:creationId xmlns:a16="http://schemas.microsoft.com/office/drawing/2014/main" id="{7AFF698D-B7C0-4F97-9275-16084FCDBCF4}"/>
            </a:ext>
            <a:ext uri="{147F2762-F138-4A5C-976F-8EAC2B608ADB}">
              <a16:predDERef xmlns:a16="http://schemas.microsoft.com/office/drawing/2014/main" pred="{ED0928BA-9AA2-49A2-A06F-D69298E113A8}"/>
            </a:ext>
          </a:extLst>
        </xdr:cNvPr>
        <xdr:cNvPicPr preferRelativeResize="0"/>
      </xdr:nvPicPr>
      <xdr:blipFill>
        <a:blip xmlns:r="http://schemas.openxmlformats.org/officeDocument/2006/relationships" r:embed="rId4" cstate="print"/>
        <a:stretch>
          <a:fillRect/>
        </a:stretch>
      </xdr:blipFill>
      <xdr:spPr>
        <a:xfrm>
          <a:off x="31855410" y="280035"/>
          <a:ext cx="4781550" cy="2211705"/>
        </a:xfrm>
        <a:prstGeom prst="rect">
          <a:avLst/>
        </a:prstGeom>
        <a:noFill/>
      </xdr:spPr>
    </xdr:pic>
    <xdr:clientData/>
  </xdr:twoCellAnchor>
  <xdr:twoCellAnchor editAs="oneCell">
    <xdr:from>
      <xdr:col>19</xdr:col>
      <xdr:colOff>809625</xdr:colOff>
      <xdr:row>1</xdr:row>
      <xdr:rowOff>123825</xdr:rowOff>
    </xdr:from>
    <xdr:to>
      <xdr:col>28</xdr:col>
      <xdr:colOff>361950</xdr:colOff>
      <xdr:row>18</xdr:row>
      <xdr:rowOff>47625</xdr:rowOff>
    </xdr:to>
    <xdr:pic>
      <xdr:nvPicPr>
        <xdr:cNvPr id="20" name="Picture 19">
          <a:extLst>
            <a:ext uri="{FF2B5EF4-FFF2-40B4-BE49-F238E27FC236}">
              <a16:creationId xmlns:a16="http://schemas.microsoft.com/office/drawing/2014/main" id="{DF8687FC-C43D-4497-B083-5274994EC95B}"/>
            </a:ext>
            <a:ext uri="{147F2762-F138-4A5C-976F-8EAC2B608ADB}">
              <a16:predDERef xmlns:a16="http://schemas.microsoft.com/office/drawing/2014/main" pred="{DCFF7A47-6AB3-4584-850A-090EC60DB4AC}"/>
            </a:ext>
          </a:extLst>
        </xdr:cNvPr>
        <xdr:cNvPicPr preferRelativeResize="0"/>
      </xdr:nvPicPr>
      <xdr:blipFill>
        <a:blip xmlns:r="http://schemas.openxmlformats.org/officeDocument/2006/relationships" r:embed="rId5" cstate="print"/>
        <a:stretch>
          <a:fillRect/>
        </a:stretch>
      </xdr:blipFill>
      <xdr:spPr>
        <a:xfrm>
          <a:off x="24370665" y="299085"/>
          <a:ext cx="5808345" cy="2903220"/>
        </a:xfrm>
        <a:prstGeom prst="rect">
          <a:avLst/>
        </a:prstGeom>
        <a:noFill/>
      </xdr:spPr>
    </xdr:pic>
    <xdr:clientData/>
  </xdr:twoCellAnchor>
  <xdr:twoCellAnchor editAs="oneCell">
    <xdr:from>
      <xdr:col>19</xdr:col>
      <xdr:colOff>714375</xdr:colOff>
      <xdr:row>31</xdr:row>
      <xdr:rowOff>123825</xdr:rowOff>
    </xdr:from>
    <xdr:to>
      <xdr:col>28</xdr:col>
      <xdr:colOff>533400</xdr:colOff>
      <xdr:row>59</xdr:row>
      <xdr:rowOff>66676</xdr:rowOff>
    </xdr:to>
    <xdr:pic>
      <xdr:nvPicPr>
        <xdr:cNvPr id="21" name="Picture 20">
          <a:extLst>
            <a:ext uri="{FF2B5EF4-FFF2-40B4-BE49-F238E27FC236}">
              <a16:creationId xmlns:a16="http://schemas.microsoft.com/office/drawing/2014/main" id="{52FDEE90-B516-4B97-81AC-FC8979226162}"/>
            </a:ext>
            <a:ext uri="{147F2762-F138-4A5C-976F-8EAC2B608ADB}">
              <a16:predDERef xmlns:a16="http://schemas.microsoft.com/office/drawing/2014/main" pred="{5976C04E-61DC-4405-905E-AE7116BEDBDB}"/>
            </a:ext>
          </a:extLst>
        </xdr:cNvPr>
        <xdr:cNvPicPr preferRelativeResize="0"/>
      </xdr:nvPicPr>
      <xdr:blipFill>
        <a:blip xmlns:r="http://schemas.openxmlformats.org/officeDocument/2006/relationships" r:embed="rId6" cstate="print"/>
        <a:stretch>
          <a:fillRect/>
        </a:stretch>
      </xdr:blipFill>
      <xdr:spPr>
        <a:xfrm>
          <a:off x="24275415" y="6958965"/>
          <a:ext cx="6075045" cy="4941571"/>
        </a:xfrm>
        <a:prstGeom prst="rect">
          <a:avLst/>
        </a:prstGeom>
        <a:noFill/>
      </xdr:spPr>
    </xdr:pic>
    <xdr:clientData/>
  </xdr:twoCellAnchor>
  <xdr:twoCellAnchor editAs="oneCell">
    <xdr:from>
      <xdr:col>31</xdr:col>
      <xdr:colOff>209550</xdr:colOff>
      <xdr:row>31</xdr:row>
      <xdr:rowOff>104775</xdr:rowOff>
    </xdr:from>
    <xdr:to>
      <xdr:col>40</xdr:col>
      <xdr:colOff>723900</xdr:colOff>
      <xdr:row>53</xdr:row>
      <xdr:rowOff>214</xdr:rowOff>
    </xdr:to>
    <xdr:pic>
      <xdr:nvPicPr>
        <xdr:cNvPr id="22" name="Picture 21">
          <a:extLst>
            <a:ext uri="{FF2B5EF4-FFF2-40B4-BE49-F238E27FC236}">
              <a16:creationId xmlns:a16="http://schemas.microsoft.com/office/drawing/2014/main" id="{FB88A17B-2FCE-4EBF-94D1-F34564569351}"/>
            </a:ext>
            <a:ext uri="{147F2762-F138-4A5C-976F-8EAC2B608ADB}">
              <a16:predDERef xmlns:a16="http://schemas.microsoft.com/office/drawing/2014/main" pred="{4744A8C3-2678-44A7-BB14-8FCBC01F8D7A}"/>
            </a:ext>
          </a:extLst>
        </xdr:cNvPr>
        <xdr:cNvPicPr preferRelativeResize="0"/>
      </xdr:nvPicPr>
      <xdr:blipFill>
        <a:blip xmlns:r="http://schemas.openxmlformats.org/officeDocument/2006/relationships" r:embed="rId7" cstate="print"/>
        <a:stretch>
          <a:fillRect/>
        </a:stretch>
      </xdr:blipFill>
      <xdr:spPr>
        <a:xfrm>
          <a:off x="31855410" y="6939915"/>
          <a:ext cx="6000750" cy="3815715"/>
        </a:xfrm>
        <a:prstGeom prst="rect">
          <a:avLst/>
        </a:prstGeom>
        <a:noFill/>
      </xdr:spPr>
    </xdr:pic>
    <xdr:clientData/>
  </xdr:twoCellAnchor>
  <xdr:twoCellAnchor editAs="oneCell">
    <xdr:from>
      <xdr:col>19</xdr:col>
      <xdr:colOff>1238250</xdr:colOff>
      <xdr:row>68</xdr:row>
      <xdr:rowOff>104775</xdr:rowOff>
    </xdr:from>
    <xdr:to>
      <xdr:col>31</xdr:col>
      <xdr:colOff>533400</xdr:colOff>
      <xdr:row>81</xdr:row>
      <xdr:rowOff>133350</xdr:rowOff>
    </xdr:to>
    <xdr:pic>
      <xdr:nvPicPr>
        <xdr:cNvPr id="23" name="Picture 22">
          <a:extLst>
            <a:ext uri="{FF2B5EF4-FFF2-40B4-BE49-F238E27FC236}">
              <a16:creationId xmlns:a16="http://schemas.microsoft.com/office/drawing/2014/main" id="{7837C5E5-C4B9-4480-9157-63BE2BF21365}"/>
            </a:ext>
            <a:ext uri="{147F2762-F138-4A5C-976F-8EAC2B608ADB}">
              <a16:predDERef xmlns:a16="http://schemas.microsoft.com/office/drawing/2014/main" pred="{6540E46F-97DD-4E63-9FCC-0D9509C4C08C}"/>
            </a:ext>
          </a:extLst>
        </xdr:cNvPr>
        <xdr:cNvPicPr preferRelativeResize="0"/>
      </xdr:nvPicPr>
      <xdr:blipFill>
        <a:blip xmlns:r="http://schemas.openxmlformats.org/officeDocument/2006/relationships" r:embed="rId8" cstate="print"/>
        <a:stretch>
          <a:fillRect/>
        </a:stretch>
      </xdr:blipFill>
      <xdr:spPr>
        <a:xfrm>
          <a:off x="24799290" y="13515975"/>
          <a:ext cx="7379970" cy="2306955"/>
        </a:xfrm>
        <a:prstGeom prst="rect">
          <a:avLst/>
        </a:prstGeom>
        <a:noFill/>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10</xdr:col>
      <xdr:colOff>559953</xdr:colOff>
      <xdr:row>1</xdr:row>
      <xdr:rowOff>23048</xdr:rowOff>
    </xdr:from>
    <xdr:to>
      <xdr:col>12</xdr:col>
      <xdr:colOff>570924</xdr:colOff>
      <xdr:row>7</xdr:row>
      <xdr:rowOff>153638</xdr:rowOff>
    </xdr:to>
    <xdr:pic>
      <xdr:nvPicPr>
        <xdr:cNvPr id="2" name="Picture 1">
          <a:extLst>
            <a:ext uri="{FF2B5EF4-FFF2-40B4-BE49-F238E27FC236}">
              <a16:creationId xmlns:a16="http://schemas.microsoft.com/office/drawing/2014/main" id="{E09903D3-5AF7-4F6F-B363-CADCCD8611C2}"/>
            </a:ext>
          </a:extLst>
        </xdr:cNvPr>
        <xdr:cNvPicPr>
          <a:picLocks noChangeAspect="1"/>
        </xdr:cNvPicPr>
      </xdr:nvPicPr>
      <xdr:blipFill>
        <a:blip xmlns:r="http://schemas.openxmlformats.org/officeDocument/2006/relationships" r:embed="rId1"/>
        <a:stretch>
          <a:fillRect/>
        </a:stretch>
      </xdr:blipFill>
      <xdr:spPr>
        <a:xfrm>
          <a:off x="10069713" y="198308"/>
          <a:ext cx="1209216" cy="1182150"/>
        </a:xfrm>
        <a:prstGeom prst="rect">
          <a:avLst/>
        </a:prstGeom>
      </xdr:spPr>
    </xdr:pic>
    <xdr:clientData/>
  </xdr:twoCellAnchor>
  <xdr:twoCellAnchor editAs="oneCell">
    <xdr:from>
      <xdr:col>0</xdr:col>
      <xdr:colOff>281986</xdr:colOff>
      <xdr:row>49</xdr:row>
      <xdr:rowOff>29505</xdr:rowOff>
    </xdr:from>
    <xdr:to>
      <xdr:col>2</xdr:col>
      <xdr:colOff>482987</xdr:colOff>
      <xdr:row>63</xdr:row>
      <xdr:rowOff>124739</xdr:rowOff>
    </xdr:to>
    <xdr:pic>
      <xdr:nvPicPr>
        <xdr:cNvPr id="3" name="Picture 1">
          <a:extLst>
            <a:ext uri="{FF2B5EF4-FFF2-40B4-BE49-F238E27FC236}">
              <a16:creationId xmlns:a16="http://schemas.microsoft.com/office/drawing/2014/main" id="{193BFF39-A5B3-41E0-85DE-4CC8C5B80967}"/>
            </a:ext>
          </a:extLst>
        </xdr:cNvPr>
        <xdr:cNvPicPr>
          <a:picLocks noChangeAspect="1"/>
        </xdr:cNvPicPr>
      </xdr:nvPicPr>
      <xdr:blipFill>
        <a:blip xmlns:r="http://schemas.openxmlformats.org/officeDocument/2006/relationships" r:embed="rId2"/>
        <a:stretch>
          <a:fillRect/>
        </a:stretch>
      </xdr:blipFill>
      <xdr:spPr>
        <a:xfrm>
          <a:off x="281986" y="8617245"/>
          <a:ext cx="4285321" cy="2548874"/>
        </a:xfrm>
        <a:prstGeom prst="rect">
          <a:avLst/>
        </a:prstGeom>
      </xdr:spPr>
    </xdr:pic>
    <xdr:clientData/>
  </xdr:twoCellAnchor>
  <xdr:twoCellAnchor editAs="oneCell">
    <xdr:from>
      <xdr:col>3</xdr:col>
      <xdr:colOff>19192</xdr:colOff>
      <xdr:row>49</xdr:row>
      <xdr:rowOff>33507</xdr:rowOff>
    </xdr:from>
    <xdr:to>
      <xdr:col>7</xdr:col>
      <xdr:colOff>570343</xdr:colOff>
      <xdr:row>62</xdr:row>
      <xdr:rowOff>133511</xdr:rowOff>
    </xdr:to>
    <xdr:pic>
      <xdr:nvPicPr>
        <xdr:cNvPr id="4" name="Picture 2">
          <a:extLst>
            <a:ext uri="{FF2B5EF4-FFF2-40B4-BE49-F238E27FC236}">
              <a16:creationId xmlns:a16="http://schemas.microsoft.com/office/drawing/2014/main" id="{C785A91A-97E1-4B0E-96E4-C56401CB6B96}"/>
            </a:ext>
          </a:extLst>
        </xdr:cNvPr>
        <xdr:cNvPicPr>
          <a:picLocks noChangeAspect="1"/>
        </xdr:cNvPicPr>
      </xdr:nvPicPr>
      <xdr:blipFill>
        <a:blip xmlns:r="http://schemas.openxmlformats.org/officeDocument/2006/relationships" r:embed="rId3"/>
        <a:stretch>
          <a:fillRect/>
        </a:stretch>
      </xdr:blipFill>
      <xdr:spPr>
        <a:xfrm>
          <a:off x="4766452" y="8621247"/>
          <a:ext cx="3530571" cy="2378384"/>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oneCellAnchor>
    <xdr:from>
      <xdr:col>3</xdr:col>
      <xdr:colOff>266700</xdr:colOff>
      <xdr:row>131</xdr:row>
      <xdr:rowOff>19050</xdr:rowOff>
    </xdr:from>
    <xdr:ext cx="7010400" cy="3076575"/>
    <xdr:pic>
      <xdr:nvPicPr>
        <xdr:cNvPr id="2" name="image7.png" title="Image">
          <a:extLst>
            <a:ext uri="{FF2B5EF4-FFF2-40B4-BE49-F238E27FC236}">
              <a16:creationId xmlns:a16="http://schemas.microsoft.com/office/drawing/2014/main" id="{74FB25B1-2D50-47E7-9AB1-2EBCE928C11D}"/>
            </a:ext>
            <a:ext uri="{147F2762-F138-4A5C-976F-8EAC2B608ADB}">
              <a16:predDERef xmlns:a16="http://schemas.microsoft.com/office/drawing/2014/main" pred="{00000000-0008-0000-0400-00005D000000}"/>
            </a:ext>
          </a:extLst>
        </xdr:cNvPr>
        <xdr:cNvPicPr preferRelativeResize="0"/>
      </xdr:nvPicPr>
      <xdr:blipFill>
        <a:blip xmlns:r="http://schemas.openxmlformats.org/officeDocument/2006/relationships" r:embed="rId1" cstate="print"/>
        <a:stretch>
          <a:fillRect/>
        </a:stretch>
      </xdr:blipFill>
      <xdr:spPr>
        <a:xfrm>
          <a:off x="6019800" y="23404830"/>
          <a:ext cx="7010400" cy="3076575"/>
        </a:xfrm>
        <a:prstGeom prst="rect">
          <a:avLst/>
        </a:prstGeom>
        <a:noFill/>
      </xdr:spPr>
    </xdr:pic>
    <xdr:clientData fLocksWithSheet="0"/>
  </xdr:oneCellAnchor>
  <xdr:oneCellAnchor>
    <xdr:from>
      <xdr:col>6</xdr:col>
      <xdr:colOff>600075</xdr:colOff>
      <xdr:row>57</xdr:row>
      <xdr:rowOff>-19050</xdr:rowOff>
    </xdr:from>
    <xdr:ext cx="6553200" cy="1800225"/>
    <xdr:sp macro="" textlink="">
      <xdr:nvSpPr>
        <xdr:cNvPr id="3" name="Shape 20">
          <a:extLst>
            <a:ext uri="{FF2B5EF4-FFF2-40B4-BE49-F238E27FC236}">
              <a16:creationId xmlns:a16="http://schemas.microsoft.com/office/drawing/2014/main" id="{F66499E0-C52F-464F-8C3B-EF4A4BDFB12F}"/>
            </a:ext>
          </a:extLst>
        </xdr:cNvPr>
        <xdr:cNvSpPr/>
      </xdr:nvSpPr>
      <xdr:spPr>
        <a:xfrm>
          <a:off x="8547735" y="10039350"/>
          <a:ext cx="6553200" cy="1800225"/>
        </a:xfrm>
        <a:prstGeom prst="ellipse">
          <a:avLst/>
        </a:prstGeom>
        <a:noFill/>
        <a:ln w="38100" cap="flat" cmpd="sng">
          <a:solidFill>
            <a:srgbClr val="31538F"/>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xdr:col>
      <xdr:colOff>1057275</xdr:colOff>
      <xdr:row>57</xdr:row>
      <xdr:rowOff>66675</xdr:rowOff>
    </xdr:from>
    <xdr:ext cx="6477000" cy="342900"/>
    <xdr:grpSp>
      <xdr:nvGrpSpPr>
        <xdr:cNvPr id="4" name="Shape 2">
          <a:extLst>
            <a:ext uri="{FF2B5EF4-FFF2-40B4-BE49-F238E27FC236}">
              <a16:creationId xmlns:a16="http://schemas.microsoft.com/office/drawing/2014/main" id="{77AFE08C-9282-477F-A61B-CF257FB630CB}"/>
            </a:ext>
          </a:extLst>
        </xdr:cNvPr>
        <xdr:cNvGrpSpPr/>
      </xdr:nvGrpSpPr>
      <xdr:grpSpPr>
        <a:xfrm>
          <a:off x="2087707" y="10007311"/>
          <a:ext cx="6477000" cy="342900"/>
          <a:chOff x="2107500" y="3608550"/>
          <a:chExt cx="6477001" cy="342900"/>
        </a:xfrm>
      </xdr:grpSpPr>
      <xdr:grpSp>
        <xdr:nvGrpSpPr>
          <xdr:cNvPr id="5" name="Shape 21">
            <a:extLst>
              <a:ext uri="{FF2B5EF4-FFF2-40B4-BE49-F238E27FC236}">
                <a16:creationId xmlns:a16="http://schemas.microsoft.com/office/drawing/2014/main" id="{7A020E45-8002-2EAB-8C8F-B220D7A5411F}"/>
              </a:ext>
            </a:extLst>
          </xdr:cNvPr>
          <xdr:cNvGrpSpPr/>
        </xdr:nvGrpSpPr>
        <xdr:grpSpPr>
          <a:xfrm>
            <a:off x="2107500" y="3608550"/>
            <a:ext cx="6477001" cy="342900"/>
            <a:chOff x="2107500" y="3608550"/>
            <a:chExt cx="6477001" cy="342900"/>
          </a:xfrm>
        </xdr:grpSpPr>
        <xdr:sp macro="" textlink="">
          <xdr:nvSpPr>
            <xdr:cNvPr id="6" name="Shape 4">
              <a:extLst>
                <a:ext uri="{FF2B5EF4-FFF2-40B4-BE49-F238E27FC236}">
                  <a16:creationId xmlns:a16="http://schemas.microsoft.com/office/drawing/2014/main" id="{AC4B9FF5-6D96-FDB6-7441-5549D06CE0DD}"/>
                </a:ext>
              </a:extLst>
            </xdr:cNvPr>
            <xdr:cNvSpPr/>
          </xdr:nvSpPr>
          <xdr:spPr>
            <a:xfrm>
              <a:off x="2107500" y="3608550"/>
              <a:ext cx="6477000" cy="3429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7" name="Shape 22">
              <a:extLst>
                <a:ext uri="{FF2B5EF4-FFF2-40B4-BE49-F238E27FC236}">
                  <a16:creationId xmlns:a16="http://schemas.microsoft.com/office/drawing/2014/main" id="{B65F56D2-F1CD-93D2-68F4-1CF730C82AA0}"/>
                </a:ext>
              </a:extLst>
            </xdr:cNvPr>
            <xdr:cNvGrpSpPr/>
          </xdr:nvGrpSpPr>
          <xdr:grpSpPr>
            <a:xfrm>
              <a:off x="2107500" y="3608550"/>
              <a:ext cx="6477001" cy="342900"/>
              <a:chOff x="2126550" y="3627600"/>
              <a:chExt cx="6438900" cy="304800"/>
            </a:xfrm>
          </xdr:grpSpPr>
          <xdr:sp macro="" textlink="">
            <xdr:nvSpPr>
              <xdr:cNvPr id="8" name="Shape 23">
                <a:extLst>
                  <a:ext uri="{FF2B5EF4-FFF2-40B4-BE49-F238E27FC236}">
                    <a16:creationId xmlns:a16="http://schemas.microsoft.com/office/drawing/2014/main" id="{2667A404-A9F3-7281-AE86-B38F4B4F0D9A}"/>
                  </a:ext>
                </a:extLst>
              </xdr:cNvPr>
              <xdr:cNvSpPr/>
            </xdr:nvSpPr>
            <xdr:spPr>
              <a:xfrm>
                <a:off x="2126550" y="3627600"/>
                <a:ext cx="6438900" cy="3048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9" name="Shape 24">
                <a:extLst>
                  <a:ext uri="{FF2B5EF4-FFF2-40B4-BE49-F238E27FC236}">
                    <a16:creationId xmlns:a16="http://schemas.microsoft.com/office/drawing/2014/main" id="{EE31D3D7-8201-3B9B-E18A-52EF1A78E8EA}"/>
                  </a:ext>
                </a:extLst>
              </xdr:cNvPr>
              <xdr:cNvCxnSpPr/>
            </xdr:nvCxnSpPr>
            <xdr:spPr>
              <a:xfrm rot="10800000">
                <a:off x="2126550" y="3627600"/>
                <a:ext cx="6438900" cy="304800"/>
              </a:xfrm>
              <a:prstGeom prst="straightConnector1">
                <a:avLst/>
              </a:prstGeom>
              <a:noFill/>
              <a:ln w="38100" cap="flat" cmpd="sng">
                <a:solidFill>
                  <a:schemeClr val="accent1"/>
                </a:solidFill>
                <a:prstDash val="solid"/>
                <a:miter lim="800000"/>
                <a:headEnd type="none" w="sm" len="sm"/>
                <a:tailEnd type="triangle" w="med" len="med"/>
              </a:ln>
            </xdr:spPr>
          </xdr:cxnSp>
        </xdr:grpSp>
      </xdr:grpSp>
    </xdr:grpSp>
    <xdr:clientData fLocksWithSheet="0"/>
  </xdr:oneCellAnchor>
  <xdr:oneCellAnchor>
    <xdr:from>
      <xdr:col>10</xdr:col>
      <xdr:colOff>38100</xdr:colOff>
      <xdr:row>65</xdr:row>
      <xdr:rowOff>123825</xdr:rowOff>
    </xdr:from>
    <xdr:ext cx="1476375" cy="457200"/>
    <xdr:sp macro="" textlink="">
      <xdr:nvSpPr>
        <xdr:cNvPr id="10" name="Shape 25">
          <a:extLst>
            <a:ext uri="{FF2B5EF4-FFF2-40B4-BE49-F238E27FC236}">
              <a16:creationId xmlns:a16="http://schemas.microsoft.com/office/drawing/2014/main" id="{F2BB3437-1298-4B0F-AF0E-F248EF6F8A11}"/>
            </a:ext>
          </a:extLst>
        </xdr:cNvPr>
        <xdr:cNvSpPr/>
      </xdr:nvSpPr>
      <xdr:spPr>
        <a:xfrm rot="10800000" flipH="1">
          <a:off x="11003280" y="11584305"/>
          <a:ext cx="1476375" cy="457200"/>
        </a:xfrm>
        <a:prstGeom prst="ellipse">
          <a:avLst/>
        </a:prstGeom>
        <a:noFill/>
        <a:ln w="38100" cap="flat" cmpd="sng">
          <a:solidFill>
            <a:srgbClr val="517E33"/>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5</xdr:col>
      <xdr:colOff>361950</xdr:colOff>
      <xdr:row>59</xdr:row>
      <xdr:rowOff>95250</xdr:rowOff>
    </xdr:from>
    <xdr:ext cx="3619500" cy="1362075"/>
    <xdr:grpSp>
      <xdr:nvGrpSpPr>
        <xdr:cNvPr id="11" name="Shape 2">
          <a:extLst>
            <a:ext uri="{FF2B5EF4-FFF2-40B4-BE49-F238E27FC236}">
              <a16:creationId xmlns:a16="http://schemas.microsoft.com/office/drawing/2014/main" id="{8D93149A-FE41-4B50-8F38-7C1CCCDA492C}"/>
            </a:ext>
          </a:extLst>
        </xdr:cNvPr>
        <xdr:cNvGrpSpPr/>
      </xdr:nvGrpSpPr>
      <xdr:grpSpPr>
        <a:xfrm>
          <a:off x="7445086" y="10382250"/>
          <a:ext cx="3619500" cy="1362075"/>
          <a:chOff x="3536250" y="3098963"/>
          <a:chExt cx="3619500" cy="1362075"/>
        </a:xfrm>
      </xdr:grpSpPr>
      <xdr:grpSp>
        <xdr:nvGrpSpPr>
          <xdr:cNvPr id="12" name="Shape 26">
            <a:extLst>
              <a:ext uri="{FF2B5EF4-FFF2-40B4-BE49-F238E27FC236}">
                <a16:creationId xmlns:a16="http://schemas.microsoft.com/office/drawing/2014/main" id="{CA67C002-A966-0256-3C4C-258414CB6B4D}"/>
              </a:ext>
            </a:extLst>
          </xdr:cNvPr>
          <xdr:cNvGrpSpPr/>
        </xdr:nvGrpSpPr>
        <xdr:grpSpPr>
          <a:xfrm>
            <a:off x="3536250" y="3098963"/>
            <a:ext cx="3619500" cy="1362075"/>
            <a:chOff x="3536250" y="3098963"/>
            <a:chExt cx="3619500" cy="1362075"/>
          </a:xfrm>
        </xdr:grpSpPr>
        <xdr:sp macro="" textlink="">
          <xdr:nvSpPr>
            <xdr:cNvPr id="13" name="Shape 4">
              <a:extLst>
                <a:ext uri="{FF2B5EF4-FFF2-40B4-BE49-F238E27FC236}">
                  <a16:creationId xmlns:a16="http://schemas.microsoft.com/office/drawing/2014/main" id="{1C78EFF6-CCD2-4564-41AF-3115A81CAC60}"/>
                </a:ext>
              </a:extLst>
            </xdr:cNvPr>
            <xdr:cNvSpPr/>
          </xdr:nvSpPr>
          <xdr:spPr>
            <a:xfrm>
              <a:off x="3536250" y="3098963"/>
              <a:ext cx="3619500" cy="13620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14" name="Shape 27">
              <a:extLst>
                <a:ext uri="{FF2B5EF4-FFF2-40B4-BE49-F238E27FC236}">
                  <a16:creationId xmlns:a16="http://schemas.microsoft.com/office/drawing/2014/main" id="{6B562717-DD3F-9DC0-20C1-8E99722E2041}"/>
                </a:ext>
              </a:extLst>
            </xdr:cNvPr>
            <xdr:cNvGrpSpPr/>
          </xdr:nvGrpSpPr>
          <xdr:grpSpPr>
            <a:xfrm>
              <a:off x="3536250" y="3098963"/>
              <a:ext cx="3619500" cy="1362075"/>
              <a:chOff x="3555300" y="3118088"/>
              <a:chExt cx="3581400" cy="1323900"/>
            </a:xfrm>
          </xdr:grpSpPr>
          <xdr:sp macro="" textlink="">
            <xdr:nvSpPr>
              <xdr:cNvPr id="15" name="Shape 28">
                <a:extLst>
                  <a:ext uri="{FF2B5EF4-FFF2-40B4-BE49-F238E27FC236}">
                    <a16:creationId xmlns:a16="http://schemas.microsoft.com/office/drawing/2014/main" id="{8AEEE97A-F9D5-3769-EFAA-FC59B397C854}"/>
                  </a:ext>
                </a:extLst>
              </xdr:cNvPr>
              <xdr:cNvSpPr/>
            </xdr:nvSpPr>
            <xdr:spPr>
              <a:xfrm>
                <a:off x="3555300" y="3118088"/>
                <a:ext cx="3581400" cy="13239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16" name="Shape 29">
                <a:extLst>
                  <a:ext uri="{FF2B5EF4-FFF2-40B4-BE49-F238E27FC236}">
                    <a16:creationId xmlns:a16="http://schemas.microsoft.com/office/drawing/2014/main" id="{4519BEF2-7721-85B2-7F86-705333EA426D}"/>
                  </a:ext>
                </a:extLst>
              </xdr:cNvPr>
              <xdr:cNvCxnSpPr>
                <a:stCxn id="55" idx="2"/>
              </xdr:cNvCxnSpPr>
            </xdr:nvCxnSpPr>
            <xdr:spPr>
              <a:xfrm rot="10800000">
                <a:off x="3555300" y="3118088"/>
                <a:ext cx="3581400" cy="1323900"/>
              </a:xfrm>
              <a:prstGeom prst="straightConnector1">
                <a:avLst/>
              </a:prstGeom>
              <a:noFill/>
              <a:ln w="38100" cap="flat" cmpd="sng">
                <a:solidFill>
                  <a:schemeClr val="accent6"/>
                </a:solidFill>
                <a:prstDash val="solid"/>
                <a:miter lim="800000"/>
                <a:headEnd type="none" w="sm" len="sm"/>
                <a:tailEnd type="triangle" w="med" len="med"/>
              </a:ln>
            </xdr:spPr>
          </xdr:cxnSp>
        </xdr:grpSp>
      </xdr:grpSp>
    </xdr:grpSp>
    <xdr:clientData fLocksWithSheet="0"/>
  </xdr:oneCellAnchor>
  <xdr:oneCellAnchor>
    <xdr:from>
      <xdr:col>9</xdr:col>
      <xdr:colOff>571500</xdr:colOff>
      <xdr:row>67</xdr:row>
      <xdr:rowOff>47625</xdr:rowOff>
    </xdr:from>
    <xdr:ext cx="2066925" cy="419100"/>
    <xdr:sp macro="" textlink="">
      <xdr:nvSpPr>
        <xdr:cNvPr id="17" name="Shape 30">
          <a:extLst>
            <a:ext uri="{FF2B5EF4-FFF2-40B4-BE49-F238E27FC236}">
              <a16:creationId xmlns:a16="http://schemas.microsoft.com/office/drawing/2014/main" id="{01F23EBF-2999-4364-A548-BCA4B36B5905}"/>
            </a:ext>
          </a:extLst>
        </xdr:cNvPr>
        <xdr:cNvSpPr/>
      </xdr:nvSpPr>
      <xdr:spPr>
        <a:xfrm rot="10800000" flipH="1">
          <a:off x="10820400" y="11881485"/>
          <a:ext cx="2066925" cy="419100"/>
        </a:xfrm>
        <a:prstGeom prst="ellipse">
          <a:avLst/>
        </a:prstGeom>
        <a:noFill/>
        <a:ln w="38100" cap="flat" cmpd="sng">
          <a:solidFill>
            <a:srgbClr val="BA8C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180975</xdr:colOff>
      <xdr:row>61</xdr:row>
      <xdr:rowOff>104775</xdr:rowOff>
    </xdr:from>
    <xdr:ext cx="4200525" cy="1276350"/>
    <xdr:grpSp>
      <xdr:nvGrpSpPr>
        <xdr:cNvPr id="18" name="Shape 2">
          <a:extLst>
            <a:ext uri="{FF2B5EF4-FFF2-40B4-BE49-F238E27FC236}">
              <a16:creationId xmlns:a16="http://schemas.microsoft.com/office/drawing/2014/main" id="{43D0594A-15C2-4B8B-9EEE-39612C707CA6}"/>
            </a:ext>
          </a:extLst>
        </xdr:cNvPr>
        <xdr:cNvGrpSpPr/>
      </xdr:nvGrpSpPr>
      <xdr:grpSpPr>
        <a:xfrm>
          <a:off x="6545407" y="10738139"/>
          <a:ext cx="4200525" cy="1276350"/>
          <a:chOff x="3245738" y="3141825"/>
          <a:chExt cx="4200526" cy="1276350"/>
        </a:xfrm>
      </xdr:grpSpPr>
      <xdr:grpSp>
        <xdr:nvGrpSpPr>
          <xdr:cNvPr id="19" name="Shape 31">
            <a:extLst>
              <a:ext uri="{FF2B5EF4-FFF2-40B4-BE49-F238E27FC236}">
                <a16:creationId xmlns:a16="http://schemas.microsoft.com/office/drawing/2014/main" id="{0C4608D0-3D9B-07C6-EB80-B69BFEEF8422}"/>
              </a:ext>
            </a:extLst>
          </xdr:cNvPr>
          <xdr:cNvGrpSpPr/>
        </xdr:nvGrpSpPr>
        <xdr:grpSpPr>
          <a:xfrm>
            <a:off x="3245738" y="3141825"/>
            <a:ext cx="4200526" cy="1276350"/>
            <a:chOff x="3245738" y="3141825"/>
            <a:chExt cx="4200526" cy="1276350"/>
          </a:xfrm>
        </xdr:grpSpPr>
        <xdr:sp macro="" textlink="">
          <xdr:nvSpPr>
            <xdr:cNvPr id="20" name="Shape 4">
              <a:extLst>
                <a:ext uri="{FF2B5EF4-FFF2-40B4-BE49-F238E27FC236}">
                  <a16:creationId xmlns:a16="http://schemas.microsoft.com/office/drawing/2014/main" id="{9A7914CD-2525-E18B-13D8-15709AAA5F14}"/>
                </a:ext>
              </a:extLst>
            </xdr:cNvPr>
            <xdr:cNvSpPr/>
          </xdr:nvSpPr>
          <xdr:spPr>
            <a:xfrm>
              <a:off x="3245738" y="3141825"/>
              <a:ext cx="4200525" cy="12763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21" name="Shape 32">
              <a:extLst>
                <a:ext uri="{FF2B5EF4-FFF2-40B4-BE49-F238E27FC236}">
                  <a16:creationId xmlns:a16="http://schemas.microsoft.com/office/drawing/2014/main" id="{F64E00E4-EDB5-C36E-26C6-68D68A75F776}"/>
                </a:ext>
              </a:extLst>
            </xdr:cNvPr>
            <xdr:cNvGrpSpPr/>
          </xdr:nvGrpSpPr>
          <xdr:grpSpPr>
            <a:xfrm>
              <a:off x="3245738" y="3141825"/>
              <a:ext cx="4200525" cy="1276350"/>
              <a:chOff x="3264788" y="3156113"/>
              <a:chExt cx="4162425" cy="1247775"/>
            </a:xfrm>
          </xdr:grpSpPr>
          <xdr:sp macro="" textlink="">
            <xdr:nvSpPr>
              <xdr:cNvPr id="22" name="Shape 33">
                <a:extLst>
                  <a:ext uri="{FF2B5EF4-FFF2-40B4-BE49-F238E27FC236}">
                    <a16:creationId xmlns:a16="http://schemas.microsoft.com/office/drawing/2014/main" id="{4AA1E17B-7892-EE05-8443-87F7BF7A0F3C}"/>
                  </a:ext>
                </a:extLst>
              </xdr:cNvPr>
              <xdr:cNvSpPr/>
            </xdr:nvSpPr>
            <xdr:spPr>
              <a:xfrm>
                <a:off x="3264788" y="3156113"/>
                <a:ext cx="4162425" cy="12477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23" name="Shape 34">
                <a:extLst>
                  <a:ext uri="{FF2B5EF4-FFF2-40B4-BE49-F238E27FC236}">
                    <a16:creationId xmlns:a16="http://schemas.microsoft.com/office/drawing/2014/main" id="{E9785EFC-08FF-80B2-142D-C2492177DDBA}"/>
                  </a:ext>
                </a:extLst>
              </xdr:cNvPr>
              <xdr:cNvCxnSpPr/>
            </xdr:nvCxnSpPr>
            <xdr:spPr>
              <a:xfrm rot="10800000">
                <a:off x="3264788" y="3156113"/>
                <a:ext cx="4162425" cy="1247775"/>
              </a:xfrm>
              <a:prstGeom prst="straightConnector1">
                <a:avLst/>
              </a:prstGeom>
              <a:noFill/>
              <a:ln w="38100" cap="flat" cmpd="sng">
                <a:solidFill>
                  <a:schemeClr val="accent4"/>
                </a:solidFill>
                <a:prstDash val="solid"/>
                <a:miter lim="800000"/>
                <a:headEnd type="none" w="sm" len="sm"/>
                <a:tailEnd type="triangle" w="med" len="med"/>
              </a:ln>
            </xdr:spPr>
          </xdr:cxnSp>
        </xdr:grpSp>
      </xdr:grpSp>
    </xdr:grpSp>
    <xdr:clientData fLocksWithSheet="0"/>
  </xdr:oneCellAnchor>
  <xdr:oneCellAnchor>
    <xdr:from>
      <xdr:col>9</xdr:col>
      <xdr:colOff>600075</xdr:colOff>
      <xdr:row>69</xdr:row>
      <xdr:rowOff>-38100</xdr:rowOff>
    </xdr:from>
    <xdr:ext cx="2076450" cy="428625"/>
    <xdr:sp macro="" textlink="">
      <xdr:nvSpPr>
        <xdr:cNvPr id="24" name="Shape 35">
          <a:extLst>
            <a:ext uri="{FF2B5EF4-FFF2-40B4-BE49-F238E27FC236}">
              <a16:creationId xmlns:a16="http://schemas.microsoft.com/office/drawing/2014/main" id="{F564D30D-91A4-40D1-A445-5B989CDE918A}"/>
            </a:ext>
          </a:extLst>
        </xdr:cNvPr>
        <xdr:cNvSpPr/>
      </xdr:nvSpPr>
      <xdr:spPr>
        <a:xfrm rot="10800000" flipH="1">
          <a:off x="10848975" y="12146280"/>
          <a:ext cx="2076450" cy="428625"/>
        </a:xfrm>
        <a:prstGeom prst="ellipse">
          <a:avLst/>
        </a:prstGeom>
        <a:noFill/>
        <a:ln w="38100" cap="flat" cmpd="sng">
          <a:solidFill>
            <a:schemeClr val="dk1"/>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66675</xdr:colOff>
      <xdr:row>63</xdr:row>
      <xdr:rowOff>95250</xdr:rowOff>
    </xdr:from>
    <xdr:ext cx="4381500" cy="1200150"/>
    <xdr:grpSp>
      <xdr:nvGrpSpPr>
        <xdr:cNvPr id="25" name="Shape 2">
          <a:extLst>
            <a:ext uri="{FF2B5EF4-FFF2-40B4-BE49-F238E27FC236}">
              <a16:creationId xmlns:a16="http://schemas.microsoft.com/office/drawing/2014/main" id="{5CCA890B-04A9-4063-9348-2850DA7CA083}"/>
            </a:ext>
          </a:extLst>
        </xdr:cNvPr>
        <xdr:cNvGrpSpPr/>
      </xdr:nvGrpSpPr>
      <xdr:grpSpPr>
        <a:xfrm>
          <a:off x="6431107" y="11074977"/>
          <a:ext cx="4381500" cy="1200150"/>
          <a:chOff x="3155250" y="3179925"/>
          <a:chExt cx="4381500" cy="1200150"/>
        </a:xfrm>
      </xdr:grpSpPr>
      <xdr:grpSp>
        <xdr:nvGrpSpPr>
          <xdr:cNvPr id="26" name="Shape 36">
            <a:extLst>
              <a:ext uri="{FF2B5EF4-FFF2-40B4-BE49-F238E27FC236}">
                <a16:creationId xmlns:a16="http://schemas.microsoft.com/office/drawing/2014/main" id="{141B19DF-98BA-681D-E965-8782D6ADB340}"/>
              </a:ext>
            </a:extLst>
          </xdr:cNvPr>
          <xdr:cNvGrpSpPr/>
        </xdr:nvGrpSpPr>
        <xdr:grpSpPr>
          <a:xfrm>
            <a:off x="3155250" y="3179925"/>
            <a:ext cx="4381500" cy="1200150"/>
            <a:chOff x="3155250" y="3179925"/>
            <a:chExt cx="4381500" cy="1200150"/>
          </a:xfrm>
        </xdr:grpSpPr>
        <xdr:sp macro="" textlink="">
          <xdr:nvSpPr>
            <xdr:cNvPr id="27" name="Shape 4">
              <a:extLst>
                <a:ext uri="{FF2B5EF4-FFF2-40B4-BE49-F238E27FC236}">
                  <a16:creationId xmlns:a16="http://schemas.microsoft.com/office/drawing/2014/main" id="{83E4EC36-A310-4332-6EF2-1142F1043F56}"/>
                </a:ext>
              </a:extLst>
            </xdr:cNvPr>
            <xdr:cNvSpPr/>
          </xdr:nvSpPr>
          <xdr:spPr>
            <a:xfrm>
              <a:off x="3155250" y="3179925"/>
              <a:ext cx="4381500" cy="1200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28" name="Shape 37">
              <a:extLst>
                <a:ext uri="{FF2B5EF4-FFF2-40B4-BE49-F238E27FC236}">
                  <a16:creationId xmlns:a16="http://schemas.microsoft.com/office/drawing/2014/main" id="{BB26DE58-A426-EB3F-BF68-3C16140FA2ED}"/>
                </a:ext>
              </a:extLst>
            </xdr:cNvPr>
            <xdr:cNvGrpSpPr/>
          </xdr:nvGrpSpPr>
          <xdr:grpSpPr>
            <a:xfrm>
              <a:off x="3155250" y="3179925"/>
              <a:ext cx="4381500" cy="1200150"/>
              <a:chOff x="3174300" y="3199125"/>
              <a:chExt cx="4343400" cy="1161900"/>
            </a:xfrm>
          </xdr:grpSpPr>
          <xdr:sp macro="" textlink="">
            <xdr:nvSpPr>
              <xdr:cNvPr id="29" name="Shape 38">
                <a:extLst>
                  <a:ext uri="{FF2B5EF4-FFF2-40B4-BE49-F238E27FC236}">
                    <a16:creationId xmlns:a16="http://schemas.microsoft.com/office/drawing/2014/main" id="{0D78AC9A-D94B-F463-F471-95890EFEDC56}"/>
                  </a:ext>
                </a:extLst>
              </xdr:cNvPr>
              <xdr:cNvSpPr/>
            </xdr:nvSpPr>
            <xdr:spPr>
              <a:xfrm>
                <a:off x="3174300" y="3199125"/>
                <a:ext cx="4343400" cy="11619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30" name="Shape 39">
                <a:extLst>
                  <a:ext uri="{FF2B5EF4-FFF2-40B4-BE49-F238E27FC236}">
                    <a16:creationId xmlns:a16="http://schemas.microsoft.com/office/drawing/2014/main" id="{A30D1BA7-1394-B297-9073-AF016DDB9FEC}"/>
                  </a:ext>
                </a:extLst>
              </xdr:cNvPr>
              <xdr:cNvCxnSpPr>
                <a:stCxn id="24" idx="2"/>
              </xdr:cNvCxnSpPr>
            </xdr:nvCxnSpPr>
            <xdr:spPr>
              <a:xfrm rot="10800000">
                <a:off x="3174300" y="3199125"/>
                <a:ext cx="4343400" cy="1161900"/>
              </a:xfrm>
              <a:prstGeom prst="straightConnector1">
                <a:avLst/>
              </a:prstGeom>
              <a:noFill/>
              <a:ln w="38100" cap="flat" cmpd="sng">
                <a:solidFill>
                  <a:schemeClr val="dk1"/>
                </a:solidFill>
                <a:prstDash val="solid"/>
                <a:miter lim="800000"/>
                <a:headEnd type="none" w="sm" len="sm"/>
                <a:tailEnd type="triangle" w="med" len="med"/>
              </a:ln>
            </xdr:spPr>
          </xdr:cxnSp>
        </xdr:grpSp>
      </xdr:grpSp>
    </xdr:grpSp>
    <xdr:clientData fLocksWithSheet="0"/>
  </xdr:oneCellAnchor>
  <xdr:oneCellAnchor>
    <xdr:from>
      <xdr:col>5</xdr:col>
      <xdr:colOff>352425</xdr:colOff>
      <xdr:row>73</xdr:row>
      <xdr:rowOff>66675</xdr:rowOff>
    </xdr:from>
    <xdr:ext cx="1524000" cy="552450"/>
    <xdr:sp macro="" textlink="">
      <xdr:nvSpPr>
        <xdr:cNvPr id="31" name="Shape 40">
          <a:extLst>
            <a:ext uri="{FF2B5EF4-FFF2-40B4-BE49-F238E27FC236}">
              <a16:creationId xmlns:a16="http://schemas.microsoft.com/office/drawing/2014/main" id="{2608111D-9B53-436D-9744-F3DE04E611B2}"/>
            </a:ext>
          </a:extLst>
        </xdr:cNvPr>
        <xdr:cNvSpPr/>
      </xdr:nvSpPr>
      <xdr:spPr>
        <a:xfrm>
          <a:off x="7439025" y="12952095"/>
          <a:ext cx="1524000" cy="552450"/>
        </a:xfrm>
        <a:prstGeom prst="ellipse">
          <a:avLst/>
        </a:prstGeom>
        <a:noFill/>
        <a:ln w="38100" cap="flat" cmpd="sng">
          <a:solidFill>
            <a:srgbClr val="AC5B23"/>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57150</xdr:colOff>
      <xdr:row>65</xdr:row>
      <xdr:rowOff>66675</xdr:rowOff>
    </xdr:from>
    <xdr:ext cx="1066800" cy="1752600"/>
    <xdr:grpSp>
      <xdr:nvGrpSpPr>
        <xdr:cNvPr id="32" name="Shape 2">
          <a:extLst>
            <a:ext uri="{FF2B5EF4-FFF2-40B4-BE49-F238E27FC236}">
              <a16:creationId xmlns:a16="http://schemas.microsoft.com/office/drawing/2014/main" id="{59E9DE46-B3CD-4642-8044-DC5C05BE6C84}"/>
            </a:ext>
          </a:extLst>
        </xdr:cNvPr>
        <xdr:cNvGrpSpPr/>
      </xdr:nvGrpSpPr>
      <xdr:grpSpPr>
        <a:xfrm>
          <a:off x="6421582" y="11392766"/>
          <a:ext cx="1066800" cy="1752600"/>
          <a:chOff x="4812600" y="2903700"/>
          <a:chExt cx="1066800" cy="1752600"/>
        </a:xfrm>
      </xdr:grpSpPr>
      <xdr:grpSp>
        <xdr:nvGrpSpPr>
          <xdr:cNvPr id="33" name="Shape 41">
            <a:extLst>
              <a:ext uri="{FF2B5EF4-FFF2-40B4-BE49-F238E27FC236}">
                <a16:creationId xmlns:a16="http://schemas.microsoft.com/office/drawing/2014/main" id="{C44C14E9-8F50-A730-87AA-F33BC5469276}"/>
              </a:ext>
            </a:extLst>
          </xdr:cNvPr>
          <xdr:cNvGrpSpPr/>
        </xdr:nvGrpSpPr>
        <xdr:grpSpPr>
          <a:xfrm>
            <a:off x="4812600" y="2903700"/>
            <a:ext cx="1066800" cy="1752600"/>
            <a:chOff x="4812600" y="2903700"/>
            <a:chExt cx="1066800" cy="1752600"/>
          </a:xfrm>
        </xdr:grpSpPr>
        <xdr:sp macro="" textlink="">
          <xdr:nvSpPr>
            <xdr:cNvPr id="34" name="Shape 4">
              <a:extLst>
                <a:ext uri="{FF2B5EF4-FFF2-40B4-BE49-F238E27FC236}">
                  <a16:creationId xmlns:a16="http://schemas.microsoft.com/office/drawing/2014/main" id="{31987290-6480-EFBE-927E-65148EF570AF}"/>
                </a:ext>
              </a:extLst>
            </xdr:cNvPr>
            <xdr:cNvSpPr/>
          </xdr:nvSpPr>
          <xdr:spPr>
            <a:xfrm>
              <a:off x="4812600" y="2903700"/>
              <a:ext cx="1066800" cy="1752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35" name="Shape 42">
              <a:extLst>
                <a:ext uri="{FF2B5EF4-FFF2-40B4-BE49-F238E27FC236}">
                  <a16:creationId xmlns:a16="http://schemas.microsoft.com/office/drawing/2014/main" id="{DCE65157-4D0D-541F-8F5A-2896F6E728ED}"/>
                </a:ext>
              </a:extLst>
            </xdr:cNvPr>
            <xdr:cNvGrpSpPr/>
          </xdr:nvGrpSpPr>
          <xdr:grpSpPr>
            <a:xfrm>
              <a:off x="4812600" y="2903700"/>
              <a:ext cx="1066800" cy="1752600"/>
              <a:chOff x="4831650" y="2922750"/>
              <a:chExt cx="1028700" cy="1714500"/>
            </a:xfrm>
          </xdr:grpSpPr>
          <xdr:sp macro="" textlink="">
            <xdr:nvSpPr>
              <xdr:cNvPr id="36" name="Shape 43">
                <a:extLst>
                  <a:ext uri="{FF2B5EF4-FFF2-40B4-BE49-F238E27FC236}">
                    <a16:creationId xmlns:a16="http://schemas.microsoft.com/office/drawing/2014/main" id="{E48C253A-F3DE-7626-F038-F646968EB6EB}"/>
                  </a:ext>
                </a:extLst>
              </xdr:cNvPr>
              <xdr:cNvSpPr/>
            </xdr:nvSpPr>
            <xdr:spPr>
              <a:xfrm>
                <a:off x="4831650" y="2922750"/>
                <a:ext cx="1028700" cy="17145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37" name="Shape 44">
                <a:extLst>
                  <a:ext uri="{FF2B5EF4-FFF2-40B4-BE49-F238E27FC236}">
                    <a16:creationId xmlns:a16="http://schemas.microsoft.com/office/drawing/2014/main" id="{99663269-FD8F-93D1-7D0E-1D3F3F54E93B}"/>
                  </a:ext>
                </a:extLst>
              </xdr:cNvPr>
              <xdr:cNvCxnSpPr>
                <a:stCxn id="31" idx="2"/>
              </xdr:cNvCxnSpPr>
            </xdr:nvCxnSpPr>
            <xdr:spPr>
              <a:xfrm rot="10800000">
                <a:off x="4831650" y="2922750"/>
                <a:ext cx="1028700" cy="1714500"/>
              </a:xfrm>
              <a:prstGeom prst="straightConnector1">
                <a:avLst/>
              </a:prstGeom>
              <a:noFill/>
              <a:ln w="38100" cap="flat" cmpd="sng">
                <a:solidFill>
                  <a:schemeClr val="accent2"/>
                </a:solidFill>
                <a:prstDash val="solid"/>
                <a:miter lim="800000"/>
                <a:headEnd type="none" w="sm" len="sm"/>
                <a:tailEnd type="triangle" w="med" len="med"/>
              </a:ln>
            </xdr:spPr>
          </xdr:cxnSp>
        </xdr:grpSp>
      </xdr:grpSp>
    </xdr:grpSp>
    <xdr:clientData fLocksWithSheet="0"/>
  </xdr:oneCellAnchor>
  <xdr:oneCellAnchor>
    <xdr:from>
      <xdr:col>9</xdr:col>
      <xdr:colOff>638175</xdr:colOff>
      <xdr:row>73</xdr:row>
      <xdr:rowOff>28575</xdr:rowOff>
    </xdr:from>
    <xdr:ext cx="1104900" cy="581025"/>
    <xdr:sp macro="" textlink="">
      <xdr:nvSpPr>
        <xdr:cNvPr id="38" name="Shape 45">
          <a:extLst>
            <a:ext uri="{FF2B5EF4-FFF2-40B4-BE49-F238E27FC236}">
              <a16:creationId xmlns:a16="http://schemas.microsoft.com/office/drawing/2014/main" id="{E7FDC9A6-7655-4C96-8212-BBB838B77B92}"/>
            </a:ext>
          </a:extLst>
        </xdr:cNvPr>
        <xdr:cNvSpPr/>
      </xdr:nvSpPr>
      <xdr:spPr>
        <a:xfrm>
          <a:off x="10887075" y="12913995"/>
          <a:ext cx="1104900" cy="581025"/>
        </a:xfrm>
        <a:prstGeom prst="ellipse">
          <a:avLst/>
        </a:prstGeom>
        <a:noFill/>
        <a:ln w="38100" cap="flat" cmpd="sng">
          <a:solidFill>
            <a:srgbClr val="FF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xdr:col>
      <xdr:colOff>2581275</xdr:colOff>
      <xdr:row>67</xdr:row>
      <xdr:rowOff>95250</xdr:rowOff>
    </xdr:from>
    <xdr:ext cx="6543675" cy="1352550"/>
    <xdr:grpSp>
      <xdr:nvGrpSpPr>
        <xdr:cNvPr id="39" name="Shape 2">
          <a:extLst>
            <a:ext uri="{FF2B5EF4-FFF2-40B4-BE49-F238E27FC236}">
              <a16:creationId xmlns:a16="http://schemas.microsoft.com/office/drawing/2014/main" id="{2CB9D2A3-B0CF-40F3-80B6-AFEAF273D300}"/>
            </a:ext>
          </a:extLst>
        </xdr:cNvPr>
        <xdr:cNvGrpSpPr/>
      </xdr:nvGrpSpPr>
      <xdr:grpSpPr>
        <a:xfrm>
          <a:off x="3611707" y="11793682"/>
          <a:ext cx="6543675" cy="1352550"/>
          <a:chOff x="2074163" y="3103725"/>
          <a:chExt cx="6543675" cy="1352550"/>
        </a:xfrm>
      </xdr:grpSpPr>
      <xdr:grpSp>
        <xdr:nvGrpSpPr>
          <xdr:cNvPr id="40" name="Shape 46">
            <a:extLst>
              <a:ext uri="{FF2B5EF4-FFF2-40B4-BE49-F238E27FC236}">
                <a16:creationId xmlns:a16="http://schemas.microsoft.com/office/drawing/2014/main" id="{1F16CE15-3BF1-675F-BD5A-28648EF25257}"/>
              </a:ext>
            </a:extLst>
          </xdr:cNvPr>
          <xdr:cNvGrpSpPr/>
        </xdr:nvGrpSpPr>
        <xdr:grpSpPr>
          <a:xfrm>
            <a:off x="2074163" y="3103725"/>
            <a:ext cx="6543675" cy="1352550"/>
            <a:chOff x="2074163" y="3103725"/>
            <a:chExt cx="6543675" cy="1352550"/>
          </a:xfrm>
        </xdr:grpSpPr>
        <xdr:sp macro="" textlink="">
          <xdr:nvSpPr>
            <xdr:cNvPr id="41" name="Shape 4">
              <a:extLst>
                <a:ext uri="{FF2B5EF4-FFF2-40B4-BE49-F238E27FC236}">
                  <a16:creationId xmlns:a16="http://schemas.microsoft.com/office/drawing/2014/main" id="{4B066D08-3542-96D3-EA43-AB325B22D721}"/>
                </a:ext>
              </a:extLst>
            </xdr:cNvPr>
            <xdr:cNvSpPr/>
          </xdr:nvSpPr>
          <xdr:spPr>
            <a:xfrm>
              <a:off x="2074163" y="3103725"/>
              <a:ext cx="6543675" cy="13525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42" name="Shape 47">
              <a:extLst>
                <a:ext uri="{FF2B5EF4-FFF2-40B4-BE49-F238E27FC236}">
                  <a16:creationId xmlns:a16="http://schemas.microsoft.com/office/drawing/2014/main" id="{6BA9A67B-DF6C-3732-C09C-93410DF4DB50}"/>
                </a:ext>
              </a:extLst>
            </xdr:cNvPr>
            <xdr:cNvGrpSpPr/>
          </xdr:nvGrpSpPr>
          <xdr:grpSpPr>
            <a:xfrm>
              <a:off x="2074163" y="3103725"/>
              <a:ext cx="6543675" cy="1352550"/>
              <a:chOff x="2093213" y="3122775"/>
              <a:chExt cx="6505575" cy="1314450"/>
            </a:xfrm>
          </xdr:grpSpPr>
          <xdr:sp macro="" textlink="">
            <xdr:nvSpPr>
              <xdr:cNvPr id="43" name="Shape 48">
                <a:extLst>
                  <a:ext uri="{FF2B5EF4-FFF2-40B4-BE49-F238E27FC236}">
                    <a16:creationId xmlns:a16="http://schemas.microsoft.com/office/drawing/2014/main" id="{ACE99BFA-5333-E4D6-F827-C7B264373355}"/>
                  </a:ext>
                </a:extLst>
              </xdr:cNvPr>
              <xdr:cNvSpPr/>
            </xdr:nvSpPr>
            <xdr:spPr>
              <a:xfrm>
                <a:off x="2093213" y="3122775"/>
                <a:ext cx="6505575" cy="13144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44" name="Shape 49">
                <a:extLst>
                  <a:ext uri="{FF2B5EF4-FFF2-40B4-BE49-F238E27FC236}">
                    <a16:creationId xmlns:a16="http://schemas.microsoft.com/office/drawing/2014/main" id="{31BDC9E9-1331-7A7B-570D-47F9065FF2B9}"/>
                  </a:ext>
                </a:extLst>
              </xdr:cNvPr>
              <xdr:cNvCxnSpPr/>
            </xdr:nvCxnSpPr>
            <xdr:spPr>
              <a:xfrm rot="10800000">
                <a:off x="2093213" y="3122775"/>
                <a:ext cx="6505575" cy="1314450"/>
              </a:xfrm>
              <a:prstGeom prst="straightConnector1">
                <a:avLst/>
              </a:prstGeom>
              <a:noFill/>
              <a:ln w="38100" cap="flat" cmpd="sng">
                <a:solidFill>
                  <a:srgbClr val="FF0000"/>
                </a:solidFill>
                <a:prstDash val="solid"/>
                <a:miter lim="800000"/>
                <a:headEnd type="none" w="sm" len="sm"/>
                <a:tailEnd type="triangle" w="med" len="med"/>
              </a:ln>
            </xdr:spPr>
          </xdr:cxnSp>
        </xdr:grpSp>
      </xdr:grpSp>
    </xdr:grpSp>
    <xdr:clientData fLocksWithSheet="0"/>
  </xdr:oneCellAnchor>
  <xdr:oneCellAnchor>
    <xdr:from>
      <xdr:col>8</xdr:col>
      <xdr:colOff>47625</xdr:colOff>
      <xdr:row>99</xdr:row>
      <xdr:rowOff>85725</xdr:rowOff>
    </xdr:from>
    <xdr:ext cx="3962400" cy="781050"/>
    <xdr:sp macro="" textlink="">
      <xdr:nvSpPr>
        <xdr:cNvPr id="45" name="Shape 50">
          <a:extLst>
            <a:ext uri="{FF2B5EF4-FFF2-40B4-BE49-F238E27FC236}">
              <a16:creationId xmlns:a16="http://schemas.microsoft.com/office/drawing/2014/main" id="{788A0207-E190-4EBC-A7C9-E13DB6E876A9}"/>
            </a:ext>
          </a:extLst>
        </xdr:cNvPr>
        <xdr:cNvSpPr/>
      </xdr:nvSpPr>
      <xdr:spPr>
        <a:xfrm rot="10800000" flipH="1">
          <a:off x="9648825" y="17626965"/>
          <a:ext cx="3962400" cy="781050"/>
        </a:xfrm>
        <a:prstGeom prst="ellipse">
          <a:avLst/>
        </a:prstGeom>
        <a:noFill/>
        <a:ln w="38100" cap="flat" cmpd="sng">
          <a:solidFill>
            <a:srgbClr val="FF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xdr:col>
      <xdr:colOff>1638300</xdr:colOff>
      <xdr:row>95</xdr:row>
      <xdr:rowOff>123825</xdr:rowOff>
    </xdr:from>
    <xdr:ext cx="6334125" cy="1200150"/>
    <xdr:grpSp>
      <xdr:nvGrpSpPr>
        <xdr:cNvPr id="46" name="Shape 2">
          <a:extLst>
            <a:ext uri="{FF2B5EF4-FFF2-40B4-BE49-F238E27FC236}">
              <a16:creationId xmlns:a16="http://schemas.microsoft.com/office/drawing/2014/main" id="{EDDEB630-8B13-430E-B3CA-20855FCDC1DB}"/>
            </a:ext>
          </a:extLst>
        </xdr:cNvPr>
        <xdr:cNvGrpSpPr/>
      </xdr:nvGrpSpPr>
      <xdr:grpSpPr>
        <a:xfrm>
          <a:off x="2668732" y="16775257"/>
          <a:ext cx="6334125" cy="1200150"/>
          <a:chOff x="2178938" y="3179925"/>
          <a:chExt cx="6334125" cy="1200150"/>
        </a:xfrm>
      </xdr:grpSpPr>
      <xdr:grpSp>
        <xdr:nvGrpSpPr>
          <xdr:cNvPr id="47" name="Shape 51">
            <a:extLst>
              <a:ext uri="{FF2B5EF4-FFF2-40B4-BE49-F238E27FC236}">
                <a16:creationId xmlns:a16="http://schemas.microsoft.com/office/drawing/2014/main" id="{CCC20E85-6FC0-918F-ABDD-D84B57A78481}"/>
              </a:ext>
            </a:extLst>
          </xdr:cNvPr>
          <xdr:cNvGrpSpPr/>
        </xdr:nvGrpSpPr>
        <xdr:grpSpPr>
          <a:xfrm>
            <a:off x="2178938" y="3179925"/>
            <a:ext cx="6334125" cy="1200150"/>
            <a:chOff x="2178938" y="3179925"/>
            <a:chExt cx="6334125" cy="1200150"/>
          </a:xfrm>
        </xdr:grpSpPr>
        <xdr:sp macro="" textlink="">
          <xdr:nvSpPr>
            <xdr:cNvPr id="48" name="Shape 4">
              <a:extLst>
                <a:ext uri="{FF2B5EF4-FFF2-40B4-BE49-F238E27FC236}">
                  <a16:creationId xmlns:a16="http://schemas.microsoft.com/office/drawing/2014/main" id="{A70A5DE4-C949-AE3F-4D67-C86C944819CA}"/>
                </a:ext>
              </a:extLst>
            </xdr:cNvPr>
            <xdr:cNvSpPr/>
          </xdr:nvSpPr>
          <xdr:spPr>
            <a:xfrm>
              <a:off x="2178938" y="3179925"/>
              <a:ext cx="6334125" cy="1200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49" name="Shape 52">
              <a:extLst>
                <a:ext uri="{FF2B5EF4-FFF2-40B4-BE49-F238E27FC236}">
                  <a16:creationId xmlns:a16="http://schemas.microsoft.com/office/drawing/2014/main" id="{24E6DA78-D9F2-CF6E-F6AB-8FDD319C5568}"/>
                </a:ext>
              </a:extLst>
            </xdr:cNvPr>
            <xdr:cNvGrpSpPr/>
          </xdr:nvGrpSpPr>
          <xdr:grpSpPr>
            <a:xfrm>
              <a:off x="2178938" y="3179925"/>
              <a:ext cx="6334125" cy="1200150"/>
              <a:chOff x="2197988" y="3198975"/>
              <a:chExt cx="6296025" cy="1162050"/>
            </a:xfrm>
          </xdr:grpSpPr>
          <xdr:sp macro="" textlink="">
            <xdr:nvSpPr>
              <xdr:cNvPr id="50" name="Shape 53">
                <a:extLst>
                  <a:ext uri="{FF2B5EF4-FFF2-40B4-BE49-F238E27FC236}">
                    <a16:creationId xmlns:a16="http://schemas.microsoft.com/office/drawing/2014/main" id="{20A39F9B-ADF9-2ECA-7DE7-C62EEC5DBFD7}"/>
                  </a:ext>
                </a:extLst>
              </xdr:cNvPr>
              <xdr:cNvSpPr/>
            </xdr:nvSpPr>
            <xdr:spPr>
              <a:xfrm>
                <a:off x="2197988" y="3198975"/>
                <a:ext cx="6296025" cy="11620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51" name="Shape 54">
                <a:extLst>
                  <a:ext uri="{FF2B5EF4-FFF2-40B4-BE49-F238E27FC236}">
                    <a16:creationId xmlns:a16="http://schemas.microsoft.com/office/drawing/2014/main" id="{D5FE4CEC-9F75-5146-B332-D54FE19FC298}"/>
                  </a:ext>
                </a:extLst>
              </xdr:cNvPr>
              <xdr:cNvCxnSpPr/>
            </xdr:nvCxnSpPr>
            <xdr:spPr>
              <a:xfrm rot="10800000">
                <a:off x="2197988" y="3198975"/>
                <a:ext cx="6296025" cy="1162050"/>
              </a:xfrm>
              <a:prstGeom prst="straightConnector1">
                <a:avLst/>
              </a:prstGeom>
              <a:noFill/>
              <a:ln w="38100" cap="flat" cmpd="sng">
                <a:solidFill>
                  <a:srgbClr val="FF0000"/>
                </a:solidFill>
                <a:prstDash val="solid"/>
                <a:miter lim="800000"/>
                <a:headEnd type="none" w="sm" len="sm"/>
                <a:tailEnd type="triangle" w="med" len="med"/>
              </a:ln>
            </xdr:spPr>
          </xdr:cxnSp>
        </xdr:grpSp>
      </xdr:grpSp>
    </xdr:grpSp>
    <xdr:clientData fLocksWithSheet="0"/>
  </xdr:oneCellAnchor>
  <xdr:oneCellAnchor>
    <xdr:from>
      <xdr:col>5</xdr:col>
      <xdr:colOff>457200</xdr:colOff>
      <xdr:row>103</xdr:row>
      <xdr:rowOff>0</xdr:rowOff>
    </xdr:from>
    <xdr:ext cx="1524000" cy="552450"/>
    <xdr:sp macro="" textlink="">
      <xdr:nvSpPr>
        <xdr:cNvPr id="52" name="Shape 55">
          <a:extLst>
            <a:ext uri="{FF2B5EF4-FFF2-40B4-BE49-F238E27FC236}">
              <a16:creationId xmlns:a16="http://schemas.microsoft.com/office/drawing/2014/main" id="{578C73D4-B0E7-4AA0-B5A2-70D760262D7C}"/>
            </a:ext>
          </a:extLst>
        </xdr:cNvPr>
        <xdr:cNvSpPr/>
      </xdr:nvSpPr>
      <xdr:spPr>
        <a:xfrm rot="10800000" flipH="1">
          <a:off x="7543800" y="18242280"/>
          <a:ext cx="1524000" cy="552450"/>
        </a:xfrm>
        <a:prstGeom prst="ellipse">
          <a:avLst/>
        </a:prstGeom>
        <a:noFill/>
        <a:ln w="38100" cap="flat" cmpd="sng">
          <a:solidFill>
            <a:srgbClr val="AC5B23"/>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xdr:col>
      <xdr:colOff>1028700</xdr:colOff>
      <xdr:row>97</xdr:row>
      <xdr:rowOff>104774</xdr:rowOff>
    </xdr:from>
    <xdr:ext cx="4848224" cy="1276351"/>
    <xdr:grpSp>
      <xdr:nvGrpSpPr>
        <xdr:cNvPr id="53" name="Shape 2">
          <a:extLst>
            <a:ext uri="{FF2B5EF4-FFF2-40B4-BE49-F238E27FC236}">
              <a16:creationId xmlns:a16="http://schemas.microsoft.com/office/drawing/2014/main" id="{93EA09FF-2687-40E2-8B75-C0EE519CEF7F}"/>
            </a:ext>
          </a:extLst>
        </xdr:cNvPr>
        <xdr:cNvGrpSpPr/>
      </xdr:nvGrpSpPr>
      <xdr:grpSpPr>
        <a:xfrm>
          <a:off x="2059132" y="17102569"/>
          <a:ext cx="4848224" cy="1276351"/>
          <a:chOff x="2921888" y="3141824"/>
          <a:chExt cx="4848225" cy="1276351"/>
        </a:xfrm>
      </xdr:grpSpPr>
      <xdr:grpSp>
        <xdr:nvGrpSpPr>
          <xdr:cNvPr id="54" name="Shape 56">
            <a:extLst>
              <a:ext uri="{FF2B5EF4-FFF2-40B4-BE49-F238E27FC236}">
                <a16:creationId xmlns:a16="http://schemas.microsoft.com/office/drawing/2014/main" id="{72098C21-8F25-0C35-B256-5860B5897BE7}"/>
              </a:ext>
            </a:extLst>
          </xdr:cNvPr>
          <xdr:cNvGrpSpPr/>
        </xdr:nvGrpSpPr>
        <xdr:grpSpPr>
          <a:xfrm>
            <a:off x="2921888" y="3141824"/>
            <a:ext cx="4848225" cy="1276351"/>
            <a:chOff x="2921888" y="3141824"/>
            <a:chExt cx="4848225" cy="1276351"/>
          </a:xfrm>
        </xdr:grpSpPr>
        <xdr:sp macro="" textlink="">
          <xdr:nvSpPr>
            <xdr:cNvPr id="55" name="Shape 4">
              <a:extLst>
                <a:ext uri="{FF2B5EF4-FFF2-40B4-BE49-F238E27FC236}">
                  <a16:creationId xmlns:a16="http://schemas.microsoft.com/office/drawing/2014/main" id="{31271003-B361-45A0-43B1-22DE2E7DA88C}"/>
                </a:ext>
              </a:extLst>
            </xdr:cNvPr>
            <xdr:cNvSpPr/>
          </xdr:nvSpPr>
          <xdr:spPr>
            <a:xfrm>
              <a:off x="2921888" y="3141825"/>
              <a:ext cx="4848225" cy="12763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56" name="Shape 57">
              <a:extLst>
                <a:ext uri="{FF2B5EF4-FFF2-40B4-BE49-F238E27FC236}">
                  <a16:creationId xmlns:a16="http://schemas.microsoft.com/office/drawing/2014/main" id="{2DB6628E-005D-2613-FC9A-5761BDCBB3D3}"/>
                </a:ext>
              </a:extLst>
            </xdr:cNvPr>
            <xdr:cNvGrpSpPr/>
          </xdr:nvGrpSpPr>
          <xdr:grpSpPr>
            <a:xfrm>
              <a:off x="2921888" y="3141824"/>
              <a:ext cx="4848225" cy="1276351"/>
              <a:chOff x="2940863" y="3156187"/>
              <a:chExt cx="4810200" cy="1247701"/>
            </a:xfrm>
          </xdr:grpSpPr>
          <xdr:sp macro="" textlink="">
            <xdr:nvSpPr>
              <xdr:cNvPr id="57" name="Shape 58">
                <a:extLst>
                  <a:ext uri="{FF2B5EF4-FFF2-40B4-BE49-F238E27FC236}">
                    <a16:creationId xmlns:a16="http://schemas.microsoft.com/office/drawing/2014/main" id="{2B0A0AF9-2EBD-5385-2E9C-1756B361B2C8}"/>
                  </a:ext>
                </a:extLst>
              </xdr:cNvPr>
              <xdr:cNvSpPr/>
            </xdr:nvSpPr>
            <xdr:spPr>
              <a:xfrm>
                <a:off x="2940863" y="3156188"/>
                <a:ext cx="4810200" cy="12477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58" name="Shape 59">
                <a:extLst>
                  <a:ext uri="{FF2B5EF4-FFF2-40B4-BE49-F238E27FC236}">
                    <a16:creationId xmlns:a16="http://schemas.microsoft.com/office/drawing/2014/main" id="{C1492DD4-A10F-3CFB-70A3-18B205ABD55C}"/>
                  </a:ext>
                </a:extLst>
              </xdr:cNvPr>
              <xdr:cNvCxnSpPr>
                <a:stCxn id="49" idx="2"/>
              </xdr:cNvCxnSpPr>
            </xdr:nvCxnSpPr>
            <xdr:spPr>
              <a:xfrm rot="10800000">
                <a:off x="2940863" y="3156187"/>
                <a:ext cx="4810200" cy="1247700"/>
              </a:xfrm>
              <a:prstGeom prst="straightConnector1">
                <a:avLst/>
              </a:prstGeom>
              <a:noFill/>
              <a:ln w="38100" cap="flat" cmpd="sng">
                <a:solidFill>
                  <a:schemeClr val="accent2"/>
                </a:solidFill>
                <a:prstDash val="solid"/>
                <a:miter lim="800000"/>
                <a:headEnd type="none" w="sm" len="sm"/>
                <a:tailEnd type="triangle" w="med" len="med"/>
              </a:ln>
            </xdr:spPr>
          </xdr:cxnSp>
        </xdr:grpSp>
      </xdr:grpSp>
    </xdr:grpSp>
    <xdr:clientData fLocksWithSheet="0"/>
  </xdr:oneCellAnchor>
  <xdr:oneCellAnchor>
    <xdr:from>
      <xdr:col>8</xdr:col>
      <xdr:colOff>85725</xdr:colOff>
      <xdr:row>103</xdr:row>
      <xdr:rowOff>-9525</xdr:rowOff>
    </xdr:from>
    <xdr:ext cx="533400" cy="619125"/>
    <xdr:sp macro="" textlink="">
      <xdr:nvSpPr>
        <xdr:cNvPr id="59" name="Shape 60">
          <a:extLst>
            <a:ext uri="{FF2B5EF4-FFF2-40B4-BE49-F238E27FC236}">
              <a16:creationId xmlns:a16="http://schemas.microsoft.com/office/drawing/2014/main" id="{C9EB93B9-40D2-4560-A035-B5B62E52ABCF}"/>
            </a:ext>
          </a:extLst>
        </xdr:cNvPr>
        <xdr:cNvSpPr/>
      </xdr:nvSpPr>
      <xdr:spPr>
        <a:xfrm>
          <a:off x="9686925" y="18232755"/>
          <a:ext cx="533400" cy="619125"/>
        </a:xfrm>
        <a:prstGeom prst="ellipse">
          <a:avLst/>
        </a:prstGeom>
        <a:noFill/>
        <a:ln w="38100" cap="flat" cmpd="sng">
          <a:solidFill>
            <a:srgbClr val="517E33"/>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542925</xdr:colOff>
      <xdr:row>99</xdr:row>
      <xdr:rowOff>85725</xdr:rowOff>
    </xdr:from>
    <xdr:ext cx="4048125" cy="962025"/>
    <xdr:grpSp>
      <xdr:nvGrpSpPr>
        <xdr:cNvPr id="60" name="Shape 2">
          <a:extLst>
            <a:ext uri="{FF2B5EF4-FFF2-40B4-BE49-F238E27FC236}">
              <a16:creationId xmlns:a16="http://schemas.microsoft.com/office/drawing/2014/main" id="{EA4D6924-358C-4047-80F3-A86A0C1FE01E}"/>
            </a:ext>
          </a:extLst>
        </xdr:cNvPr>
        <xdr:cNvGrpSpPr/>
      </xdr:nvGrpSpPr>
      <xdr:grpSpPr>
        <a:xfrm>
          <a:off x="5591175" y="17429884"/>
          <a:ext cx="4048125" cy="962025"/>
          <a:chOff x="3321938" y="3298988"/>
          <a:chExt cx="4048125" cy="962025"/>
        </a:xfrm>
      </xdr:grpSpPr>
      <xdr:grpSp>
        <xdr:nvGrpSpPr>
          <xdr:cNvPr id="61" name="Shape 61">
            <a:extLst>
              <a:ext uri="{FF2B5EF4-FFF2-40B4-BE49-F238E27FC236}">
                <a16:creationId xmlns:a16="http://schemas.microsoft.com/office/drawing/2014/main" id="{45EFFCEE-D039-5C11-42D5-DB02176DCB5F}"/>
              </a:ext>
            </a:extLst>
          </xdr:cNvPr>
          <xdr:cNvGrpSpPr/>
        </xdr:nvGrpSpPr>
        <xdr:grpSpPr>
          <a:xfrm>
            <a:off x="3321938" y="3298988"/>
            <a:ext cx="4048125" cy="962025"/>
            <a:chOff x="3321938" y="3298988"/>
            <a:chExt cx="4048125" cy="962025"/>
          </a:xfrm>
        </xdr:grpSpPr>
        <xdr:sp macro="" textlink="">
          <xdr:nvSpPr>
            <xdr:cNvPr id="62" name="Shape 4">
              <a:extLst>
                <a:ext uri="{FF2B5EF4-FFF2-40B4-BE49-F238E27FC236}">
                  <a16:creationId xmlns:a16="http://schemas.microsoft.com/office/drawing/2014/main" id="{09883248-946F-E563-0650-39B45DBE4285}"/>
                </a:ext>
              </a:extLst>
            </xdr:cNvPr>
            <xdr:cNvSpPr/>
          </xdr:nvSpPr>
          <xdr:spPr>
            <a:xfrm>
              <a:off x="3321938" y="3298988"/>
              <a:ext cx="4048125" cy="9620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3" name="Shape 62">
              <a:extLst>
                <a:ext uri="{FF2B5EF4-FFF2-40B4-BE49-F238E27FC236}">
                  <a16:creationId xmlns:a16="http://schemas.microsoft.com/office/drawing/2014/main" id="{39CDA51D-D029-204D-CDC0-7B684E787CA8}"/>
                </a:ext>
              </a:extLst>
            </xdr:cNvPr>
            <xdr:cNvGrpSpPr/>
          </xdr:nvGrpSpPr>
          <xdr:grpSpPr>
            <a:xfrm>
              <a:off x="3321938" y="3298988"/>
              <a:ext cx="4048125" cy="962025"/>
              <a:chOff x="3340913" y="3317963"/>
              <a:chExt cx="4010100" cy="924000"/>
            </a:xfrm>
          </xdr:grpSpPr>
          <xdr:sp macro="" textlink="">
            <xdr:nvSpPr>
              <xdr:cNvPr id="64" name="Shape 63">
                <a:extLst>
                  <a:ext uri="{FF2B5EF4-FFF2-40B4-BE49-F238E27FC236}">
                    <a16:creationId xmlns:a16="http://schemas.microsoft.com/office/drawing/2014/main" id="{A6F07819-BEE3-E6C4-9173-1AAFA762A3CE}"/>
                  </a:ext>
                </a:extLst>
              </xdr:cNvPr>
              <xdr:cNvSpPr/>
            </xdr:nvSpPr>
            <xdr:spPr>
              <a:xfrm>
                <a:off x="3340913" y="3317963"/>
                <a:ext cx="4010100" cy="924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65" name="Shape 64">
                <a:extLst>
                  <a:ext uri="{FF2B5EF4-FFF2-40B4-BE49-F238E27FC236}">
                    <a16:creationId xmlns:a16="http://schemas.microsoft.com/office/drawing/2014/main" id="{622010BC-51FB-680A-A92D-E555765D8891}"/>
                  </a:ext>
                </a:extLst>
              </xdr:cNvPr>
              <xdr:cNvCxnSpPr>
                <a:stCxn id="52" idx="2"/>
              </xdr:cNvCxnSpPr>
            </xdr:nvCxnSpPr>
            <xdr:spPr>
              <a:xfrm rot="10800000">
                <a:off x="3340913" y="3317963"/>
                <a:ext cx="4010100" cy="924000"/>
              </a:xfrm>
              <a:prstGeom prst="straightConnector1">
                <a:avLst/>
              </a:prstGeom>
              <a:noFill/>
              <a:ln w="38100" cap="flat" cmpd="sng">
                <a:solidFill>
                  <a:schemeClr val="accent6"/>
                </a:solidFill>
                <a:prstDash val="solid"/>
                <a:miter lim="800000"/>
                <a:headEnd type="none" w="sm" len="sm"/>
                <a:tailEnd type="triangle" w="med" len="med"/>
              </a:ln>
            </xdr:spPr>
          </xdr:cxnSp>
        </xdr:grpSp>
      </xdr:grpSp>
    </xdr:grpSp>
    <xdr:clientData fLocksWithSheet="0"/>
  </xdr:oneCellAnchor>
  <xdr:oneCellAnchor>
    <xdr:from>
      <xdr:col>12</xdr:col>
      <xdr:colOff>542925</xdr:colOff>
      <xdr:row>103</xdr:row>
      <xdr:rowOff>28575</xdr:rowOff>
    </xdr:from>
    <xdr:ext cx="1314450" cy="1714500"/>
    <xdr:sp macro="" textlink="">
      <xdr:nvSpPr>
        <xdr:cNvPr id="66" name="Shape 65">
          <a:extLst>
            <a:ext uri="{FF2B5EF4-FFF2-40B4-BE49-F238E27FC236}">
              <a16:creationId xmlns:a16="http://schemas.microsoft.com/office/drawing/2014/main" id="{DF5E6F7B-AEA9-47F6-AB7A-30AFACD3CA16}"/>
            </a:ext>
          </a:extLst>
        </xdr:cNvPr>
        <xdr:cNvSpPr/>
      </xdr:nvSpPr>
      <xdr:spPr>
        <a:xfrm>
          <a:off x="13344525" y="18270855"/>
          <a:ext cx="1314450" cy="1714500"/>
        </a:xfrm>
        <a:prstGeom prst="ellipse">
          <a:avLst/>
        </a:prstGeom>
        <a:noFill/>
        <a:ln w="38100" cap="flat" cmpd="sng">
          <a:solidFill>
            <a:schemeClr val="dk1"/>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76200</xdr:colOff>
      <xdr:row>104</xdr:row>
      <xdr:rowOff>76200</xdr:rowOff>
    </xdr:from>
    <xdr:ext cx="8162925" cy="647700"/>
    <xdr:grpSp>
      <xdr:nvGrpSpPr>
        <xdr:cNvPr id="67" name="Shape 2">
          <a:extLst>
            <a:ext uri="{FF2B5EF4-FFF2-40B4-BE49-F238E27FC236}">
              <a16:creationId xmlns:a16="http://schemas.microsoft.com/office/drawing/2014/main" id="{97D626CD-7C0D-4402-ACA7-4BB2C56C3401}"/>
            </a:ext>
          </a:extLst>
        </xdr:cNvPr>
        <xdr:cNvGrpSpPr/>
      </xdr:nvGrpSpPr>
      <xdr:grpSpPr>
        <a:xfrm>
          <a:off x="5124450" y="18286268"/>
          <a:ext cx="8162925" cy="647700"/>
          <a:chOff x="1264538" y="3456150"/>
          <a:chExt cx="8162925" cy="647700"/>
        </a:xfrm>
      </xdr:grpSpPr>
      <xdr:grpSp>
        <xdr:nvGrpSpPr>
          <xdr:cNvPr id="68" name="Shape 66">
            <a:extLst>
              <a:ext uri="{FF2B5EF4-FFF2-40B4-BE49-F238E27FC236}">
                <a16:creationId xmlns:a16="http://schemas.microsoft.com/office/drawing/2014/main" id="{CD84F781-7E8F-916C-4BE3-E2E006CAA562}"/>
              </a:ext>
            </a:extLst>
          </xdr:cNvPr>
          <xdr:cNvGrpSpPr/>
        </xdr:nvGrpSpPr>
        <xdr:grpSpPr>
          <a:xfrm>
            <a:off x="1264538" y="3456150"/>
            <a:ext cx="8162925" cy="647700"/>
            <a:chOff x="1264538" y="3456150"/>
            <a:chExt cx="8162925" cy="647700"/>
          </a:xfrm>
        </xdr:grpSpPr>
        <xdr:sp macro="" textlink="">
          <xdr:nvSpPr>
            <xdr:cNvPr id="69" name="Shape 4">
              <a:extLst>
                <a:ext uri="{FF2B5EF4-FFF2-40B4-BE49-F238E27FC236}">
                  <a16:creationId xmlns:a16="http://schemas.microsoft.com/office/drawing/2014/main" id="{2E1680E9-F30E-C174-18E2-DEBB32B659E2}"/>
                </a:ext>
              </a:extLst>
            </xdr:cNvPr>
            <xdr:cNvSpPr/>
          </xdr:nvSpPr>
          <xdr:spPr>
            <a:xfrm>
              <a:off x="1264538" y="3456150"/>
              <a:ext cx="8162925" cy="6477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70" name="Shape 67">
              <a:extLst>
                <a:ext uri="{FF2B5EF4-FFF2-40B4-BE49-F238E27FC236}">
                  <a16:creationId xmlns:a16="http://schemas.microsoft.com/office/drawing/2014/main" id="{1C5DD69A-C24C-4BF4-81F1-F353FEEA15AE}"/>
                </a:ext>
              </a:extLst>
            </xdr:cNvPr>
            <xdr:cNvGrpSpPr/>
          </xdr:nvGrpSpPr>
          <xdr:grpSpPr>
            <a:xfrm>
              <a:off x="1264538" y="3456150"/>
              <a:ext cx="8162925" cy="647700"/>
              <a:chOff x="1283513" y="3475200"/>
              <a:chExt cx="8124900" cy="609600"/>
            </a:xfrm>
          </xdr:grpSpPr>
          <xdr:sp macro="" textlink="">
            <xdr:nvSpPr>
              <xdr:cNvPr id="71" name="Shape 68">
                <a:extLst>
                  <a:ext uri="{FF2B5EF4-FFF2-40B4-BE49-F238E27FC236}">
                    <a16:creationId xmlns:a16="http://schemas.microsoft.com/office/drawing/2014/main" id="{772FBA7C-0832-E197-F920-417221D143C4}"/>
                  </a:ext>
                </a:extLst>
              </xdr:cNvPr>
              <xdr:cNvSpPr/>
            </xdr:nvSpPr>
            <xdr:spPr>
              <a:xfrm>
                <a:off x="1283513" y="3475200"/>
                <a:ext cx="8124900" cy="609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72" name="Shape 69">
                <a:extLst>
                  <a:ext uri="{FF2B5EF4-FFF2-40B4-BE49-F238E27FC236}">
                    <a16:creationId xmlns:a16="http://schemas.microsoft.com/office/drawing/2014/main" id="{7E7A46DA-F8E3-B0CE-A94D-AE688E3F8091}"/>
                  </a:ext>
                </a:extLst>
              </xdr:cNvPr>
              <xdr:cNvCxnSpPr>
                <a:stCxn id="57" idx="2"/>
              </xdr:cNvCxnSpPr>
            </xdr:nvCxnSpPr>
            <xdr:spPr>
              <a:xfrm rot="10800000">
                <a:off x="1283513" y="3475200"/>
                <a:ext cx="8124900" cy="609600"/>
              </a:xfrm>
              <a:prstGeom prst="straightConnector1">
                <a:avLst/>
              </a:prstGeom>
              <a:noFill/>
              <a:ln w="38100" cap="flat" cmpd="sng">
                <a:solidFill>
                  <a:schemeClr val="dk1"/>
                </a:solidFill>
                <a:prstDash val="solid"/>
                <a:miter lim="800000"/>
                <a:headEnd type="none" w="sm" len="sm"/>
                <a:tailEnd type="triangle" w="med" len="med"/>
              </a:ln>
            </xdr:spPr>
          </xdr:cxnSp>
        </xdr:grpSp>
      </xdr:grpSp>
    </xdr:grpSp>
    <xdr:clientData fLocksWithSheet="0"/>
  </xdr:oneCellAnchor>
  <xdr:oneCellAnchor>
    <xdr:from>
      <xdr:col>8</xdr:col>
      <xdr:colOff>95250</xdr:colOff>
      <xdr:row>131</xdr:row>
      <xdr:rowOff>142875</xdr:rowOff>
    </xdr:from>
    <xdr:ext cx="3971925" cy="666750"/>
    <xdr:sp macro="" textlink="">
      <xdr:nvSpPr>
        <xdr:cNvPr id="73" name="Shape 70">
          <a:extLst>
            <a:ext uri="{FF2B5EF4-FFF2-40B4-BE49-F238E27FC236}">
              <a16:creationId xmlns:a16="http://schemas.microsoft.com/office/drawing/2014/main" id="{15AAE763-0201-4CC0-B992-F155FA39E5D5}"/>
            </a:ext>
          </a:extLst>
        </xdr:cNvPr>
        <xdr:cNvSpPr/>
      </xdr:nvSpPr>
      <xdr:spPr>
        <a:xfrm rot="10800000" flipH="1">
          <a:off x="9696450" y="23528655"/>
          <a:ext cx="3971925" cy="666750"/>
        </a:xfrm>
        <a:prstGeom prst="ellipse">
          <a:avLst/>
        </a:prstGeom>
        <a:noFill/>
        <a:ln w="38100" cap="flat" cmpd="sng">
          <a:solidFill>
            <a:srgbClr val="FF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xdr:col>
      <xdr:colOff>3028950</xdr:colOff>
      <xdr:row>131</xdr:row>
      <xdr:rowOff>142875</xdr:rowOff>
    </xdr:from>
    <xdr:ext cx="4933950" cy="352425"/>
    <xdr:grpSp>
      <xdr:nvGrpSpPr>
        <xdr:cNvPr id="74" name="Shape 2" title="Drawing">
          <a:extLst>
            <a:ext uri="{FF2B5EF4-FFF2-40B4-BE49-F238E27FC236}">
              <a16:creationId xmlns:a16="http://schemas.microsoft.com/office/drawing/2014/main" id="{E3FB00DC-D3B7-426E-BA3B-FD94A80CA588}"/>
            </a:ext>
          </a:extLst>
        </xdr:cNvPr>
        <xdr:cNvGrpSpPr/>
      </xdr:nvGrpSpPr>
      <xdr:grpSpPr>
        <a:xfrm>
          <a:off x="4059382" y="23271307"/>
          <a:ext cx="4933950" cy="352425"/>
          <a:chOff x="2879025" y="3603788"/>
          <a:chExt cx="4933950" cy="352425"/>
        </a:xfrm>
      </xdr:grpSpPr>
      <xdr:grpSp>
        <xdr:nvGrpSpPr>
          <xdr:cNvPr id="75" name="Shape 71">
            <a:extLst>
              <a:ext uri="{FF2B5EF4-FFF2-40B4-BE49-F238E27FC236}">
                <a16:creationId xmlns:a16="http://schemas.microsoft.com/office/drawing/2014/main" id="{BF9F06D5-476F-4E22-696D-74C1297D8080}"/>
              </a:ext>
            </a:extLst>
          </xdr:cNvPr>
          <xdr:cNvGrpSpPr/>
        </xdr:nvGrpSpPr>
        <xdr:grpSpPr>
          <a:xfrm>
            <a:off x="2879025" y="3603788"/>
            <a:ext cx="4933950" cy="352425"/>
            <a:chOff x="2879025" y="3603788"/>
            <a:chExt cx="4933950" cy="352425"/>
          </a:xfrm>
        </xdr:grpSpPr>
        <xdr:sp macro="" textlink="">
          <xdr:nvSpPr>
            <xdr:cNvPr id="76" name="Shape 4">
              <a:extLst>
                <a:ext uri="{FF2B5EF4-FFF2-40B4-BE49-F238E27FC236}">
                  <a16:creationId xmlns:a16="http://schemas.microsoft.com/office/drawing/2014/main" id="{95C0D235-97A4-5233-7B1F-FB413DF64136}"/>
                </a:ext>
              </a:extLst>
            </xdr:cNvPr>
            <xdr:cNvSpPr/>
          </xdr:nvSpPr>
          <xdr:spPr>
            <a:xfrm>
              <a:off x="2879025" y="3603788"/>
              <a:ext cx="4933950" cy="3524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77" name="Shape 72">
              <a:extLst>
                <a:ext uri="{FF2B5EF4-FFF2-40B4-BE49-F238E27FC236}">
                  <a16:creationId xmlns:a16="http://schemas.microsoft.com/office/drawing/2014/main" id="{F7FE4AD5-B464-2DD2-F82B-BE3FB0C495C3}"/>
                </a:ext>
              </a:extLst>
            </xdr:cNvPr>
            <xdr:cNvGrpSpPr/>
          </xdr:nvGrpSpPr>
          <xdr:grpSpPr>
            <a:xfrm>
              <a:off x="2879025" y="3603788"/>
              <a:ext cx="4933950" cy="352425"/>
              <a:chOff x="2897925" y="3622763"/>
              <a:chExt cx="4896000" cy="314400"/>
            </a:xfrm>
          </xdr:grpSpPr>
          <xdr:sp macro="" textlink="">
            <xdr:nvSpPr>
              <xdr:cNvPr id="78" name="Shape 73">
                <a:extLst>
                  <a:ext uri="{FF2B5EF4-FFF2-40B4-BE49-F238E27FC236}">
                    <a16:creationId xmlns:a16="http://schemas.microsoft.com/office/drawing/2014/main" id="{BA61655C-AC11-DD9C-3204-6C5140E65010}"/>
                  </a:ext>
                </a:extLst>
              </xdr:cNvPr>
              <xdr:cNvSpPr/>
            </xdr:nvSpPr>
            <xdr:spPr>
              <a:xfrm>
                <a:off x="2897925" y="3622763"/>
                <a:ext cx="4896000" cy="3144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79" name="Shape 74">
                <a:extLst>
                  <a:ext uri="{FF2B5EF4-FFF2-40B4-BE49-F238E27FC236}">
                    <a16:creationId xmlns:a16="http://schemas.microsoft.com/office/drawing/2014/main" id="{D2708930-F0E0-71E8-FA2C-918AB50C9002}"/>
                  </a:ext>
                </a:extLst>
              </xdr:cNvPr>
              <xdr:cNvCxnSpPr>
                <a:stCxn id="61" idx="2"/>
              </xdr:cNvCxnSpPr>
            </xdr:nvCxnSpPr>
            <xdr:spPr>
              <a:xfrm rot="10800000">
                <a:off x="2897925" y="3622763"/>
                <a:ext cx="4896000" cy="314400"/>
              </a:xfrm>
              <a:prstGeom prst="straightConnector1">
                <a:avLst/>
              </a:prstGeom>
              <a:noFill/>
              <a:ln w="38100" cap="flat" cmpd="sng">
                <a:solidFill>
                  <a:srgbClr val="FF0000"/>
                </a:solidFill>
                <a:prstDash val="solid"/>
                <a:miter lim="800000"/>
                <a:headEnd type="none" w="sm" len="sm"/>
                <a:tailEnd type="triangle" w="med" len="med"/>
              </a:ln>
            </xdr:spPr>
          </xdr:cxnSp>
        </xdr:grpSp>
      </xdr:grpSp>
    </xdr:grpSp>
    <xdr:clientData fLocksWithSheet="0"/>
  </xdr:oneCellAnchor>
  <xdr:oneCellAnchor>
    <xdr:from>
      <xdr:col>3</xdr:col>
      <xdr:colOff>476250</xdr:colOff>
      <xdr:row>137</xdr:row>
      <xdr:rowOff>123825</xdr:rowOff>
    </xdr:from>
    <xdr:ext cx="1314450" cy="838200"/>
    <xdr:sp macro="" textlink="">
      <xdr:nvSpPr>
        <xdr:cNvPr id="80" name="Shape 75">
          <a:extLst>
            <a:ext uri="{FF2B5EF4-FFF2-40B4-BE49-F238E27FC236}">
              <a16:creationId xmlns:a16="http://schemas.microsoft.com/office/drawing/2014/main" id="{F3479FBC-883F-433D-B296-AAEE7BB4B197}"/>
            </a:ext>
          </a:extLst>
        </xdr:cNvPr>
        <xdr:cNvSpPr/>
      </xdr:nvSpPr>
      <xdr:spPr>
        <a:xfrm>
          <a:off x="6229350" y="24561165"/>
          <a:ext cx="1314450" cy="838200"/>
        </a:xfrm>
        <a:prstGeom prst="ellipse">
          <a:avLst/>
        </a:prstGeom>
        <a:noFill/>
        <a:ln w="38100" cap="flat" cmpd="sng">
          <a:solidFill>
            <a:schemeClr val="dk1"/>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xdr:col>
      <xdr:colOff>1038225</xdr:colOff>
      <xdr:row>133</xdr:row>
      <xdr:rowOff>95250</xdr:rowOff>
    </xdr:from>
    <xdr:ext cx="3562350" cy="1181100"/>
    <xdr:grpSp>
      <xdr:nvGrpSpPr>
        <xdr:cNvPr id="81" name="Shape 2" title="Drawing">
          <a:extLst>
            <a:ext uri="{FF2B5EF4-FFF2-40B4-BE49-F238E27FC236}">
              <a16:creationId xmlns:a16="http://schemas.microsoft.com/office/drawing/2014/main" id="{5848D577-FFEC-4CEE-AEB2-BFBDAFCB6B24}"/>
            </a:ext>
          </a:extLst>
        </xdr:cNvPr>
        <xdr:cNvGrpSpPr/>
      </xdr:nvGrpSpPr>
      <xdr:grpSpPr>
        <a:xfrm>
          <a:off x="2068657" y="23570045"/>
          <a:ext cx="3562350" cy="1181100"/>
          <a:chOff x="3564825" y="3189450"/>
          <a:chExt cx="3562350" cy="1181100"/>
        </a:xfrm>
      </xdr:grpSpPr>
      <xdr:grpSp>
        <xdr:nvGrpSpPr>
          <xdr:cNvPr id="82" name="Shape 76">
            <a:extLst>
              <a:ext uri="{FF2B5EF4-FFF2-40B4-BE49-F238E27FC236}">
                <a16:creationId xmlns:a16="http://schemas.microsoft.com/office/drawing/2014/main" id="{DA74DF45-6B4C-C931-9BD7-E484AE91ABF0}"/>
              </a:ext>
            </a:extLst>
          </xdr:cNvPr>
          <xdr:cNvGrpSpPr/>
        </xdr:nvGrpSpPr>
        <xdr:grpSpPr>
          <a:xfrm>
            <a:off x="3564825" y="3189450"/>
            <a:ext cx="3562350" cy="1181100"/>
            <a:chOff x="3564825" y="3189450"/>
            <a:chExt cx="3562350" cy="1181100"/>
          </a:xfrm>
        </xdr:grpSpPr>
        <xdr:sp macro="" textlink="">
          <xdr:nvSpPr>
            <xdr:cNvPr id="83" name="Shape 4">
              <a:extLst>
                <a:ext uri="{FF2B5EF4-FFF2-40B4-BE49-F238E27FC236}">
                  <a16:creationId xmlns:a16="http://schemas.microsoft.com/office/drawing/2014/main" id="{CE9BB49E-F8F1-38BE-4E77-6EAC4C2FA85E}"/>
                </a:ext>
              </a:extLst>
            </xdr:cNvPr>
            <xdr:cNvSpPr/>
          </xdr:nvSpPr>
          <xdr:spPr>
            <a:xfrm>
              <a:off x="3564825" y="3189450"/>
              <a:ext cx="3562350" cy="1181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84" name="Shape 77">
              <a:extLst>
                <a:ext uri="{FF2B5EF4-FFF2-40B4-BE49-F238E27FC236}">
                  <a16:creationId xmlns:a16="http://schemas.microsoft.com/office/drawing/2014/main" id="{5E22F88F-78F6-4BE0-0C31-2738549BC5CA}"/>
                </a:ext>
              </a:extLst>
            </xdr:cNvPr>
            <xdr:cNvGrpSpPr/>
          </xdr:nvGrpSpPr>
          <xdr:grpSpPr>
            <a:xfrm>
              <a:off x="3564825" y="3189450"/>
              <a:ext cx="3562350" cy="1181100"/>
              <a:chOff x="3584025" y="3208500"/>
              <a:chExt cx="3524100" cy="1143000"/>
            </a:xfrm>
          </xdr:grpSpPr>
          <xdr:sp macro="" textlink="">
            <xdr:nvSpPr>
              <xdr:cNvPr id="85" name="Shape 78">
                <a:extLst>
                  <a:ext uri="{FF2B5EF4-FFF2-40B4-BE49-F238E27FC236}">
                    <a16:creationId xmlns:a16="http://schemas.microsoft.com/office/drawing/2014/main" id="{6F2F0407-F6C9-449B-9F88-2BE8CB13BD7B}"/>
                  </a:ext>
                </a:extLst>
              </xdr:cNvPr>
              <xdr:cNvSpPr/>
            </xdr:nvSpPr>
            <xdr:spPr>
              <a:xfrm>
                <a:off x="3584025" y="3208500"/>
                <a:ext cx="3524100" cy="1143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86" name="Shape 79">
                <a:extLst>
                  <a:ext uri="{FF2B5EF4-FFF2-40B4-BE49-F238E27FC236}">
                    <a16:creationId xmlns:a16="http://schemas.microsoft.com/office/drawing/2014/main" id="{F3A4F8A6-E10A-4C8C-4205-211CAB79544E}"/>
                  </a:ext>
                </a:extLst>
              </xdr:cNvPr>
              <xdr:cNvCxnSpPr>
                <a:stCxn id="65" idx="2"/>
              </xdr:cNvCxnSpPr>
            </xdr:nvCxnSpPr>
            <xdr:spPr>
              <a:xfrm rot="10800000">
                <a:off x="3584025" y="3208500"/>
                <a:ext cx="3524100" cy="1143000"/>
              </a:xfrm>
              <a:prstGeom prst="straightConnector1">
                <a:avLst/>
              </a:prstGeom>
              <a:noFill/>
              <a:ln w="38100" cap="flat" cmpd="sng">
                <a:solidFill>
                  <a:schemeClr val="dk1"/>
                </a:solidFill>
                <a:prstDash val="solid"/>
                <a:miter lim="800000"/>
                <a:headEnd type="none" w="sm" len="sm"/>
                <a:tailEnd type="triangle" w="med" len="med"/>
              </a:ln>
            </xdr:spPr>
          </xdr:cxnSp>
        </xdr:grpSp>
      </xdr:grpSp>
    </xdr:grpSp>
    <xdr:clientData fLocksWithSheet="0"/>
  </xdr:oneCellAnchor>
  <xdr:oneCellAnchor>
    <xdr:from>
      <xdr:col>6</xdr:col>
      <xdr:colOff>600075</xdr:colOff>
      <xdr:row>138</xdr:row>
      <xdr:rowOff>76200</xdr:rowOff>
    </xdr:from>
    <xdr:ext cx="514350" cy="619125"/>
    <xdr:sp macro="" textlink="">
      <xdr:nvSpPr>
        <xdr:cNvPr id="87" name="Shape 80">
          <a:extLst>
            <a:ext uri="{FF2B5EF4-FFF2-40B4-BE49-F238E27FC236}">
              <a16:creationId xmlns:a16="http://schemas.microsoft.com/office/drawing/2014/main" id="{3F4AC9A7-38A6-4E73-95BA-BBF2A5016920}"/>
            </a:ext>
          </a:extLst>
        </xdr:cNvPr>
        <xdr:cNvSpPr/>
      </xdr:nvSpPr>
      <xdr:spPr>
        <a:xfrm>
          <a:off x="8547735" y="24688800"/>
          <a:ext cx="514350" cy="619125"/>
        </a:xfrm>
        <a:prstGeom prst="ellipse">
          <a:avLst/>
        </a:prstGeom>
        <a:noFill/>
        <a:ln w="38100" cap="flat" cmpd="sng">
          <a:solidFill>
            <a:srgbClr val="517E33"/>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342900</xdr:colOff>
      <xdr:row>135</xdr:row>
      <xdr:rowOff>142875</xdr:rowOff>
    </xdr:from>
    <xdr:ext cx="3152775" cy="800100"/>
    <xdr:grpSp>
      <xdr:nvGrpSpPr>
        <xdr:cNvPr id="88" name="Shape 2" title="Drawing">
          <a:extLst>
            <a:ext uri="{FF2B5EF4-FFF2-40B4-BE49-F238E27FC236}">
              <a16:creationId xmlns:a16="http://schemas.microsoft.com/office/drawing/2014/main" id="{5D8B0DF8-16E6-4B1C-BD4A-6A16CE4C852E}"/>
            </a:ext>
          </a:extLst>
        </xdr:cNvPr>
        <xdr:cNvGrpSpPr/>
      </xdr:nvGrpSpPr>
      <xdr:grpSpPr>
        <a:xfrm>
          <a:off x="5391150" y="23964034"/>
          <a:ext cx="3152775" cy="800100"/>
          <a:chOff x="3769613" y="3379950"/>
          <a:chExt cx="3152775" cy="800100"/>
        </a:xfrm>
      </xdr:grpSpPr>
      <xdr:grpSp>
        <xdr:nvGrpSpPr>
          <xdr:cNvPr id="89" name="Shape 81">
            <a:extLst>
              <a:ext uri="{FF2B5EF4-FFF2-40B4-BE49-F238E27FC236}">
                <a16:creationId xmlns:a16="http://schemas.microsoft.com/office/drawing/2014/main" id="{C9193A66-25D7-E905-A93E-E56F991A2A7B}"/>
              </a:ext>
            </a:extLst>
          </xdr:cNvPr>
          <xdr:cNvGrpSpPr/>
        </xdr:nvGrpSpPr>
        <xdr:grpSpPr>
          <a:xfrm>
            <a:off x="3769613" y="3379950"/>
            <a:ext cx="3152775" cy="800100"/>
            <a:chOff x="3769613" y="3379950"/>
            <a:chExt cx="3152775" cy="800100"/>
          </a:xfrm>
        </xdr:grpSpPr>
        <xdr:sp macro="" textlink="">
          <xdr:nvSpPr>
            <xdr:cNvPr id="90" name="Shape 4">
              <a:extLst>
                <a:ext uri="{FF2B5EF4-FFF2-40B4-BE49-F238E27FC236}">
                  <a16:creationId xmlns:a16="http://schemas.microsoft.com/office/drawing/2014/main" id="{DE79396B-DDAB-17EC-8800-0F74C121A7BC}"/>
                </a:ext>
              </a:extLst>
            </xdr:cNvPr>
            <xdr:cNvSpPr/>
          </xdr:nvSpPr>
          <xdr:spPr>
            <a:xfrm>
              <a:off x="3769613" y="3379950"/>
              <a:ext cx="3152775" cy="800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91" name="Shape 82">
              <a:extLst>
                <a:ext uri="{FF2B5EF4-FFF2-40B4-BE49-F238E27FC236}">
                  <a16:creationId xmlns:a16="http://schemas.microsoft.com/office/drawing/2014/main" id="{FFAC9955-6AB1-DA4C-9E6F-4142357AF587}"/>
                </a:ext>
              </a:extLst>
            </xdr:cNvPr>
            <xdr:cNvGrpSpPr/>
          </xdr:nvGrpSpPr>
          <xdr:grpSpPr>
            <a:xfrm>
              <a:off x="3769613" y="3379950"/>
              <a:ext cx="3152775" cy="800100"/>
              <a:chOff x="3788738" y="3399000"/>
              <a:chExt cx="3114600" cy="762000"/>
            </a:xfrm>
          </xdr:grpSpPr>
          <xdr:sp macro="" textlink="">
            <xdr:nvSpPr>
              <xdr:cNvPr id="92" name="Shape 83">
                <a:extLst>
                  <a:ext uri="{FF2B5EF4-FFF2-40B4-BE49-F238E27FC236}">
                    <a16:creationId xmlns:a16="http://schemas.microsoft.com/office/drawing/2014/main" id="{912B7F23-878C-9047-93F8-FD1EC50DEB0E}"/>
                  </a:ext>
                </a:extLst>
              </xdr:cNvPr>
              <xdr:cNvSpPr/>
            </xdr:nvSpPr>
            <xdr:spPr>
              <a:xfrm>
                <a:off x="3788738" y="3399000"/>
                <a:ext cx="3114600" cy="762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93" name="Shape 84">
                <a:extLst>
                  <a:ext uri="{FF2B5EF4-FFF2-40B4-BE49-F238E27FC236}">
                    <a16:creationId xmlns:a16="http://schemas.microsoft.com/office/drawing/2014/main" id="{FEEF064F-F88D-D169-A6A5-DE9D35E125A2}"/>
                  </a:ext>
                </a:extLst>
              </xdr:cNvPr>
              <xdr:cNvCxnSpPr>
                <a:stCxn id="68" idx="2"/>
              </xdr:cNvCxnSpPr>
            </xdr:nvCxnSpPr>
            <xdr:spPr>
              <a:xfrm rot="10800000">
                <a:off x="3788738" y="3399000"/>
                <a:ext cx="3114600" cy="762000"/>
              </a:xfrm>
              <a:prstGeom prst="straightConnector1">
                <a:avLst/>
              </a:prstGeom>
              <a:noFill/>
              <a:ln w="38100" cap="flat" cmpd="sng">
                <a:solidFill>
                  <a:schemeClr val="accent6"/>
                </a:solidFill>
                <a:prstDash val="solid"/>
                <a:miter lim="800000"/>
                <a:headEnd type="none" w="sm" len="sm"/>
                <a:tailEnd type="triangle" w="med" len="med"/>
              </a:ln>
            </xdr:spPr>
          </xdr:cxnSp>
        </xdr:grpSp>
      </xdr:grpSp>
    </xdr:grpSp>
    <xdr:clientData fLocksWithSheet="0"/>
  </xdr:oneCellAnchor>
  <xdr:oneCellAnchor>
    <xdr:from>
      <xdr:col>9</xdr:col>
      <xdr:colOff>114300</xdr:colOff>
      <xdr:row>138</xdr:row>
      <xdr:rowOff>66675</xdr:rowOff>
    </xdr:from>
    <xdr:ext cx="561975" cy="600075"/>
    <xdr:sp macro="" textlink="">
      <xdr:nvSpPr>
        <xdr:cNvPr id="94" name="Shape 85">
          <a:extLst>
            <a:ext uri="{FF2B5EF4-FFF2-40B4-BE49-F238E27FC236}">
              <a16:creationId xmlns:a16="http://schemas.microsoft.com/office/drawing/2014/main" id="{5E035224-82EE-4746-A518-2DFFCF7D9868}"/>
            </a:ext>
          </a:extLst>
        </xdr:cNvPr>
        <xdr:cNvSpPr/>
      </xdr:nvSpPr>
      <xdr:spPr>
        <a:xfrm rot="10800000" flipH="1">
          <a:off x="10363200" y="24679275"/>
          <a:ext cx="561975" cy="600075"/>
        </a:xfrm>
        <a:prstGeom prst="ellipse">
          <a:avLst/>
        </a:prstGeom>
        <a:noFill/>
        <a:ln w="38100" cap="flat" cmpd="sng">
          <a:solidFill>
            <a:srgbClr val="AC5B23"/>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xdr:col>
      <xdr:colOff>1638300</xdr:colOff>
      <xdr:row>137</xdr:row>
      <xdr:rowOff>114300</xdr:rowOff>
    </xdr:from>
    <xdr:ext cx="6972300" cy="476250"/>
    <xdr:grpSp>
      <xdr:nvGrpSpPr>
        <xdr:cNvPr id="95" name="Shape 2" title="Drawing">
          <a:extLst>
            <a:ext uri="{FF2B5EF4-FFF2-40B4-BE49-F238E27FC236}">
              <a16:creationId xmlns:a16="http://schemas.microsoft.com/office/drawing/2014/main" id="{FC9BA378-D309-4187-99CC-EF2AF177F871}"/>
            </a:ext>
          </a:extLst>
        </xdr:cNvPr>
        <xdr:cNvGrpSpPr/>
      </xdr:nvGrpSpPr>
      <xdr:grpSpPr>
        <a:xfrm>
          <a:off x="2668732" y="24281823"/>
          <a:ext cx="6972300" cy="476250"/>
          <a:chOff x="1859850" y="3541875"/>
          <a:chExt cx="6972300" cy="476250"/>
        </a:xfrm>
      </xdr:grpSpPr>
      <xdr:grpSp>
        <xdr:nvGrpSpPr>
          <xdr:cNvPr id="96" name="Shape 86">
            <a:extLst>
              <a:ext uri="{FF2B5EF4-FFF2-40B4-BE49-F238E27FC236}">
                <a16:creationId xmlns:a16="http://schemas.microsoft.com/office/drawing/2014/main" id="{D55F272F-4646-01D7-1093-43908D26A42A}"/>
              </a:ext>
            </a:extLst>
          </xdr:cNvPr>
          <xdr:cNvGrpSpPr/>
        </xdr:nvGrpSpPr>
        <xdr:grpSpPr>
          <a:xfrm>
            <a:off x="1859850" y="3541875"/>
            <a:ext cx="6972300" cy="476250"/>
            <a:chOff x="1859850" y="3541875"/>
            <a:chExt cx="6972300" cy="476250"/>
          </a:xfrm>
        </xdr:grpSpPr>
        <xdr:sp macro="" textlink="">
          <xdr:nvSpPr>
            <xdr:cNvPr id="97" name="Shape 4">
              <a:extLst>
                <a:ext uri="{FF2B5EF4-FFF2-40B4-BE49-F238E27FC236}">
                  <a16:creationId xmlns:a16="http://schemas.microsoft.com/office/drawing/2014/main" id="{BFEC6A94-10CD-1AAC-A36D-F0AB4744C2BF}"/>
                </a:ext>
              </a:extLst>
            </xdr:cNvPr>
            <xdr:cNvSpPr/>
          </xdr:nvSpPr>
          <xdr:spPr>
            <a:xfrm>
              <a:off x="1859850" y="3541875"/>
              <a:ext cx="6972300" cy="4762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98" name="Shape 87">
              <a:extLst>
                <a:ext uri="{FF2B5EF4-FFF2-40B4-BE49-F238E27FC236}">
                  <a16:creationId xmlns:a16="http://schemas.microsoft.com/office/drawing/2014/main" id="{D721BC77-1798-975B-5E1E-62A820C03F63}"/>
                </a:ext>
              </a:extLst>
            </xdr:cNvPr>
            <xdr:cNvGrpSpPr/>
          </xdr:nvGrpSpPr>
          <xdr:grpSpPr>
            <a:xfrm>
              <a:off x="1859850" y="3541875"/>
              <a:ext cx="6972300" cy="476250"/>
              <a:chOff x="1878900" y="3560775"/>
              <a:chExt cx="6934200" cy="438300"/>
            </a:xfrm>
          </xdr:grpSpPr>
          <xdr:sp macro="" textlink="">
            <xdr:nvSpPr>
              <xdr:cNvPr id="99" name="Shape 88">
                <a:extLst>
                  <a:ext uri="{FF2B5EF4-FFF2-40B4-BE49-F238E27FC236}">
                    <a16:creationId xmlns:a16="http://schemas.microsoft.com/office/drawing/2014/main" id="{D16D5CCF-BC16-B0D9-1C75-7A597A88EE04}"/>
                  </a:ext>
                </a:extLst>
              </xdr:cNvPr>
              <xdr:cNvSpPr/>
            </xdr:nvSpPr>
            <xdr:spPr>
              <a:xfrm>
                <a:off x="1878900" y="3560775"/>
                <a:ext cx="6934200" cy="4383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100" name="Shape 89">
                <a:extLst>
                  <a:ext uri="{FF2B5EF4-FFF2-40B4-BE49-F238E27FC236}">
                    <a16:creationId xmlns:a16="http://schemas.microsoft.com/office/drawing/2014/main" id="{E196A5CA-6217-39F8-279C-489ED13DD709}"/>
                  </a:ext>
                </a:extLst>
              </xdr:cNvPr>
              <xdr:cNvCxnSpPr>
                <a:stCxn id="71" idx="2"/>
              </xdr:cNvCxnSpPr>
            </xdr:nvCxnSpPr>
            <xdr:spPr>
              <a:xfrm rot="10800000">
                <a:off x="1878900" y="3560775"/>
                <a:ext cx="6934200" cy="438300"/>
              </a:xfrm>
              <a:prstGeom prst="straightConnector1">
                <a:avLst/>
              </a:prstGeom>
              <a:noFill/>
              <a:ln w="38100" cap="flat" cmpd="sng">
                <a:solidFill>
                  <a:schemeClr val="accent2"/>
                </a:solidFill>
                <a:prstDash val="solid"/>
                <a:miter lim="800000"/>
                <a:headEnd type="none" w="sm" len="sm"/>
                <a:tailEnd type="triangle" w="med" len="med"/>
              </a:ln>
            </xdr:spPr>
          </xdr:cxnSp>
        </xdr:grpSp>
      </xdr:grpSp>
    </xdr:grpSp>
    <xdr:clientData fLocksWithSheet="0"/>
  </xdr:oneCellAnchor>
  <xdr:oneCellAnchor>
    <xdr:from>
      <xdr:col>5</xdr:col>
      <xdr:colOff>457200</xdr:colOff>
      <xdr:row>95</xdr:row>
      <xdr:rowOff>9525</xdr:rowOff>
    </xdr:from>
    <xdr:ext cx="7029450" cy="5372100"/>
    <xdr:pic>
      <xdr:nvPicPr>
        <xdr:cNvPr id="101" name="image4.png">
          <a:extLst>
            <a:ext uri="{FF2B5EF4-FFF2-40B4-BE49-F238E27FC236}">
              <a16:creationId xmlns:a16="http://schemas.microsoft.com/office/drawing/2014/main" id="{17E9DDE3-E312-4EBA-85E9-697066C38DCE}"/>
            </a:ext>
          </a:extLst>
        </xdr:cNvPr>
        <xdr:cNvPicPr preferRelativeResize="0"/>
      </xdr:nvPicPr>
      <xdr:blipFill>
        <a:blip xmlns:r="http://schemas.openxmlformats.org/officeDocument/2006/relationships" r:embed="rId2" cstate="print"/>
        <a:stretch>
          <a:fillRect/>
        </a:stretch>
      </xdr:blipFill>
      <xdr:spPr>
        <a:xfrm>
          <a:off x="7543800" y="16849725"/>
          <a:ext cx="7029450" cy="5372100"/>
        </a:xfrm>
        <a:prstGeom prst="rect">
          <a:avLst/>
        </a:prstGeom>
        <a:noFill/>
      </xdr:spPr>
    </xdr:pic>
    <xdr:clientData fLocksWithSheet="0"/>
  </xdr:oneCellAnchor>
  <xdr:oneCellAnchor>
    <xdr:from>
      <xdr:col>6</xdr:col>
      <xdr:colOff>28575</xdr:colOff>
      <xdr:row>56</xdr:row>
      <xdr:rowOff>142875</xdr:rowOff>
    </xdr:from>
    <xdr:ext cx="7391400" cy="5962650"/>
    <xdr:pic>
      <xdr:nvPicPr>
        <xdr:cNvPr id="102" name="image10.png">
          <a:extLst>
            <a:ext uri="{FF2B5EF4-FFF2-40B4-BE49-F238E27FC236}">
              <a16:creationId xmlns:a16="http://schemas.microsoft.com/office/drawing/2014/main" id="{BF6DC181-AF15-4CE9-95DD-154E4201E007}"/>
            </a:ext>
            <a:ext uri="{147F2762-F138-4A5C-976F-8EAC2B608ADB}">
              <a16:predDERef xmlns:a16="http://schemas.microsoft.com/office/drawing/2014/main" pred="{00000000-0008-0000-0400-000065000000}"/>
            </a:ext>
          </a:extLst>
        </xdr:cNvPr>
        <xdr:cNvPicPr preferRelativeResize="0"/>
      </xdr:nvPicPr>
      <xdr:blipFill>
        <a:blip xmlns:r="http://schemas.openxmlformats.org/officeDocument/2006/relationships" r:embed="rId3" cstate="print"/>
        <a:stretch>
          <a:fillRect/>
        </a:stretch>
      </xdr:blipFill>
      <xdr:spPr>
        <a:xfrm>
          <a:off x="7976235" y="10026015"/>
          <a:ext cx="7391400" cy="5962650"/>
        </a:xfrm>
        <a:prstGeom prst="rect">
          <a:avLst/>
        </a:prstGeom>
        <a:noFill/>
      </xdr:spPr>
    </xdr:pic>
    <xdr:clientData fLocksWithSheet="0"/>
  </xdr:oneCellAnchor>
  <xdr:oneCellAnchor>
    <xdr:from>
      <xdr:col>30</xdr:col>
      <xdr:colOff>85725</xdr:colOff>
      <xdr:row>1</xdr:row>
      <xdr:rowOff>104775</xdr:rowOff>
    </xdr:from>
    <xdr:ext cx="4552950" cy="2286000"/>
    <xdr:pic>
      <xdr:nvPicPr>
        <xdr:cNvPr id="103" name="image8.png">
          <a:extLst>
            <a:ext uri="{FF2B5EF4-FFF2-40B4-BE49-F238E27FC236}">
              <a16:creationId xmlns:a16="http://schemas.microsoft.com/office/drawing/2014/main" id="{966B1D53-FDAA-4FF1-BB92-F52867B94177}"/>
            </a:ext>
          </a:extLst>
        </xdr:cNvPr>
        <xdr:cNvPicPr preferRelativeResize="0"/>
      </xdr:nvPicPr>
      <xdr:blipFill>
        <a:blip xmlns:r="http://schemas.openxmlformats.org/officeDocument/2006/relationships" r:embed="rId4" cstate="print"/>
        <a:stretch>
          <a:fillRect/>
        </a:stretch>
      </xdr:blipFill>
      <xdr:spPr>
        <a:xfrm>
          <a:off x="27487245" y="280035"/>
          <a:ext cx="4552950" cy="2286000"/>
        </a:xfrm>
        <a:prstGeom prst="rect">
          <a:avLst/>
        </a:prstGeom>
        <a:noFill/>
      </xdr:spPr>
    </xdr:pic>
    <xdr:clientData fLocksWithSheet="0"/>
  </xdr:oneCellAnchor>
  <xdr:oneCellAnchor>
    <xdr:from>
      <xdr:col>19</xdr:col>
      <xdr:colOff>104775</xdr:colOff>
      <xdr:row>1</xdr:row>
      <xdr:rowOff>123825</xdr:rowOff>
    </xdr:from>
    <xdr:ext cx="5553075" cy="3000375"/>
    <xdr:pic>
      <xdr:nvPicPr>
        <xdr:cNvPr id="104" name="image3.png">
          <a:extLst>
            <a:ext uri="{FF2B5EF4-FFF2-40B4-BE49-F238E27FC236}">
              <a16:creationId xmlns:a16="http://schemas.microsoft.com/office/drawing/2014/main" id="{BF26BFA3-E52D-4344-83DB-7E7CD16CED40}"/>
            </a:ext>
          </a:extLst>
        </xdr:cNvPr>
        <xdr:cNvPicPr preferRelativeResize="0"/>
      </xdr:nvPicPr>
      <xdr:blipFill>
        <a:blip xmlns:r="http://schemas.openxmlformats.org/officeDocument/2006/relationships" r:embed="rId5" cstate="print"/>
        <a:stretch>
          <a:fillRect/>
        </a:stretch>
      </xdr:blipFill>
      <xdr:spPr>
        <a:xfrm>
          <a:off x="20968335" y="299085"/>
          <a:ext cx="5553075" cy="3000375"/>
        </a:xfrm>
        <a:prstGeom prst="rect">
          <a:avLst/>
        </a:prstGeom>
        <a:noFill/>
      </xdr:spPr>
    </xdr:pic>
    <xdr:clientData fLocksWithSheet="0"/>
  </xdr:oneCellAnchor>
  <xdr:oneCellAnchor>
    <xdr:from>
      <xdr:col>19</xdr:col>
      <xdr:colOff>9525</xdr:colOff>
      <xdr:row>47</xdr:row>
      <xdr:rowOff>0</xdr:rowOff>
    </xdr:from>
    <xdr:ext cx="5819775" cy="5095875"/>
    <xdr:pic>
      <xdr:nvPicPr>
        <xdr:cNvPr id="105" name="image6.png">
          <a:extLst>
            <a:ext uri="{FF2B5EF4-FFF2-40B4-BE49-F238E27FC236}">
              <a16:creationId xmlns:a16="http://schemas.microsoft.com/office/drawing/2014/main" id="{7639C7DF-7C08-4E7A-A915-CF628361D7D7}"/>
            </a:ext>
          </a:extLst>
        </xdr:cNvPr>
        <xdr:cNvPicPr preferRelativeResize="0"/>
      </xdr:nvPicPr>
      <xdr:blipFill>
        <a:blip xmlns:r="http://schemas.openxmlformats.org/officeDocument/2006/relationships" r:embed="rId6" cstate="print"/>
        <a:stretch>
          <a:fillRect/>
        </a:stretch>
      </xdr:blipFill>
      <xdr:spPr>
        <a:xfrm>
          <a:off x="20873085" y="8237220"/>
          <a:ext cx="5819775" cy="5095875"/>
        </a:xfrm>
        <a:prstGeom prst="rect">
          <a:avLst/>
        </a:prstGeom>
        <a:noFill/>
      </xdr:spPr>
    </xdr:pic>
    <xdr:clientData fLocksWithSheet="0"/>
  </xdr:oneCellAnchor>
  <xdr:oneCellAnchor>
    <xdr:from>
      <xdr:col>30</xdr:col>
      <xdr:colOff>85725</xdr:colOff>
      <xdr:row>47</xdr:row>
      <xdr:rowOff>0</xdr:rowOff>
    </xdr:from>
    <xdr:ext cx="5743575" cy="3933825"/>
    <xdr:pic>
      <xdr:nvPicPr>
        <xdr:cNvPr id="106" name="image9.png">
          <a:extLst>
            <a:ext uri="{FF2B5EF4-FFF2-40B4-BE49-F238E27FC236}">
              <a16:creationId xmlns:a16="http://schemas.microsoft.com/office/drawing/2014/main" id="{03E0AC2C-1570-4924-B252-3AA78A3858E1}"/>
            </a:ext>
          </a:extLst>
        </xdr:cNvPr>
        <xdr:cNvPicPr preferRelativeResize="0"/>
      </xdr:nvPicPr>
      <xdr:blipFill>
        <a:blip xmlns:r="http://schemas.openxmlformats.org/officeDocument/2006/relationships" r:embed="rId7" cstate="print"/>
        <a:stretch>
          <a:fillRect/>
        </a:stretch>
      </xdr:blipFill>
      <xdr:spPr>
        <a:xfrm>
          <a:off x="27487245" y="8237220"/>
          <a:ext cx="5743575" cy="3933825"/>
        </a:xfrm>
        <a:prstGeom prst="rect">
          <a:avLst/>
        </a:prstGeom>
        <a:noFill/>
      </xdr:spPr>
    </xdr:pic>
    <xdr:clientData fLocksWithSheet="0"/>
  </xdr:oneCellAnchor>
  <xdr:oneCellAnchor>
    <xdr:from>
      <xdr:col>19</xdr:col>
      <xdr:colOff>533400</xdr:colOff>
      <xdr:row>77</xdr:row>
      <xdr:rowOff>104775</xdr:rowOff>
    </xdr:from>
    <xdr:ext cx="7038975" cy="2381250"/>
    <xdr:pic>
      <xdr:nvPicPr>
        <xdr:cNvPr id="107" name="image5.png">
          <a:extLst>
            <a:ext uri="{FF2B5EF4-FFF2-40B4-BE49-F238E27FC236}">
              <a16:creationId xmlns:a16="http://schemas.microsoft.com/office/drawing/2014/main" id="{75AE4EB5-AB21-463B-83C7-B3AC926D6350}"/>
            </a:ext>
          </a:extLst>
        </xdr:cNvPr>
        <xdr:cNvPicPr preferRelativeResize="0"/>
      </xdr:nvPicPr>
      <xdr:blipFill>
        <a:blip xmlns:r="http://schemas.openxmlformats.org/officeDocument/2006/relationships" r:embed="rId8" cstate="print"/>
        <a:stretch>
          <a:fillRect/>
        </a:stretch>
      </xdr:blipFill>
      <xdr:spPr>
        <a:xfrm>
          <a:off x="21396960" y="13691235"/>
          <a:ext cx="7038975" cy="2381250"/>
        </a:xfrm>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dr:twoCellAnchor editAs="oneCell">
    <xdr:from>
      <xdr:col>10</xdr:col>
      <xdr:colOff>316303</xdr:colOff>
      <xdr:row>1</xdr:row>
      <xdr:rowOff>43132</xdr:rowOff>
    </xdr:from>
    <xdr:to>
      <xdr:col>13</xdr:col>
      <xdr:colOff>265983</xdr:colOff>
      <xdr:row>7</xdr:row>
      <xdr:rowOff>77057</xdr:rowOff>
    </xdr:to>
    <xdr:pic>
      <xdr:nvPicPr>
        <xdr:cNvPr id="2" name="Picture 1">
          <a:extLst>
            <a:ext uri="{FF2B5EF4-FFF2-40B4-BE49-F238E27FC236}">
              <a16:creationId xmlns:a16="http://schemas.microsoft.com/office/drawing/2014/main" id="{D425D4B7-5693-46FF-979D-27269641383D}"/>
            </a:ext>
          </a:extLst>
        </xdr:cNvPr>
        <xdr:cNvPicPr>
          <a:picLocks noChangeAspect="1"/>
        </xdr:cNvPicPr>
      </xdr:nvPicPr>
      <xdr:blipFill>
        <a:blip xmlns:r="http://schemas.openxmlformats.org/officeDocument/2006/relationships" r:embed="rId1"/>
        <a:stretch>
          <a:fillRect/>
        </a:stretch>
      </xdr:blipFill>
      <xdr:spPr>
        <a:xfrm>
          <a:off x="10184203" y="218392"/>
          <a:ext cx="1755620" cy="1085485"/>
        </a:xfrm>
        <a:prstGeom prst="rect">
          <a:avLst/>
        </a:prstGeom>
      </xdr:spPr>
    </xdr:pic>
    <xdr:clientData/>
  </xdr:twoCellAnchor>
  <xdr:twoCellAnchor editAs="oneCell">
    <xdr:from>
      <xdr:col>10</xdr:col>
      <xdr:colOff>316303</xdr:colOff>
      <xdr:row>1</xdr:row>
      <xdr:rowOff>43132</xdr:rowOff>
    </xdr:from>
    <xdr:to>
      <xdr:col>13</xdr:col>
      <xdr:colOff>265983</xdr:colOff>
      <xdr:row>7</xdr:row>
      <xdr:rowOff>77057</xdr:rowOff>
    </xdr:to>
    <xdr:pic>
      <xdr:nvPicPr>
        <xdr:cNvPr id="3" name="Picture 2">
          <a:extLst>
            <a:ext uri="{FF2B5EF4-FFF2-40B4-BE49-F238E27FC236}">
              <a16:creationId xmlns:a16="http://schemas.microsoft.com/office/drawing/2014/main" id="{9D1A6C09-4842-4E89-AC31-C69FFF7F34E5}"/>
            </a:ext>
          </a:extLst>
        </xdr:cNvPr>
        <xdr:cNvPicPr>
          <a:picLocks noChangeAspect="1"/>
        </xdr:cNvPicPr>
      </xdr:nvPicPr>
      <xdr:blipFill>
        <a:blip xmlns:r="http://schemas.openxmlformats.org/officeDocument/2006/relationships" r:embed="rId1"/>
        <a:stretch>
          <a:fillRect/>
        </a:stretch>
      </xdr:blipFill>
      <xdr:spPr>
        <a:xfrm>
          <a:off x="10184203" y="218392"/>
          <a:ext cx="1755620" cy="1085485"/>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oneCellAnchor>
    <xdr:from>
      <xdr:col>6</xdr:col>
      <xdr:colOff>600075</xdr:colOff>
      <xdr:row>54</xdr:row>
      <xdr:rowOff>-19050</xdr:rowOff>
    </xdr:from>
    <xdr:ext cx="6553200" cy="1800225"/>
    <xdr:sp macro="" textlink="">
      <xdr:nvSpPr>
        <xdr:cNvPr id="2" name="Shape 20">
          <a:extLst>
            <a:ext uri="{FF2B5EF4-FFF2-40B4-BE49-F238E27FC236}">
              <a16:creationId xmlns:a16="http://schemas.microsoft.com/office/drawing/2014/main" id="{A8B171B3-8D81-43B6-A0CC-52976FE2C3F5}"/>
            </a:ext>
          </a:extLst>
        </xdr:cNvPr>
        <xdr:cNvSpPr/>
      </xdr:nvSpPr>
      <xdr:spPr>
        <a:xfrm>
          <a:off x="9904095" y="9444990"/>
          <a:ext cx="6553200" cy="1800225"/>
        </a:xfrm>
        <a:prstGeom prst="ellipse">
          <a:avLst/>
        </a:prstGeom>
        <a:noFill/>
        <a:ln w="38100" cap="flat" cmpd="sng">
          <a:solidFill>
            <a:srgbClr val="31538F"/>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xdr:col>
      <xdr:colOff>1057275</xdr:colOff>
      <xdr:row>54</xdr:row>
      <xdr:rowOff>66675</xdr:rowOff>
    </xdr:from>
    <xdr:ext cx="6477000" cy="342900"/>
    <xdr:grpSp>
      <xdr:nvGrpSpPr>
        <xdr:cNvPr id="3" name="Shape 2">
          <a:extLst>
            <a:ext uri="{FF2B5EF4-FFF2-40B4-BE49-F238E27FC236}">
              <a16:creationId xmlns:a16="http://schemas.microsoft.com/office/drawing/2014/main" id="{3B5B9144-58EF-458F-9A1A-5F972F2B397F}"/>
            </a:ext>
          </a:extLst>
        </xdr:cNvPr>
        <xdr:cNvGrpSpPr/>
      </xdr:nvGrpSpPr>
      <xdr:grpSpPr>
        <a:xfrm>
          <a:off x="2088669" y="9626311"/>
          <a:ext cx="6477000" cy="342900"/>
          <a:chOff x="2107500" y="3608550"/>
          <a:chExt cx="6477001" cy="342900"/>
        </a:xfrm>
      </xdr:grpSpPr>
      <xdr:grpSp>
        <xdr:nvGrpSpPr>
          <xdr:cNvPr id="4" name="Shape 21">
            <a:extLst>
              <a:ext uri="{FF2B5EF4-FFF2-40B4-BE49-F238E27FC236}">
                <a16:creationId xmlns:a16="http://schemas.microsoft.com/office/drawing/2014/main" id="{18D27A5E-3187-B479-0A04-C20A1E5EE437}"/>
              </a:ext>
            </a:extLst>
          </xdr:cNvPr>
          <xdr:cNvGrpSpPr/>
        </xdr:nvGrpSpPr>
        <xdr:grpSpPr>
          <a:xfrm>
            <a:off x="2107500" y="3608550"/>
            <a:ext cx="6477001" cy="342900"/>
            <a:chOff x="2107500" y="3608550"/>
            <a:chExt cx="6477001" cy="342900"/>
          </a:xfrm>
        </xdr:grpSpPr>
        <xdr:sp macro="" textlink="">
          <xdr:nvSpPr>
            <xdr:cNvPr id="5" name="Shape 4">
              <a:extLst>
                <a:ext uri="{FF2B5EF4-FFF2-40B4-BE49-F238E27FC236}">
                  <a16:creationId xmlns:a16="http://schemas.microsoft.com/office/drawing/2014/main" id="{861A7E38-8604-7900-DB8A-102D8455FBC8}"/>
                </a:ext>
              </a:extLst>
            </xdr:cNvPr>
            <xdr:cNvSpPr/>
          </xdr:nvSpPr>
          <xdr:spPr>
            <a:xfrm>
              <a:off x="2107500" y="3608550"/>
              <a:ext cx="6477000" cy="3429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 name="Shape 22">
              <a:extLst>
                <a:ext uri="{FF2B5EF4-FFF2-40B4-BE49-F238E27FC236}">
                  <a16:creationId xmlns:a16="http://schemas.microsoft.com/office/drawing/2014/main" id="{6D049E8A-E027-150D-29FE-6C850DEE820E}"/>
                </a:ext>
              </a:extLst>
            </xdr:cNvPr>
            <xdr:cNvGrpSpPr/>
          </xdr:nvGrpSpPr>
          <xdr:grpSpPr>
            <a:xfrm>
              <a:off x="2107500" y="3608550"/>
              <a:ext cx="6477001" cy="342900"/>
              <a:chOff x="2126550" y="3627600"/>
              <a:chExt cx="6438900" cy="304800"/>
            </a:xfrm>
          </xdr:grpSpPr>
          <xdr:sp macro="" textlink="">
            <xdr:nvSpPr>
              <xdr:cNvPr id="7" name="Shape 23">
                <a:extLst>
                  <a:ext uri="{FF2B5EF4-FFF2-40B4-BE49-F238E27FC236}">
                    <a16:creationId xmlns:a16="http://schemas.microsoft.com/office/drawing/2014/main" id="{0C589EAA-2EDF-BB70-D0AA-7DD12C38B18C}"/>
                  </a:ext>
                </a:extLst>
              </xdr:cNvPr>
              <xdr:cNvSpPr/>
            </xdr:nvSpPr>
            <xdr:spPr>
              <a:xfrm>
                <a:off x="2126550" y="3627600"/>
                <a:ext cx="6438900" cy="3048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8" name="Shape 24">
                <a:extLst>
                  <a:ext uri="{FF2B5EF4-FFF2-40B4-BE49-F238E27FC236}">
                    <a16:creationId xmlns:a16="http://schemas.microsoft.com/office/drawing/2014/main" id="{16DDD3DA-4997-4A69-A46F-9F0AB8EC3636}"/>
                  </a:ext>
                </a:extLst>
              </xdr:cNvPr>
              <xdr:cNvCxnSpPr/>
            </xdr:nvCxnSpPr>
            <xdr:spPr>
              <a:xfrm rot="10800000">
                <a:off x="2126550" y="3627600"/>
                <a:ext cx="6438900" cy="304800"/>
              </a:xfrm>
              <a:prstGeom prst="straightConnector1">
                <a:avLst/>
              </a:prstGeom>
              <a:noFill/>
              <a:ln w="38100" cap="flat" cmpd="sng">
                <a:solidFill>
                  <a:schemeClr val="accent1"/>
                </a:solidFill>
                <a:prstDash val="solid"/>
                <a:miter lim="800000"/>
                <a:headEnd type="none" w="sm" len="sm"/>
                <a:tailEnd type="triangle" w="med" len="med"/>
              </a:ln>
            </xdr:spPr>
          </xdr:cxnSp>
        </xdr:grpSp>
      </xdr:grpSp>
    </xdr:grpSp>
    <xdr:clientData fLocksWithSheet="0"/>
  </xdr:oneCellAnchor>
  <xdr:oneCellAnchor>
    <xdr:from>
      <xdr:col>10</xdr:col>
      <xdr:colOff>38100</xdr:colOff>
      <xdr:row>62</xdr:row>
      <xdr:rowOff>123825</xdr:rowOff>
    </xdr:from>
    <xdr:ext cx="1476375" cy="457200"/>
    <xdr:sp macro="" textlink="">
      <xdr:nvSpPr>
        <xdr:cNvPr id="9" name="Shape 25">
          <a:extLst>
            <a:ext uri="{FF2B5EF4-FFF2-40B4-BE49-F238E27FC236}">
              <a16:creationId xmlns:a16="http://schemas.microsoft.com/office/drawing/2014/main" id="{43E3EAFC-BEFE-4DD6-A9FC-9FED4121946A}"/>
            </a:ext>
          </a:extLst>
        </xdr:cNvPr>
        <xdr:cNvSpPr/>
      </xdr:nvSpPr>
      <xdr:spPr>
        <a:xfrm rot="10800000" flipH="1">
          <a:off x="12451080" y="10989945"/>
          <a:ext cx="1476375" cy="457200"/>
        </a:xfrm>
        <a:prstGeom prst="ellipse">
          <a:avLst/>
        </a:prstGeom>
        <a:noFill/>
        <a:ln w="38100" cap="flat" cmpd="sng">
          <a:solidFill>
            <a:srgbClr val="517E33"/>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5</xdr:col>
      <xdr:colOff>361950</xdr:colOff>
      <xdr:row>56</xdr:row>
      <xdr:rowOff>95250</xdr:rowOff>
    </xdr:from>
    <xdr:ext cx="3619500" cy="1362075"/>
    <xdr:grpSp>
      <xdr:nvGrpSpPr>
        <xdr:cNvPr id="10" name="Shape 2">
          <a:extLst>
            <a:ext uri="{FF2B5EF4-FFF2-40B4-BE49-F238E27FC236}">
              <a16:creationId xmlns:a16="http://schemas.microsoft.com/office/drawing/2014/main" id="{E4FF1B16-2CAB-4EDC-9A2B-122017BC3142}"/>
            </a:ext>
          </a:extLst>
        </xdr:cNvPr>
        <xdr:cNvGrpSpPr/>
      </xdr:nvGrpSpPr>
      <xdr:grpSpPr>
        <a:xfrm>
          <a:off x="8805526" y="10008947"/>
          <a:ext cx="3619500" cy="1362075"/>
          <a:chOff x="3536250" y="3098963"/>
          <a:chExt cx="3619500" cy="1362075"/>
        </a:xfrm>
      </xdr:grpSpPr>
      <xdr:grpSp>
        <xdr:nvGrpSpPr>
          <xdr:cNvPr id="11" name="Shape 26">
            <a:extLst>
              <a:ext uri="{FF2B5EF4-FFF2-40B4-BE49-F238E27FC236}">
                <a16:creationId xmlns:a16="http://schemas.microsoft.com/office/drawing/2014/main" id="{8E27E1EE-7412-CAB4-E39C-D5496ED42460}"/>
              </a:ext>
            </a:extLst>
          </xdr:cNvPr>
          <xdr:cNvGrpSpPr/>
        </xdr:nvGrpSpPr>
        <xdr:grpSpPr>
          <a:xfrm>
            <a:off x="3536250" y="3098963"/>
            <a:ext cx="3619500" cy="1362075"/>
            <a:chOff x="3536250" y="3098963"/>
            <a:chExt cx="3619500" cy="1362075"/>
          </a:xfrm>
        </xdr:grpSpPr>
        <xdr:sp macro="" textlink="">
          <xdr:nvSpPr>
            <xdr:cNvPr id="12" name="Shape 4">
              <a:extLst>
                <a:ext uri="{FF2B5EF4-FFF2-40B4-BE49-F238E27FC236}">
                  <a16:creationId xmlns:a16="http://schemas.microsoft.com/office/drawing/2014/main" id="{AC9C9F0A-44E6-6BBC-F3A7-0E368FB4D857}"/>
                </a:ext>
              </a:extLst>
            </xdr:cNvPr>
            <xdr:cNvSpPr/>
          </xdr:nvSpPr>
          <xdr:spPr>
            <a:xfrm>
              <a:off x="3536250" y="3098963"/>
              <a:ext cx="3619500" cy="13620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13" name="Shape 27">
              <a:extLst>
                <a:ext uri="{FF2B5EF4-FFF2-40B4-BE49-F238E27FC236}">
                  <a16:creationId xmlns:a16="http://schemas.microsoft.com/office/drawing/2014/main" id="{A9FF909D-AEED-D6A3-01F7-32964FB69812}"/>
                </a:ext>
              </a:extLst>
            </xdr:cNvPr>
            <xdr:cNvGrpSpPr/>
          </xdr:nvGrpSpPr>
          <xdr:grpSpPr>
            <a:xfrm>
              <a:off x="3536250" y="3098963"/>
              <a:ext cx="3619500" cy="1362075"/>
              <a:chOff x="3555300" y="3118088"/>
              <a:chExt cx="3581400" cy="1323900"/>
            </a:xfrm>
          </xdr:grpSpPr>
          <xdr:sp macro="" textlink="">
            <xdr:nvSpPr>
              <xdr:cNvPr id="14" name="Shape 28">
                <a:extLst>
                  <a:ext uri="{FF2B5EF4-FFF2-40B4-BE49-F238E27FC236}">
                    <a16:creationId xmlns:a16="http://schemas.microsoft.com/office/drawing/2014/main" id="{890D2EFD-8BFB-D958-F5AA-D137DEDF1D0E}"/>
                  </a:ext>
                </a:extLst>
              </xdr:cNvPr>
              <xdr:cNvSpPr/>
            </xdr:nvSpPr>
            <xdr:spPr>
              <a:xfrm>
                <a:off x="3555300" y="3118088"/>
                <a:ext cx="3581400" cy="13239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15" name="Shape 29">
                <a:extLst>
                  <a:ext uri="{FF2B5EF4-FFF2-40B4-BE49-F238E27FC236}">
                    <a16:creationId xmlns:a16="http://schemas.microsoft.com/office/drawing/2014/main" id="{D9EE7663-C70F-0CA7-6B1B-825C235794A9}"/>
                  </a:ext>
                </a:extLst>
              </xdr:cNvPr>
              <xdr:cNvCxnSpPr>
                <a:stCxn id="54" idx="2"/>
              </xdr:cNvCxnSpPr>
            </xdr:nvCxnSpPr>
            <xdr:spPr>
              <a:xfrm rot="10800000">
                <a:off x="3555300" y="3118088"/>
                <a:ext cx="3581400" cy="1323900"/>
              </a:xfrm>
              <a:prstGeom prst="straightConnector1">
                <a:avLst/>
              </a:prstGeom>
              <a:noFill/>
              <a:ln w="38100" cap="flat" cmpd="sng">
                <a:solidFill>
                  <a:schemeClr val="accent6"/>
                </a:solidFill>
                <a:prstDash val="solid"/>
                <a:miter lim="800000"/>
                <a:headEnd type="none" w="sm" len="sm"/>
                <a:tailEnd type="triangle" w="med" len="med"/>
              </a:ln>
            </xdr:spPr>
          </xdr:cxnSp>
        </xdr:grpSp>
      </xdr:grpSp>
    </xdr:grpSp>
    <xdr:clientData fLocksWithSheet="0"/>
  </xdr:oneCellAnchor>
  <xdr:oneCellAnchor>
    <xdr:from>
      <xdr:col>9</xdr:col>
      <xdr:colOff>571500</xdr:colOff>
      <xdr:row>64</xdr:row>
      <xdr:rowOff>47625</xdr:rowOff>
    </xdr:from>
    <xdr:ext cx="2066925" cy="419100"/>
    <xdr:sp macro="" textlink="">
      <xdr:nvSpPr>
        <xdr:cNvPr id="16" name="Shape 30">
          <a:extLst>
            <a:ext uri="{FF2B5EF4-FFF2-40B4-BE49-F238E27FC236}">
              <a16:creationId xmlns:a16="http://schemas.microsoft.com/office/drawing/2014/main" id="{B21E9880-D58E-46C0-B4D5-C4BC7643C77B}"/>
            </a:ext>
          </a:extLst>
        </xdr:cNvPr>
        <xdr:cNvSpPr/>
      </xdr:nvSpPr>
      <xdr:spPr>
        <a:xfrm rot="10800000" flipH="1">
          <a:off x="12176760" y="11264265"/>
          <a:ext cx="2066925" cy="419100"/>
        </a:xfrm>
        <a:prstGeom prst="ellipse">
          <a:avLst/>
        </a:prstGeom>
        <a:noFill/>
        <a:ln w="38100" cap="flat" cmpd="sng">
          <a:solidFill>
            <a:srgbClr val="BA8C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180975</xdr:colOff>
      <xdr:row>58</xdr:row>
      <xdr:rowOff>104775</xdr:rowOff>
    </xdr:from>
    <xdr:ext cx="4200525" cy="1276350"/>
    <xdr:grpSp>
      <xdr:nvGrpSpPr>
        <xdr:cNvPr id="17" name="Shape 2">
          <a:extLst>
            <a:ext uri="{FF2B5EF4-FFF2-40B4-BE49-F238E27FC236}">
              <a16:creationId xmlns:a16="http://schemas.microsoft.com/office/drawing/2014/main" id="{0C1EA8A2-D64C-4C85-BF10-59CBF452C892}"/>
            </a:ext>
          </a:extLst>
        </xdr:cNvPr>
        <xdr:cNvGrpSpPr/>
      </xdr:nvGrpSpPr>
      <xdr:grpSpPr>
        <a:xfrm>
          <a:off x="7908733" y="10372533"/>
          <a:ext cx="4200525" cy="1276350"/>
          <a:chOff x="3245738" y="3141825"/>
          <a:chExt cx="4200526" cy="1276350"/>
        </a:xfrm>
      </xdr:grpSpPr>
      <xdr:grpSp>
        <xdr:nvGrpSpPr>
          <xdr:cNvPr id="18" name="Shape 31">
            <a:extLst>
              <a:ext uri="{FF2B5EF4-FFF2-40B4-BE49-F238E27FC236}">
                <a16:creationId xmlns:a16="http://schemas.microsoft.com/office/drawing/2014/main" id="{95CF56E4-34E0-1083-6F42-6E3078E7CC49}"/>
              </a:ext>
            </a:extLst>
          </xdr:cNvPr>
          <xdr:cNvGrpSpPr/>
        </xdr:nvGrpSpPr>
        <xdr:grpSpPr>
          <a:xfrm>
            <a:off x="3245738" y="3141825"/>
            <a:ext cx="4200526" cy="1276350"/>
            <a:chOff x="3245738" y="3141825"/>
            <a:chExt cx="4200526" cy="1276350"/>
          </a:xfrm>
        </xdr:grpSpPr>
        <xdr:sp macro="" textlink="">
          <xdr:nvSpPr>
            <xdr:cNvPr id="19" name="Shape 4">
              <a:extLst>
                <a:ext uri="{FF2B5EF4-FFF2-40B4-BE49-F238E27FC236}">
                  <a16:creationId xmlns:a16="http://schemas.microsoft.com/office/drawing/2014/main" id="{339AE80D-5BB8-5E71-421F-4F423686B059}"/>
                </a:ext>
              </a:extLst>
            </xdr:cNvPr>
            <xdr:cNvSpPr/>
          </xdr:nvSpPr>
          <xdr:spPr>
            <a:xfrm>
              <a:off x="3245738" y="3141825"/>
              <a:ext cx="4200525" cy="12763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20" name="Shape 32">
              <a:extLst>
                <a:ext uri="{FF2B5EF4-FFF2-40B4-BE49-F238E27FC236}">
                  <a16:creationId xmlns:a16="http://schemas.microsoft.com/office/drawing/2014/main" id="{4FE79D60-62BC-C3D4-CE81-0285641D57E8}"/>
                </a:ext>
              </a:extLst>
            </xdr:cNvPr>
            <xdr:cNvGrpSpPr/>
          </xdr:nvGrpSpPr>
          <xdr:grpSpPr>
            <a:xfrm>
              <a:off x="3245738" y="3141825"/>
              <a:ext cx="4200525" cy="1276350"/>
              <a:chOff x="3264788" y="3156113"/>
              <a:chExt cx="4162425" cy="1247775"/>
            </a:xfrm>
          </xdr:grpSpPr>
          <xdr:sp macro="" textlink="">
            <xdr:nvSpPr>
              <xdr:cNvPr id="21" name="Shape 33">
                <a:extLst>
                  <a:ext uri="{FF2B5EF4-FFF2-40B4-BE49-F238E27FC236}">
                    <a16:creationId xmlns:a16="http://schemas.microsoft.com/office/drawing/2014/main" id="{73543382-F86B-A9A8-47D6-1DEBF3610805}"/>
                  </a:ext>
                </a:extLst>
              </xdr:cNvPr>
              <xdr:cNvSpPr/>
            </xdr:nvSpPr>
            <xdr:spPr>
              <a:xfrm>
                <a:off x="3264788" y="3156113"/>
                <a:ext cx="4162425" cy="12477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22" name="Shape 34">
                <a:extLst>
                  <a:ext uri="{FF2B5EF4-FFF2-40B4-BE49-F238E27FC236}">
                    <a16:creationId xmlns:a16="http://schemas.microsoft.com/office/drawing/2014/main" id="{92546958-0A21-A6FE-4B5C-5B479EB5B0BC}"/>
                  </a:ext>
                </a:extLst>
              </xdr:cNvPr>
              <xdr:cNvCxnSpPr/>
            </xdr:nvCxnSpPr>
            <xdr:spPr>
              <a:xfrm rot="10800000">
                <a:off x="3264788" y="3156113"/>
                <a:ext cx="4162425" cy="1247775"/>
              </a:xfrm>
              <a:prstGeom prst="straightConnector1">
                <a:avLst/>
              </a:prstGeom>
              <a:noFill/>
              <a:ln w="38100" cap="flat" cmpd="sng">
                <a:solidFill>
                  <a:schemeClr val="accent4"/>
                </a:solidFill>
                <a:prstDash val="solid"/>
                <a:miter lim="800000"/>
                <a:headEnd type="none" w="sm" len="sm"/>
                <a:tailEnd type="triangle" w="med" len="med"/>
              </a:ln>
            </xdr:spPr>
          </xdr:cxnSp>
        </xdr:grpSp>
      </xdr:grpSp>
    </xdr:grpSp>
    <xdr:clientData fLocksWithSheet="0"/>
  </xdr:oneCellAnchor>
  <xdr:oneCellAnchor>
    <xdr:from>
      <xdr:col>9</xdr:col>
      <xdr:colOff>600075</xdr:colOff>
      <xdr:row>66</xdr:row>
      <xdr:rowOff>-38100</xdr:rowOff>
    </xdr:from>
    <xdr:ext cx="2076450" cy="428625"/>
    <xdr:sp macro="" textlink="">
      <xdr:nvSpPr>
        <xdr:cNvPr id="23" name="Shape 35">
          <a:extLst>
            <a:ext uri="{FF2B5EF4-FFF2-40B4-BE49-F238E27FC236}">
              <a16:creationId xmlns:a16="http://schemas.microsoft.com/office/drawing/2014/main" id="{790B9AEA-D3B0-45BB-B110-5E776F08FDA8}"/>
            </a:ext>
          </a:extLst>
        </xdr:cNvPr>
        <xdr:cNvSpPr/>
      </xdr:nvSpPr>
      <xdr:spPr>
        <a:xfrm rot="10800000" flipH="1">
          <a:off x="12205335" y="11529060"/>
          <a:ext cx="2076450" cy="428625"/>
        </a:xfrm>
        <a:prstGeom prst="ellipse">
          <a:avLst/>
        </a:prstGeom>
        <a:noFill/>
        <a:ln w="38100" cap="flat" cmpd="sng">
          <a:solidFill>
            <a:schemeClr val="dk1"/>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66675</xdr:colOff>
      <xdr:row>60</xdr:row>
      <xdr:rowOff>95250</xdr:rowOff>
    </xdr:from>
    <xdr:ext cx="4381500" cy="1200150"/>
    <xdr:grpSp>
      <xdr:nvGrpSpPr>
        <xdr:cNvPr id="24" name="Shape 2">
          <a:extLst>
            <a:ext uri="{FF2B5EF4-FFF2-40B4-BE49-F238E27FC236}">
              <a16:creationId xmlns:a16="http://schemas.microsoft.com/office/drawing/2014/main" id="{A6123874-C651-46EE-A519-C3B657FA3142}"/>
            </a:ext>
          </a:extLst>
        </xdr:cNvPr>
        <xdr:cNvGrpSpPr/>
      </xdr:nvGrpSpPr>
      <xdr:grpSpPr>
        <a:xfrm>
          <a:off x="7794433" y="10717068"/>
          <a:ext cx="4381500" cy="1200150"/>
          <a:chOff x="3155250" y="3179925"/>
          <a:chExt cx="4381500" cy="1200150"/>
        </a:xfrm>
      </xdr:grpSpPr>
      <xdr:grpSp>
        <xdr:nvGrpSpPr>
          <xdr:cNvPr id="25" name="Shape 36">
            <a:extLst>
              <a:ext uri="{FF2B5EF4-FFF2-40B4-BE49-F238E27FC236}">
                <a16:creationId xmlns:a16="http://schemas.microsoft.com/office/drawing/2014/main" id="{BF1E0827-9140-B3A8-4600-B911057A2CDA}"/>
              </a:ext>
            </a:extLst>
          </xdr:cNvPr>
          <xdr:cNvGrpSpPr/>
        </xdr:nvGrpSpPr>
        <xdr:grpSpPr>
          <a:xfrm>
            <a:off x="3155250" y="3179925"/>
            <a:ext cx="4381500" cy="1200150"/>
            <a:chOff x="3155250" y="3179925"/>
            <a:chExt cx="4381500" cy="1200150"/>
          </a:xfrm>
        </xdr:grpSpPr>
        <xdr:sp macro="" textlink="">
          <xdr:nvSpPr>
            <xdr:cNvPr id="26" name="Shape 4">
              <a:extLst>
                <a:ext uri="{FF2B5EF4-FFF2-40B4-BE49-F238E27FC236}">
                  <a16:creationId xmlns:a16="http://schemas.microsoft.com/office/drawing/2014/main" id="{3E2658D0-8A19-2787-D3AB-2F2D758ED292}"/>
                </a:ext>
              </a:extLst>
            </xdr:cNvPr>
            <xdr:cNvSpPr/>
          </xdr:nvSpPr>
          <xdr:spPr>
            <a:xfrm>
              <a:off x="3155250" y="3179925"/>
              <a:ext cx="4381500" cy="1200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27" name="Shape 37">
              <a:extLst>
                <a:ext uri="{FF2B5EF4-FFF2-40B4-BE49-F238E27FC236}">
                  <a16:creationId xmlns:a16="http://schemas.microsoft.com/office/drawing/2014/main" id="{CF318170-5350-4F48-3D3B-121B57FBA71C}"/>
                </a:ext>
              </a:extLst>
            </xdr:cNvPr>
            <xdr:cNvGrpSpPr/>
          </xdr:nvGrpSpPr>
          <xdr:grpSpPr>
            <a:xfrm>
              <a:off x="3155250" y="3179925"/>
              <a:ext cx="4381500" cy="1200150"/>
              <a:chOff x="3174300" y="3199125"/>
              <a:chExt cx="4343400" cy="1161900"/>
            </a:xfrm>
          </xdr:grpSpPr>
          <xdr:sp macro="" textlink="">
            <xdr:nvSpPr>
              <xdr:cNvPr id="28" name="Shape 38">
                <a:extLst>
                  <a:ext uri="{FF2B5EF4-FFF2-40B4-BE49-F238E27FC236}">
                    <a16:creationId xmlns:a16="http://schemas.microsoft.com/office/drawing/2014/main" id="{8D21864F-5F0D-AAE2-6300-24B37E02CFA3}"/>
                  </a:ext>
                </a:extLst>
              </xdr:cNvPr>
              <xdr:cNvSpPr/>
            </xdr:nvSpPr>
            <xdr:spPr>
              <a:xfrm>
                <a:off x="3174300" y="3199125"/>
                <a:ext cx="4343400" cy="11619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29" name="Shape 39">
                <a:extLst>
                  <a:ext uri="{FF2B5EF4-FFF2-40B4-BE49-F238E27FC236}">
                    <a16:creationId xmlns:a16="http://schemas.microsoft.com/office/drawing/2014/main" id="{988398A6-4EDA-FDC7-274E-A1A73AF9B769}"/>
                  </a:ext>
                </a:extLst>
              </xdr:cNvPr>
              <xdr:cNvCxnSpPr>
                <a:stCxn id="23" idx="2"/>
              </xdr:cNvCxnSpPr>
            </xdr:nvCxnSpPr>
            <xdr:spPr>
              <a:xfrm rot="10800000">
                <a:off x="3174300" y="3199125"/>
                <a:ext cx="4343400" cy="1161900"/>
              </a:xfrm>
              <a:prstGeom prst="straightConnector1">
                <a:avLst/>
              </a:prstGeom>
              <a:noFill/>
              <a:ln w="38100" cap="flat" cmpd="sng">
                <a:solidFill>
                  <a:schemeClr val="dk1"/>
                </a:solidFill>
                <a:prstDash val="solid"/>
                <a:miter lim="800000"/>
                <a:headEnd type="none" w="sm" len="sm"/>
                <a:tailEnd type="triangle" w="med" len="med"/>
              </a:ln>
            </xdr:spPr>
          </xdr:cxnSp>
        </xdr:grpSp>
      </xdr:grpSp>
    </xdr:grpSp>
    <xdr:clientData fLocksWithSheet="0"/>
  </xdr:oneCellAnchor>
  <xdr:oneCellAnchor>
    <xdr:from>
      <xdr:col>5</xdr:col>
      <xdr:colOff>352425</xdr:colOff>
      <xdr:row>70</xdr:row>
      <xdr:rowOff>66675</xdr:rowOff>
    </xdr:from>
    <xdr:ext cx="1524000" cy="552450"/>
    <xdr:sp macro="" textlink="">
      <xdr:nvSpPr>
        <xdr:cNvPr id="30" name="Shape 40">
          <a:extLst>
            <a:ext uri="{FF2B5EF4-FFF2-40B4-BE49-F238E27FC236}">
              <a16:creationId xmlns:a16="http://schemas.microsoft.com/office/drawing/2014/main" id="{79F7735E-8D24-4455-9EE4-7E34D598AAEC}"/>
            </a:ext>
          </a:extLst>
        </xdr:cNvPr>
        <xdr:cNvSpPr/>
      </xdr:nvSpPr>
      <xdr:spPr>
        <a:xfrm>
          <a:off x="8795385" y="12334875"/>
          <a:ext cx="1524000" cy="552450"/>
        </a:xfrm>
        <a:prstGeom prst="ellipse">
          <a:avLst/>
        </a:prstGeom>
        <a:noFill/>
        <a:ln w="38100" cap="flat" cmpd="sng">
          <a:solidFill>
            <a:srgbClr val="AC5B23"/>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57150</xdr:colOff>
      <xdr:row>62</xdr:row>
      <xdr:rowOff>66675</xdr:rowOff>
    </xdr:from>
    <xdr:ext cx="1066800" cy="1752600"/>
    <xdr:grpSp>
      <xdr:nvGrpSpPr>
        <xdr:cNvPr id="31" name="Shape 2">
          <a:extLst>
            <a:ext uri="{FF2B5EF4-FFF2-40B4-BE49-F238E27FC236}">
              <a16:creationId xmlns:a16="http://schemas.microsoft.com/office/drawing/2014/main" id="{460864DB-969E-4251-A665-BD94C6EFF628}"/>
            </a:ext>
          </a:extLst>
        </xdr:cNvPr>
        <xdr:cNvGrpSpPr/>
      </xdr:nvGrpSpPr>
      <xdr:grpSpPr>
        <a:xfrm>
          <a:off x="7784908" y="11042554"/>
          <a:ext cx="1066800" cy="1752600"/>
          <a:chOff x="4812600" y="2903700"/>
          <a:chExt cx="1066800" cy="1752600"/>
        </a:xfrm>
      </xdr:grpSpPr>
      <xdr:grpSp>
        <xdr:nvGrpSpPr>
          <xdr:cNvPr id="32" name="Shape 41">
            <a:extLst>
              <a:ext uri="{FF2B5EF4-FFF2-40B4-BE49-F238E27FC236}">
                <a16:creationId xmlns:a16="http://schemas.microsoft.com/office/drawing/2014/main" id="{5F147964-DB87-829C-8AEC-DEA48092B920}"/>
              </a:ext>
            </a:extLst>
          </xdr:cNvPr>
          <xdr:cNvGrpSpPr/>
        </xdr:nvGrpSpPr>
        <xdr:grpSpPr>
          <a:xfrm>
            <a:off x="4812600" y="2903700"/>
            <a:ext cx="1066800" cy="1752600"/>
            <a:chOff x="4812600" y="2903700"/>
            <a:chExt cx="1066800" cy="1752600"/>
          </a:xfrm>
        </xdr:grpSpPr>
        <xdr:sp macro="" textlink="">
          <xdr:nvSpPr>
            <xdr:cNvPr id="33" name="Shape 4">
              <a:extLst>
                <a:ext uri="{FF2B5EF4-FFF2-40B4-BE49-F238E27FC236}">
                  <a16:creationId xmlns:a16="http://schemas.microsoft.com/office/drawing/2014/main" id="{0E8BC65B-E927-994C-64B3-468186C07B73}"/>
                </a:ext>
              </a:extLst>
            </xdr:cNvPr>
            <xdr:cNvSpPr/>
          </xdr:nvSpPr>
          <xdr:spPr>
            <a:xfrm>
              <a:off x="4812600" y="2903700"/>
              <a:ext cx="1066800" cy="1752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34" name="Shape 42">
              <a:extLst>
                <a:ext uri="{FF2B5EF4-FFF2-40B4-BE49-F238E27FC236}">
                  <a16:creationId xmlns:a16="http://schemas.microsoft.com/office/drawing/2014/main" id="{FF5B6947-1D48-EAB3-3901-7DD0E3480674}"/>
                </a:ext>
              </a:extLst>
            </xdr:cNvPr>
            <xdr:cNvGrpSpPr/>
          </xdr:nvGrpSpPr>
          <xdr:grpSpPr>
            <a:xfrm>
              <a:off x="4812600" y="2903700"/>
              <a:ext cx="1066800" cy="1752600"/>
              <a:chOff x="4831650" y="2922750"/>
              <a:chExt cx="1028700" cy="1714500"/>
            </a:xfrm>
          </xdr:grpSpPr>
          <xdr:sp macro="" textlink="">
            <xdr:nvSpPr>
              <xdr:cNvPr id="35" name="Shape 43">
                <a:extLst>
                  <a:ext uri="{FF2B5EF4-FFF2-40B4-BE49-F238E27FC236}">
                    <a16:creationId xmlns:a16="http://schemas.microsoft.com/office/drawing/2014/main" id="{60FF1DCF-02F5-E723-E84B-F71419F8335B}"/>
                  </a:ext>
                </a:extLst>
              </xdr:cNvPr>
              <xdr:cNvSpPr/>
            </xdr:nvSpPr>
            <xdr:spPr>
              <a:xfrm>
                <a:off x="4831650" y="2922750"/>
                <a:ext cx="1028700" cy="17145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36" name="Shape 44">
                <a:extLst>
                  <a:ext uri="{FF2B5EF4-FFF2-40B4-BE49-F238E27FC236}">
                    <a16:creationId xmlns:a16="http://schemas.microsoft.com/office/drawing/2014/main" id="{3DFFAA1A-9981-9BBB-7A13-F8AF59562E7B}"/>
                  </a:ext>
                </a:extLst>
              </xdr:cNvPr>
              <xdr:cNvCxnSpPr>
                <a:stCxn id="30" idx="2"/>
              </xdr:cNvCxnSpPr>
            </xdr:nvCxnSpPr>
            <xdr:spPr>
              <a:xfrm rot="10800000">
                <a:off x="4831650" y="2922750"/>
                <a:ext cx="1028700" cy="1714500"/>
              </a:xfrm>
              <a:prstGeom prst="straightConnector1">
                <a:avLst/>
              </a:prstGeom>
              <a:noFill/>
              <a:ln w="38100" cap="flat" cmpd="sng">
                <a:solidFill>
                  <a:schemeClr val="accent2"/>
                </a:solidFill>
                <a:prstDash val="solid"/>
                <a:miter lim="800000"/>
                <a:headEnd type="none" w="sm" len="sm"/>
                <a:tailEnd type="triangle" w="med" len="med"/>
              </a:ln>
            </xdr:spPr>
          </xdr:cxnSp>
        </xdr:grpSp>
      </xdr:grpSp>
    </xdr:grpSp>
    <xdr:clientData fLocksWithSheet="0"/>
  </xdr:oneCellAnchor>
  <xdr:oneCellAnchor>
    <xdr:from>
      <xdr:col>9</xdr:col>
      <xdr:colOff>638175</xdr:colOff>
      <xdr:row>70</xdr:row>
      <xdr:rowOff>28575</xdr:rowOff>
    </xdr:from>
    <xdr:ext cx="1104900" cy="581025"/>
    <xdr:sp macro="" textlink="">
      <xdr:nvSpPr>
        <xdr:cNvPr id="37" name="Shape 45">
          <a:extLst>
            <a:ext uri="{FF2B5EF4-FFF2-40B4-BE49-F238E27FC236}">
              <a16:creationId xmlns:a16="http://schemas.microsoft.com/office/drawing/2014/main" id="{0B3287D1-FD3E-47C4-A938-676FCB9AA9CA}"/>
            </a:ext>
          </a:extLst>
        </xdr:cNvPr>
        <xdr:cNvSpPr/>
      </xdr:nvSpPr>
      <xdr:spPr>
        <a:xfrm>
          <a:off x="12243435" y="12296775"/>
          <a:ext cx="1104900" cy="581025"/>
        </a:xfrm>
        <a:prstGeom prst="ellipse">
          <a:avLst/>
        </a:prstGeom>
        <a:noFill/>
        <a:ln w="38100" cap="flat" cmpd="sng">
          <a:solidFill>
            <a:srgbClr val="FF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xdr:col>
      <xdr:colOff>2581275</xdr:colOff>
      <xdr:row>64</xdr:row>
      <xdr:rowOff>95250</xdr:rowOff>
    </xdr:from>
    <xdr:ext cx="6543675" cy="1352550"/>
    <xdr:grpSp>
      <xdr:nvGrpSpPr>
        <xdr:cNvPr id="38" name="Shape 2">
          <a:extLst>
            <a:ext uri="{FF2B5EF4-FFF2-40B4-BE49-F238E27FC236}">
              <a16:creationId xmlns:a16="http://schemas.microsoft.com/office/drawing/2014/main" id="{1EAA9185-0DB7-4735-A47F-843F97B9646A}"/>
            </a:ext>
          </a:extLst>
        </xdr:cNvPr>
        <xdr:cNvGrpSpPr/>
      </xdr:nvGrpSpPr>
      <xdr:grpSpPr>
        <a:xfrm>
          <a:off x="3612669" y="11425189"/>
          <a:ext cx="6543675" cy="1352550"/>
          <a:chOff x="2074163" y="3103725"/>
          <a:chExt cx="6543675" cy="1352550"/>
        </a:xfrm>
      </xdr:grpSpPr>
      <xdr:grpSp>
        <xdr:nvGrpSpPr>
          <xdr:cNvPr id="39" name="Shape 46">
            <a:extLst>
              <a:ext uri="{FF2B5EF4-FFF2-40B4-BE49-F238E27FC236}">
                <a16:creationId xmlns:a16="http://schemas.microsoft.com/office/drawing/2014/main" id="{94A1FF30-6963-0052-6C1F-0E7BE136D01A}"/>
              </a:ext>
            </a:extLst>
          </xdr:cNvPr>
          <xdr:cNvGrpSpPr/>
        </xdr:nvGrpSpPr>
        <xdr:grpSpPr>
          <a:xfrm>
            <a:off x="2074163" y="3103725"/>
            <a:ext cx="6543675" cy="1352550"/>
            <a:chOff x="2074163" y="3103725"/>
            <a:chExt cx="6543675" cy="1352550"/>
          </a:xfrm>
        </xdr:grpSpPr>
        <xdr:sp macro="" textlink="">
          <xdr:nvSpPr>
            <xdr:cNvPr id="40" name="Shape 4">
              <a:extLst>
                <a:ext uri="{FF2B5EF4-FFF2-40B4-BE49-F238E27FC236}">
                  <a16:creationId xmlns:a16="http://schemas.microsoft.com/office/drawing/2014/main" id="{3C6CA8A2-5DEF-CF88-E09B-77F8CFC3DB9E}"/>
                </a:ext>
              </a:extLst>
            </xdr:cNvPr>
            <xdr:cNvSpPr/>
          </xdr:nvSpPr>
          <xdr:spPr>
            <a:xfrm>
              <a:off x="2074163" y="3103725"/>
              <a:ext cx="6543675" cy="13525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41" name="Shape 47">
              <a:extLst>
                <a:ext uri="{FF2B5EF4-FFF2-40B4-BE49-F238E27FC236}">
                  <a16:creationId xmlns:a16="http://schemas.microsoft.com/office/drawing/2014/main" id="{0E0C3F38-D24B-0BF2-E07E-097481DE9751}"/>
                </a:ext>
              </a:extLst>
            </xdr:cNvPr>
            <xdr:cNvGrpSpPr/>
          </xdr:nvGrpSpPr>
          <xdr:grpSpPr>
            <a:xfrm>
              <a:off x="2074163" y="3103725"/>
              <a:ext cx="6543675" cy="1352550"/>
              <a:chOff x="2093213" y="3122775"/>
              <a:chExt cx="6505575" cy="1314450"/>
            </a:xfrm>
          </xdr:grpSpPr>
          <xdr:sp macro="" textlink="">
            <xdr:nvSpPr>
              <xdr:cNvPr id="42" name="Shape 48">
                <a:extLst>
                  <a:ext uri="{FF2B5EF4-FFF2-40B4-BE49-F238E27FC236}">
                    <a16:creationId xmlns:a16="http://schemas.microsoft.com/office/drawing/2014/main" id="{5E46B453-2A9A-B7A7-90A9-1CF954D47DFA}"/>
                  </a:ext>
                </a:extLst>
              </xdr:cNvPr>
              <xdr:cNvSpPr/>
            </xdr:nvSpPr>
            <xdr:spPr>
              <a:xfrm>
                <a:off x="2093213" y="3122775"/>
                <a:ext cx="6505575" cy="13144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43" name="Shape 49">
                <a:extLst>
                  <a:ext uri="{FF2B5EF4-FFF2-40B4-BE49-F238E27FC236}">
                    <a16:creationId xmlns:a16="http://schemas.microsoft.com/office/drawing/2014/main" id="{DB3E4CC9-A5CB-24F7-38D4-FCDA36F2CD90}"/>
                  </a:ext>
                </a:extLst>
              </xdr:cNvPr>
              <xdr:cNvCxnSpPr/>
            </xdr:nvCxnSpPr>
            <xdr:spPr>
              <a:xfrm rot="10800000">
                <a:off x="2093213" y="3122775"/>
                <a:ext cx="6505575" cy="1314450"/>
              </a:xfrm>
              <a:prstGeom prst="straightConnector1">
                <a:avLst/>
              </a:prstGeom>
              <a:noFill/>
              <a:ln w="38100" cap="flat" cmpd="sng">
                <a:solidFill>
                  <a:srgbClr val="FF0000"/>
                </a:solidFill>
                <a:prstDash val="solid"/>
                <a:miter lim="800000"/>
                <a:headEnd type="none" w="sm" len="sm"/>
                <a:tailEnd type="triangle" w="med" len="med"/>
              </a:ln>
            </xdr:spPr>
          </xdr:cxnSp>
        </xdr:grpSp>
      </xdr:grpSp>
    </xdr:grpSp>
    <xdr:clientData fLocksWithSheet="0"/>
  </xdr:oneCellAnchor>
  <xdr:oneCellAnchor>
    <xdr:from>
      <xdr:col>8</xdr:col>
      <xdr:colOff>47625</xdr:colOff>
      <xdr:row>96</xdr:row>
      <xdr:rowOff>85725</xdr:rowOff>
    </xdr:from>
    <xdr:ext cx="3962400" cy="781050"/>
    <xdr:sp macro="" textlink="">
      <xdr:nvSpPr>
        <xdr:cNvPr id="44" name="Shape 50">
          <a:extLst>
            <a:ext uri="{FF2B5EF4-FFF2-40B4-BE49-F238E27FC236}">
              <a16:creationId xmlns:a16="http://schemas.microsoft.com/office/drawing/2014/main" id="{9DF6F2E3-0C78-4DAB-90B6-A66D4D697B7C}"/>
            </a:ext>
          </a:extLst>
        </xdr:cNvPr>
        <xdr:cNvSpPr/>
      </xdr:nvSpPr>
      <xdr:spPr>
        <a:xfrm rot="10800000" flipH="1">
          <a:off x="11005185" y="17146905"/>
          <a:ext cx="3962400" cy="781050"/>
        </a:xfrm>
        <a:prstGeom prst="ellipse">
          <a:avLst/>
        </a:prstGeom>
        <a:noFill/>
        <a:ln w="38100" cap="flat" cmpd="sng">
          <a:solidFill>
            <a:srgbClr val="FF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xdr:col>
      <xdr:colOff>1638300</xdr:colOff>
      <xdr:row>92</xdr:row>
      <xdr:rowOff>123825</xdr:rowOff>
    </xdr:from>
    <xdr:ext cx="6334125" cy="1200150"/>
    <xdr:grpSp>
      <xdr:nvGrpSpPr>
        <xdr:cNvPr id="45" name="Shape 2">
          <a:extLst>
            <a:ext uri="{FF2B5EF4-FFF2-40B4-BE49-F238E27FC236}">
              <a16:creationId xmlns:a16="http://schemas.microsoft.com/office/drawing/2014/main" id="{03EC0F4F-E0C4-4252-A750-14B0A6B79526}"/>
            </a:ext>
          </a:extLst>
        </xdr:cNvPr>
        <xdr:cNvGrpSpPr/>
      </xdr:nvGrpSpPr>
      <xdr:grpSpPr>
        <a:xfrm>
          <a:off x="2669694" y="16649219"/>
          <a:ext cx="6334125" cy="1200150"/>
          <a:chOff x="2178938" y="3179925"/>
          <a:chExt cx="6334125" cy="1200150"/>
        </a:xfrm>
      </xdr:grpSpPr>
      <xdr:grpSp>
        <xdr:nvGrpSpPr>
          <xdr:cNvPr id="46" name="Shape 51">
            <a:extLst>
              <a:ext uri="{FF2B5EF4-FFF2-40B4-BE49-F238E27FC236}">
                <a16:creationId xmlns:a16="http://schemas.microsoft.com/office/drawing/2014/main" id="{58848F79-8E15-E3AF-9E53-2F6187A926F4}"/>
              </a:ext>
            </a:extLst>
          </xdr:cNvPr>
          <xdr:cNvGrpSpPr/>
        </xdr:nvGrpSpPr>
        <xdr:grpSpPr>
          <a:xfrm>
            <a:off x="2178938" y="3179925"/>
            <a:ext cx="6334125" cy="1200150"/>
            <a:chOff x="2178938" y="3179925"/>
            <a:chExt cx="6334125" cy="1200150"/>
          </a:xfrm>
        </xdr:grpSpPr>
        <xdr:sp macro="" textlink="">
          <xdr:nvSpPr>
            <xdr:cNvPr id="47" name="Shape 4">
              <a:extLst>
                <a:ext uri="{FF2B5EF4-FFF2-40B4-BE49-F238E27FC236}">
                  <a16:creationId xmlns:a16="http://schemas.microsoft.com/office/drawing/2014/main" id="{BEE6E444-46E5-3482-E91E-13D2D58E3F00}"/>
                </a:ext>
              </a:extLst>
            </xdr:cNvPr>
            <xdr:cNvSpPr/>
          </xdr:nvSpPr>
          <xdr:spPr>
            <a:xfrm>
              <a:off x="2178938" y="3179925"/>
              <a:ext cx="6334125" cy="1200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48" name="Shape 52">
              <a:extLst>
                <a:ext uri="{FF2B5EF4-FFF2-40B4-BE49-F238E27FC236}">
                  <a16:creationId xmlns:a16="http://schemas.microsoft.com/office/drawing/2014/main" id="{A83AA2F9-F33F-A574-BDB3-4B7AFC8AE3C5}"/>
                </a:ext>
              </a:extLst>
            </xdr:cNvPr>
            <xdr:cNvGrpSpPr/>
          </xdr:nvGrpSpPr>
          <xdr:grpSpPr>
            <a:xfrm>
              <a:off x="2178938" y="3179925"/>
              <a:ext cx="6334125" cy="1200150"/>
              <a:chOff x="2197988" y="3198975"/>
              <a:chExt cx="6296025" cy="1162050"/>
            </a:xfrm>
          </xdr:grpSpPr>
          <xdr:sp macro="" textlink="">
            <xdr:nvSpPr>
              <xdr:cNvPr id="49" name="Shape 53">
                <a:extLst>
                  <a:ext uri="{FF2B5EF4-FFF2-40B4-BE49-F238E27FC236}">
                    <a16:creationId xmlns:a16="http://schemas.microsoft.com/office/drawing/2014/main" id="{6BC67815-87B3-C210-0B58-94FC4C27AA82}"/>
                  </a:ext>
                </a:extLst>
              </xdr:cNvPr>
              <xdr:cNvSpPr/>
            </xdr:nvSpPr>
            <xdr:spPr>
              <a:xfrm>
                <a:off x="2197988" y="3198975"/>
                <a:ext cx="6296025" cy="11620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50" name="Shape 54">
                <a:extLst>
                  <a:ext uri="{FF2B5EF4-FFF2-40B4-BE49-F238E27FC236}">
                    <a16:creationId xmlns:a16="http://schemas.microsoft.com/office/drawing/2014/main" id="{3AB82F1D-8B7F-717F-7E24-2B113925FA55}"/>
                  </a:ext>
                </a:extLst>
              </xdr:cNvPr>
              <xdr:cNvCxnSpPr/>
            </xdr:nvCxnSpPr>
            <xdr:spPr>
              <a:xfrm rot="10800000">
                <a:off x="2197988" y="3198975"/>
                <a:ext cx="6296025" cy="1162050"/>
              </a:xfrm>
              <a:prstGeom prst="straightConnector1">
                <a:avLst/>
              </a:prstGeom>
              <a:noFill/>
              <a:ln w="38100" cap="flat" cmpd="sng">
                <a:solidFill>
                  <a:srgbClr val="FF0000"/>
                </a:solidFill>
                <a:prstDash val="solid"/>
                <a:miter lim="800000"/>
                <a:headEnd type="none" w="sm" len="sm"/>
                <a:tailEnd type="triangle" w="med" len="med"/>
              </a:ln>
            </xdr:spPr>
          </xdr:cxnSp>
        </xdr:grpSp>
      </xdr:grpSp>
    </xdr:grpSp>
    <xdr:clientData fLocksWithSheet="0"/>
  </xdr:oneCellAnchor>
  <xdr:oneCellAnchor>
    <xdr:from>
      <xdr:col>5</xdr:col>
      <xdr:colOff>457200</xdr:colOff>
      <xdr:row>100</xdr:row>
      <xdr:rowOff>0</xdr:rowOff>
    </xdr:from>
    <xdr:ext cx="1524000" cy="552450"/>
    <xdr:sp macro="" textlink="">
      <xdr:nvSpPr>
        <xdr:cNvPr id="51" name="Shape 55">
          <a:extLst>
            <a:ext uri="{FF2B5EF4-FFF2-40B4-BE49-F238E27FC236}">
              <a16:creationId xmlns:a16="http://schemas.microsoft.com/office/drawing/2014/main" id="{4BD43A67-A8B5-4612-BA8A-973D7D3E9C1D}"/>
            </a:ext>
          </a:extLst>
        </xdr:cNvPr>
        <xdr:cNvSpPr/>
      </xdr:nvSpPr>
      <xdr:spPr>
        <a:xfrm rot="10800000" flipH="1">
          <a:off x="8900160" y="17762220"/>
          <a:ext cx="1524000" cy="552450"/>
        </a:xfrm>
        <a:prstGeom prst="ellipse">
          <a:avLst/>
        </a:prstGeom>
        <a:noFill/>
        <a:ln w="38100" cap="flat" cmpd="sng">
          <a:solidFill>
            <a:srgbClr val="AC5B23"/>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xdr:col>
      <xdr:colOff>1028700</xdr:colOff>
      <xdr:row>94</xdr:row>
      <xdr:rowOff>104775</xdr:rowOff>
    </xdr:from>
    <xdr:ext cx="4848225" cy="1276350"/>
    <xdr:grpSp>
      <xdr:nvGrpSpPr>
        <xdr:cNvPr id="52" name="Shape 2">
          <a:extLst>
            <a:ext uri="{FF2B5EF4-FFF2-40B4-BE49-F238E27FC236}">
              <a16:creationId xmlns:a16="http://schemas.microsoft.com/office/drawing/2014/main" id="{0A4258BD-8DEC-4239-B931-2778233808D2}"/>
            </a:ext>
          </a:extLst>
        </xdr:cNvPr>
        <xdr:cNvGrpSpPr/>
      </xdr:nvGrpSpPr>
      <xdr:grpSpPr>
        <a:xfrm>
          <a:off x="2060094" y="16984230"/>
          <a:ext cx="4848225" cy="1276350"/>
          <a:chOff x="2921888" y="3141825"/>
          <a:chExt cx="4848226" cy="1276350"/>
        </a:xfrm>
      </xdr:grpSpPr>
      <xdr:grpSp>
        <xdr:nvGrpSpPr>
          <xdr:cNvPr id="53" name="Shape 56">
            <a:extLst>
              <a:ext uri="{FF2B5EF4-FFF2-40B4-BE49-F238E27FC236}">
                <a16:creationId xmlns:a16="http://schemas.microsoft.com/office/drawing/2014/main" id="{26A7F462-C85C-79A9-8C6C-4B384D41CB9B}"/>
              </a:ext>
            </a:extLst>
          </xdr:cNvPr>
          <xdr:cNvGrpSpPr/>
        </xdr:nvGrpSpPr>
        <xdr:grpSpPr>
          <a:xfrm>
            <a:off x="2921888" y="3141825"/>
            <a:ext cx="4848226" cy="1276350"/>
            <a:chOff x="2921888" y="3141825"/>
            <a:chExt cx="4848226" cy="1276350"/>
          </a:xfrm>
        </xdr:grpSpPr>
        <xdr:sp macro="" textlink="">
          <xdr:nvSpPr>
            <xdr:cNvPr id="54" name="Shape 4">
              <a:extLst>
                <a:ext uri="{FF2B5EF4-FFF2-40B4-BE49-F238E27FC236}">
                  <a16:creationId xmlns:a16="http://schemas.microsoft.com/office/drawing/2014/main" id="{22DAFB5C-EF3E-DAF6-537A-AF15A9A70D99}"/>
                </a:ext>
              </a:extLst>
            </xdr:cNvPr>
            <xdr:cNvSpPr/>
          </xdr:nvSpPr>
          <xdr:spPr>
            <a:xfrm>
              <a:off x="2921888" y="3141825"/>
              <a:ext cx="4848225" cy="12763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55" name="Shape 57">
              <a:extLst>
                <a:ext uri="{FF2B5EF4-FFF2-40B4-BE49-F238E27FC236}">
                  <a16:creationId xmlns:a16="http://schemas.microsoft.com/office/drawing/2014/main" id="{7035C150-5330-4CAF-B933-F7381A483B7B}"/>
                </a:ext>
              </a:extLst>
            </xdr:cNvPr>
            <xdr:cNvGrpSpPr/>
          </xdr:nvGrpSpPr>
          <xdr:grpSpPr>
            <a:xfrm>
              <a:off x="2921888" y="3141825"/>
              <a:ext cx="4848225" cy="1276350"/>
              <a:chOff x="2940863" y="3156188"/>
              <a:chExt cx="4810200" cy="1247700"/>
            </a:xfrm>
          </xdr:grpSpPr>
          <xdr:sp macro="" textlink="">
            <xdr:nvSpPr>
              <xdr:cNvPr id="56" name="Shape 58">
                <a:extLst>
                  <a:ext uri="{FF2B5EF4-FFF2-40B4-BE49-F238E27FC236}">
                    <a16:creationId xmlns:a16="http://schemas.microsoft.com/office/drawing/2014/main" id="{60DF6E1C-8AE8-DC5D-05EE-5503B8B2168E}"/>
                  </a:ext>
                </a:extLst>
              </xdr:cNvPr>
              <xdr:cNvSpPr/>
            </xdr:nvSpPr>
            <xdr:spPr>
              <a:xfrm>
                <a:off x="2940863" y="3156188"/>
                <a:ext cx="4810200" cy="12477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57" name="Shape 59">
                <a:extLst>
                  <a:ext uri="{FF2B5EF4-FFF2-40B4-BE49-F238E27FC236}">
                    <a16:creationId xmlns:a16="http://schemas.microsoft.com/office/drawing/2014/main" id="{7DA4ACA3-E2A6-E912-A999-62778F914999}"/>
                  </a:ext>
                </a:extLst>
              </xdr:cNvPr>
              <xdr:cNvCxnSpPr>
                <a:stCxn id="48" idx="2"/>
              </xdr:cNvCxnSpPr>
            </xdr:nvCxnSpPr>
            <xdr:spPr>
              <a:xfrm rot="10800000">
                <a:off x="2940863" y="3156188"/>
                <a:ext cx="4810200" cy="1247700"/>
              </a:xfrm>
              <a:prstGeom prst="straightConnector1">
                <a:avLst/>
              </a:prstGeom>
              <a:noFill/>
              <a:ln w="38100" cap="flat" cmpd="sng">
                <a:solidFill>
                  <a:schemeClr val="accent2"/>
                </a:solidFill>
                <a:prstDash val="solid"/>
                <a:miter lim="800000"/>
                <a:headEnd type="none" w="sm" len="sm"/>
                <a:tailEnd type="triangle" w="med" len="med"/>
              </a:ln>
            </xdr:spPr>
          </xdr:cxnSp>
        </xdr:grpSp>
      </xdr:grpSp>
    </xdr:grpSp>
    <xdr:clientData fLocksWithSheet="0"/>
  </xdr:oneCellAnchor>
  <xdr:oneCellAnchor>
    <xdr:from>
      <xdr:col>8</xdr:col>
      <xdr:colOff>85725</xdr:colOff>
      <xdr:row>100</xdr:row>
      <xdr:rowOff>-9525</xdr:rowOff>
    </xdr:from>
    <xdr:ext cx="533400" cy="619125"/>
    <xdr:sp macro="" textlink="">
      <xdr:nvSpPr>
        <xdr:cNvPr id="58" name="Shape 60">
          <a:extLst>
            <a:ext uri="{FF2B5EF4-FFF2-40B4-BE49-F238E27FC236}">
              <a16:creationId xmlns:a16="http://schemas.microsoft.com/office/drawing/2014/main" id="{77111FA7-908D-4CE9-B4ED-BB099CF553A8}"/>
            </a:ext>
          </a:extLst>
        </xdr:cNvPr>
        <xdr:cNvSpPr/>
      </xdr:nvSpPr>
      <xdr:spPr>
        <a:xfrm>
          <a:off x="11043285" y="17752695"/>
          <a:ext cx="533400" cy="619125"/>
        </a:xfrm>
        <a:prstGeom prst="ellipse">
          <a:avLst/>
        </a:prstGeom>
        <a:noFill/>
        <a:ln w="38100" cap="flat" cmpd="sng">
          <a:solidFill>
            <a:srgbClr val="517E33"/>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542925</xdr:colOff>
      <xdr:row>96</xdr:row>
      <xdr:rowOff>85725</xdr:rowOff>
    </xdr:from>
    <xdr:ext cx="4048125" cy="962025"/>
    <xdr:grpSp>
      <xdr:nvGrpSpPr>
        <xdr:cNvPr id="59" name="Shape 2">
          <a:extLst>
            <a:ext uri="{FF2B5EF4-FFF2-40B4-BE49-F238E27FC236}">
              <a16:creationId xmlns:a16="http://schemas.microsoft.com/office/drawing/2014/main" id="{8510E83A-DEC6-4DB6-BA9E-F95FA0FA2D0F}"/>
            </a:ext>
          </a:extLst>
        </xdr:cNvPr>
        <xdr:cNvGrpSpPr/>
      </xdr:nvGrpSpPr>
      <xdr:grpSpPr>
        <a:xfrm>
          <a:off x="6954501" y="17319240"/>
          <a:ext cx="4048125" cy="962025"/>
          <a:chOff x="3321938" y="3298988"/>
          <a:chExt cx="4048125" cy="962025"/>
        </a:xfrm>
      </xdr:grpSpPr>
      <xdr:grpSp>
        <xdr:nvGrpSpPr>
          <xdr:cNvPr id="60" name="Shape 61">
            <a:extLst>
              <a:ext uri="{FF2B5EF4-FFF2-40B4-BE49-F238E27FC236}">
                <a16:creationId xmlns:a16="http://schemas.microsoft.com/office/drawing/2014/main" id="{6637057C-F182-9F36-2676-270A6F50E156}"/>
              </a:ext>
            </a:extLst>
          </xdr:cNvPr>
          <xdr:cNvGrpSpPr/>
        </xdr:nvGrpSpPr>
        <xdr:grpSpPr>
          <a:xfrm>
            <a:off x="3321938" y="3298988"/>
            <a:ext cx="4048125" cy="962025"/>
            <a:chOff x="3321938" y="3298988"/>
            <a:chExt cx="4048125" cy="962025"/>
          </a:xfrm>
        </xdr:grpSpPr>
        <xdr:sp macro="" textlink="">
          <xdr:nvSpPr>
            <xdr:cNvPr id="61" name="Shape 4">
              <a:extLst>
                <a:ext uri="{FF2B5EF4-FFF2-40B4-BE49-F238E27FC236}">
                  <a16:creationId xmlns:a16="http://schemas.microsoft.com/office/drawing/2014/main" id="{A74D3481-DF3D-FD05-0D3F-A3E3D279F2D8}"/>
                </a:ext>
              </a:extLst>
            </xdr:cNvPr>
            <xdr:cNvSpPr/>
          </xdr:nvSpPr>
          <xdr:spPr>
            <a:xfrm>
              <a:off x="3321938" y="3298988"/>
              <a:ext cx="4048125" cy="9620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2" name="Shape 62">
              <a:extLst>
                <a:ext uri="{FF2B5EF4-FFF2-40B4-BE49-F238E27FC236}">
                  <a16:creationId xmlns:a16="http://schemas.microsoft.com/office/drawing/2014/main" id="{1AFF0D00-F385-7702-74C3-4D7589F2F8AC}"/>
                </a:ext>
              </a:extLst>
            </xdr:cNvPr>
            <xdr:cNvGrpSpPr/>
          </xdr:nvGrpSpPr>
          <xdr:grpSpPr>
            <a:xfrm>
              <a:off x="3321938" y="3298988"/>
              <a:ext cx="4048125" cy="962025"/>
              <a:chOff x="3340913" y="3317963"/>
              <a:chExt cx="4010100" cy="924000"/>
            </a:xfrm>
          </xdr:grpSpPr>
          <xdr:sp macro="" textlink="">
            <xdr:nvSpPr>
              <xdr:cNvPr id="63" name="Shape 63">
                <a:extLst>
                  <a:ext uri="{FF2B5EF4-FFF2-40B4-BE49-F238E27FC236}">
                    <a16:creationId xmlns:a16="http://schemas.microsoft.com/office/drawing/2014/main" id="{14AE674B-00EB-F91E-C881-C17D037E0073}"/>
                  </a:ext>
                </a:extLst>
              </xdr:cNvPr>
              <xdr:cNvSpPr/>
            </xdr:nvSpPr>
            <xdr:spPr>
              <a:xfrm>
                <a:off x="3340913" y="3317963"/>
                <a:ext cx="4010100" cy="924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64" name="Shape 64">
                <a:extLst>
                  <a:ext uri="{FF2B5EF4-FFF2-40B4-BE49-F238E27FC236}">
                    <a16:creationId xmlns:a16="http://schemas.microsoft.com/office/drawing/2014/main" id="{24BB6820-0C8A-68AA-CBAA-A39C3B518D95}"/>
                  </a:ext>
                </a:extLst>
              </xdr:cNvPr>
              <xdr:cNvCxnSpPr>
                <a:stCxn id="51" idx="2"/>
              </xdr:cNvCxnSpPr>
            </xdr:nvCxnSpPr>
            <xdr:spPr>
              <a:xfrm rot="10800000">
                <a:off x="3340913" y="3317963"/>
                <a:ext cx="4010100" cy="924000"/>
              </a:xfrm>
              <a:prstGeom prst="straightConnector1">
                <a:avLst/>
              </a:prstGeom>
              <a:noFill/>
              <a:ln w="38100" cap="flat" cmpd="sng">
                <a:solidFill>
                  <a:schemeClr val="accent6"/>
                </a:solidFill>
                <a:prstDash val="solid"/>
                <a:miter lim="800000"/>
                <a:headEnd type="none" w="sm" len="sm"/>
                <a:tailEnd type="triangle" w="med" len="med"/>
              </a:ln>
            </xdr:spPr>
          </xdr:cxnSp>
        </xdr:grpSp>
      </xdr:grpSp>
    </xdr:grpSp>
    <xdr:clientData fLocksWithSheet="0"/>
  </xdr:oneCellAnchor>
  <xdr:oneCellAnchor>
    <xdr:from>
      <xdr:col>12</xdr:col>
      <xdr:colOff>542925</xdr:colOff>
      <xdr:row>100</xdr:row>
      <xdr:rowOff>28575</xdr:rowOff>
    </xdr:from>
    <xdr:ext cx="1314450" cy="1714500"/>
    <xdr:sp macro="" textlink="">
      <xdr:nvSpPr>
        <xdr:cNvPr id="65" name="Shape 65">
          <a:extLst>
            <a:ext uri="{FF2B5EF4-FFF2-40B4-BE49-F238E27FC236}">
              <a16:creationId xmlns:a16="http://schemas.microsoft.com/office/drawing/2014/main" id="{72E52FFD-26BD-4462-9DAB-913BEE5A1A8B}"/>
            </a:ext>
          </a:extLst>
        </xdr:cNvPr>
        <xdr:cNvSpPr/>
      </xdr:nvSpPr>
      <xdr:spPr>
        <a:xfrm>
          <a:off x="14426565" y="17790795"/>
          <a:ext cx="1314450" cy="1714500"/>
        </a:xfrm>
        <a:prstGeom prst="ellipse">
          <a:avLst/>
        </a:prstGeom>
        <a:noFill/>
        <a:ln w="38100" cap="flat" cmpd="sng">
          <a:solidFill>
            <a:schemeClr val="dk1"/>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76200</xdr:colOff>
      <xdr:row>101</xdr:row>
      <xdr:rowOff>76200</xdr:rowOff>
    </xdr:from>
    <xdr:ext cx="8162925" cy="647700"/>
    <xdr:grpSp>
      <xdr:nvGrpSpPr>
        <xdr:cNvPr id="66" name="Shape 2">
          <a:extLst>
            <a:ext uri="{FF2B5EF4-FFF2-40B4-BE49-F238E27FC236}">
              <a16:creationId xmlns:a16="http://schemas.microsoft.com/office/drawing/2014/main" id="{7D95F19D-E138-4BB8-8573-0675A19E3974}"/>
            </a:ext>
          </a:extLst>
        </xdr:cNvPr>
        <xdr:cNvGrpSpPr/>
      </xdr:nvGrpSpPr>
      <xdr:grpSpPr>
        <a:xfrm>
          <a:off x="6487776" y="18194867"/>
          <a:ext cx="8162925" cy="647700"/>
          <a:chOff x="1264538" y="3456150"/>
          <a:chExt cx="8162925" cy="647700"/>
        </a:xfrm>
      </xdr:grpSpPr>
      <xdr:grpSp>
        <xdr:nvGrpSpPr>
          <xdr:cNvPr id="67" name="Shape 66">
            <a:extLst>
              <a:ext uri="{FF2B5EF4-FFF2-40B4-BE49-F238E27FC236}">
                <a16:creationId xmlns:a16="http://schemas.microsoft.com/office/drawing/2014/main" id="{C4F96507-372A-19E5-87D7-C0817A1E2E5D}"/>
              </a:ext>
            </a:extLst>
          </xdr:cNvPr>
          <xdr:cNvGrpSpPr/>
        </xdr:nvGrpSpPr>
        <xdr:grpSpPr>
          <a:xfrm>
            <a:off x="1264538" y="3456150"/>
            <a:ext cx="8162925" cy="647700"/>
            <a:chOff x="1264538" y="3456150"/>
            <a:chExt cx="8162925" cy="647700"/>
          </a:xfrm>
        </xdr:grpSpPr>
        <xdr:sp macro="" textlink="">
          <xdr:nvSpPr>
            <xdr:cNvPr id="68" name="Shape 4">
              <a:extLst>
                <a:ext uri="{FF2B5EF4-FFF2-40B4-BE49-F238E27FC236}">
                  <a16:creationId xmlns:a16="http://schemas.microsoft.com/office/drawing/2014/main" id="{4E6C2B4A-A39B-4E10-E17B-93FA3A43CB22}"/>
                </a:ext>
              </a:extLst>
            </xdr:cNvPr>
            <xdr:cNvSpPr/>
          </xdr:nvSpPr>
          <xdr:spPr>
            <a:xfrm>
              <a:off x="1264538" y="3456150"/>
              <a:ext cx="8162925" cy="6477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9" name="Shape 67">
              <a:extLst>
                <a:ext uri="{FF2B5EF4-FFF2-40B4-BE49-F238E27FC236}">
                  <a16:creationId xmlns:a16="http://schemas.microsoft.com/office/drawing/2014/main" id="{ECA68285-839A-A465-C58C-8D1AC65112CA}"/>
                </a:ext>
              </a:extLst>
            </xdr:cNvPr>
            <xdr:cNvGrpSpPr/>
          </xdr:nvGrpSpPr>
          <xdr:grpSpPr>
            <a:xfrm>
              <a:off x="1264538" y="3456150"/>
              <a:ext cx="8162925" cy="647700"/>
              <a:chOff x="1283513" y="3475200"/>
              <a:chExt cx="8124900" cy="609600"/>
            </a:xfrm>
          </xdr:grpSpPr>
          <xdr:sp macro="" textlink="">
            <xdr:nvSpPr>
              <xdr:cNvPr id="70" name="Shape 68">
                <a:extLst>
                  <a:ext uri="{FF2B5EF4-FFF2-40B4-BE49-F238E27FC236}">
                    <a16:creationId xmlns:a16="http://schemas.microsoft.com/office/drawing/2014/main" id="{E24938EF-D93F-C599-E525-8019A0A33F2A}"/>
                  </a:ext>
                </a:extLst>
              </xdr:cNvPr>
              <xdr:cNvSpPr/>
            </xdr:nvSpPr>
            <xdr:spPr>
              <a:xfrm>
                <a:off x="1283513" y="3475200"/>
                <a:ext cx="8124900" cy="609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71" name="Shape 69">
                <a:extLst>
                  <a:ext uri="{FF2B5EF4-FFF2-40B4-BE49-F238E27FC236}">
                    <a16:creationId xmlns:a16="http://schemas.microsoft.com/office/drawing/2014/main" id="{B0CFCB08-AB70-A682-6EAE-F0D065A76D0D}"/>
                  </a:ext>
                </a:extLst>
              </xdr:cNvPr>
              <xdr:cNvCxnSpPr>
                <a:stCxn id="56" idx="2"/>
              </xdr:cNvCxnSpPr>
            </xdr:nvCxnSpPr>
            <xdr:spPr>
              <a:xfrm rot="10800000">
                <a:off x="1283513" y="3475200"/>
                <a:ext cx="8124900" cy="609600"/>
              </a:xfrm>
              <a:prstGeom prst="straightConnector1">
                <a:avLst/>
              </a:prstGeom>
              <a:noFill/>
              <a:ln w="38100" cap="flat" cmpd="sng">
                <a:solidFill>
                  <a:schemeClr val="dk1"/>
                </a:solidFill>
                <a:prstDash val="solid"/>
                <a:miter lim="800000"/>
                <a:headEnd type="none" w="sm" len="sm"/>
                <a:tailEnd type="triangle" w="med" len="med"/>
              </a:ln>
            </xdr:spPr>
          </xdr:cxnSp>
        </xdr:grpSp>
      </xdr:grpSp>
    </xdr:grpSp>
    <xdr:clientData fLocksWithSheet="0"/>
  </xdr:oneCellAnchor>
  <xdr:oneCellAnchor>
    <xdr:from>
      <xdr:col>8</xdr:col>
      <xdr:colOff>95250</xdr:colOff>
      <xdr:row>128</xdr:row>
      <xdr:rowOff>142875</xdr:rowOff>
    </xdr:from>
    <xdr:ext cx="3971925" cy="666750"/>
    <xdr:sp macro="" textlink="">
      <xdr:nvSpPr>
        <xdr:cNvPr id="72" name="Shape 70">
          <a:extLst>
            <a:ext uri="{FF2B5EF4-FFF2-40B4-BE49-F238E27FC236}">
              <a16:creationId xmlns:a16="http://schemas.microsoft.com/office/drawing/2014/main" id="{B1585034-8329-4D5B-BF21-DEB03F8C3AE9}"/>
            </a:ext>
          </a:extLst>
        </xdr:cNvPr>
        <xdr:cNvSpPr/>
      </xdr:nvSpPr>
      <xdr:spPr>
        <a:xfrm rot="10800000" flipH="1">
          <a:off x="11052810" y="22812375"/>
          <a:ext cx="3971925" cy="666750"/>
        </a:xfrm>
        <a:prstGeom prst="ellipse">
          <a:avLst/>
        </a:prstGeom>
        <a:noFill/>
        <a:ln w="38100" cap="flat" cmpd="sng">
          <a:solidFill>
            <a:srgbClr val="FF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xdr:col>
      <xdr:colOff>3028950</xdr:colOff>
      <xdr:row>128</xdr:row>
      <xdr:rowOff>142875</xdr:rowOff>
    </xdr:from>
    <xdr:ext cx="4933950" cy="352425"/>
    <xdr:grpSp>
      <xdr:nvGrpSpPr>
        <xdr:cNvPr id="73" name="Shape 2" title="Drawing">
          <a:extLst>
            <a:ext uri="{FF2B5EF4-FFF2-40B4-BE49-F238E27FC236}">
              <a16:creationId xmlns:a16="http://schemas.microsoft.com/office/drawing/2014/main" id="{201D1F92-8DA9-4450-AA1E-4A730B7A6C78}"/>
            </a:ext>
          </a:extLst>
        </xdr:cNvPr>
        <xdr:cNvGrpSpPr/>
      </xdr:nvGrpSpPr>
      <xdr:grpSpPr>
        <a:xfrm>
          <a:off x="4060344" y="23041360"/>
          <a:ext cx="4933950" cy="352425"/>
          <a:chOff x="2879025" y="3603788"/>
          <a:chExt cx="4933950" cy="352425"/>
        </a:xfrm>
      </xdr:grpSpPr>
      <xdr:grpSp>
        <xdr:nvGrpSpPr>
          <xdr:cNvPr id="74" name="Shape 71">
            <a:extLst>
              <a:ext uri="{FF2B5EF4-FFF2-40B4-BE49-F238E27FC236}">
                <a16:creationId xmlns:a16="http://schemas.microsoft.com/office/drawing/2014/main" id="{8038F537-D5B1-2106-AE80-8A5914858E4C}"/>
              </a:ext>
            </a:extLst>
          </xdr:cNvPr>
          <xdr:cNvGrpSpPr/>
        </xdr:nvGrpSpPr>
        <xdr:grpSpPr>
          <a:xfrm>
            <a:off x="2879025" y="3603788"/>
            <a:ext cx="4933950" cy="352425"/>
            <a:chOff x="2879025" y="3603788"/>
            <a:chExt cx="4933950" cy="352425"/>
          </a:xfrm>
        </xdr:grpSpPr>
        <xdr:sp macro="" textlink="">
          <xdr:nvSpPr>
            <xdr:cNvPr id="75" name="Shape 4">
              <a:extLst>
                <a:ext uri="{FF2B5EF4-FFF2-40B4-BE49-F238E27FC236}">
                  <a16:creationId xmlns:a16="http://schemas.microsoft.com/office/drawing/2014/main" id="{BA84E507-DACC-6262-F3D5-15F656A52BA2}"/>
                </a:ext>
              </a:extLst>
            </xdr:cNvPr>
            <xdr:cNvSpPr/>
          </xdr:nvSpPr>
          <xdr:spPr>
            <a:xfrm>
              <a:off x="2879025" y="3603788"/>
              <a:ext cx="4933950" cy="3524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76" name="Shape 72">
              <a:extLst>
                <a:ext uri="{FF2B5EF4-FFF2-40B4-BE49-F238E27FC236}">
                  <a16:creationId xmlns:a16="http://schemas.microsoft.com/office/drawing/2014/main" id="{87BF73BC-25B7-88D9-84F7-ED0FC84FDC56}"/>
                </a:ext>
              </a:extLst>
            </xdr:cNvPr>
            <xdr:cNvGrpSpPr/>
          </xdr:nvGrpSpPr>
          <xdr:grpSpPr>
            <a:xfrm>
              <a:off x="2879025" y="3603788"/>
              <a:ext cx="4933950" cy="352425"/>
              <a:chOff x="2897925" y="3622763"/>
              <a:chExt cx="4896000" cy="314400"/>
            </a:xfrm>
          </xdr:grpSpPr>
          <xdr:sp macro="" textlink="">
            <xdr:nvSpPr>
              <xdr:cNvPr id="77" name="Shape 73">
                <a:extLst>
                  <a:ext uri="{FF2B5EF4-FFF2-40B4-BE49-F238E27FC236}">
                    <a16:creationId xmlns:a16="http://schemas.microsoft.com/office/drawing/2014/main" id="{8BE87C7A-5534-DD89-37CF-454461176687}"/>
                  </a:ext>
                </a:extLst>
              </xdr:cNvPr>
              <xdr:cNvSpPr/>
            </xdr:nvSpPr>
            <xdr:spPr>
              <a:xfrm>
                <a:off x="2897925" y="3622763"/>
                <a:ext cx="4896000" cy="3144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78" name="Shape 74">
                <a:extLst>
                  <a:ext uri="{FF2B5EF4-FFF2-40B4-BE49-F238E27FC236}">
                    <a16:creationId xmlns:a16="http://schemas.microsoft.com/office/drawing/2014/main" id="{C9B98B80-E607-9527-E021-ED1DE16F2694}"/>
                  </a:ext>
                </a:extLst>
              </xdr:cNvPr>
              <xdr:cNvCxnSpPr>
                <a:stCxn id="60" idx="2"/>
              </xdr:cNvCxnSpPr>
            </xdr:nvCxnSpPr>
            <xdr:spPr>
              <a:xfrm rot="10800000">
                <a:off x="2897925" y="3622763"/>
                <a:ext cx="4896000" cy="314400"/>
              </a:xfrm>
              <a:prstGeom prst="straightConnector1">
                <a:avLst/>
              </a:prstGeom>
              <a:noFill/>
              <a:ln w="38100" cap="flat" cmpd="sng">
                <a:solidFill>
                  <a:srgbClr val="FF0000"/>
                </a:solidFill>
                <a:prstDash val="solid"/>
                <a:miter lim="800000"/>
                <a:headEnd type="none" w="sm" len="sm"/>
                <a:tailEnd type="triangle" w="med" len="med"/>
              </a:ln>
            </xdr:spPr>
          </xdr:cxnSp>
        </xdr:grpSp>
      </xdr:grpSp>
    </xdr:grpSp>
    <xdr:clientData fLocksWithSheet="0"/>
  </xdr:oneCellAnchor>
  <xdr:oneCellAnchor>
    <xdr:from>
      <xdr:col>3</xdr:col>
      <xdr:colOff>476250</xdr:colOff>
      <xdr:row>134</xdr:row>
      <xdr:rowOff>123825</xdr:rowOff>
    </xdr:from>
    <xdr:ext cx="1314450" cy="838200"/>
    <xdr:sp macro="" textlink="">
      <xdr:nvSpPr>
        <xdr:cNvPr id="79" name="Shape 75">
          <a:extLst>
            <a:ext uri="{FF2B5EF4-FFF2-40B4-BE49-F238E27FC236}">
              <a16:creationId xmlns:a16="http://schemas.microsoft.com/office/drawing/2014/main" id="{D3C79133-1D08-4649-8CA1-6B449DFEEA5E}"/>
            </a:ext>
          </a:extLst>
        </xdr:cNvPr>
        <xdr:cNvSpPr/>
      </xdr:nvSpPr>
      <xdr:spPr>
        <a:xfrm>
          <a:off x="7585710" y="23844885"/>
          <a:ext cx="1314450" cy="838200"/>
        </a:xfrm>
        <a:prstGeom prst="ellipse">
          <a:avLst/>
        </a:prstGeom>
        <a:noFill/>
        <a:ln w="38100" cap="flat" cmpd="sng">
          <a:solidFill>
            <a:schemeClr val="dk1"/>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xdr:col>
      <xdr:colOff>1038225</xdr:colOff>
      <xdr:row>130</xdr:row>
      <xdr:rowOff>95250</xdr:rowOff>
    </xdr:from>
    <xdr:ext cx="3562350" cy="1181100"/>
    <xdr:grpSp>
      <xdr:nvGrpSpPr>
        <xdr:cNvPr id="80" name="Shape 2" title="Drawing">
          <a:extLst>
            <a:ext uri="{FF2B5EF4-FFF2-40B4-BE49-F238E27FC236}">
              <a16:creationId xmlns:a16="http://schemas.microsoft.com/office/drawing/2014/main" id="{930FF198-81BD-448F-B1B7-9AA323937525}"/>
            </a:ext>
          </a:extLst>
        </xdr:cNvPr>
        <xdr:cNvGrpSpPr/>
      </xdr:nvGrpSpPr>
      <xdr:grpSpPr>
        <a:xfrm>
          <a:off x="2069619" y="23347795"/>
          <a:ext cx="3562350" cy="1181100"/>
          <a:chOff x="3564825" y="3189450"/>
          <a:chExt cx="3562350" cy="1181100"/>
        </a:xfrm>
      </xdr:grpSpPr>
      <xdr:grpSp>
        <xdr:nvGrpSpPr>
          <xdr:cNvPr id="81" name="Shape 76">
            <a:extLst>
              <a:ext uri="{FF2B5EF4-FFF2-40B4-BE49-F238E27FC236}">
                <a16:creationId xmlns:a16="http://schemas.microsoft.com/office/drawing/2014/main" id="{86D4138B-99F8-99C5-9100-1251F16F54F8}"/>
              </a:ext>
            </a:extLst>
          </xdr:cNvPr>
          <xdr:cNvGrpSpPr/>
        </xdr:nvGrpSpPr>
        <xdr:grpSpPr>
          <a:xfrm>
            <a:off x="3564825" y="3189450"/>
            <a:ext cx="3562350" cy="1181100"/>
            <a:chOff x="3564825" y="3189450"/>
            <a:chExt cx="3562350" cy="1181100"/>
          </a:xfrm>
        </xdr:grpSpPr>
        <xdr:sp macro="" textlink="">
          <xdr:nvSpPr>
            <xdr:cNvPr id="82" name="Shape 4">
              <a:extLst>
                <a:ext uri="{FF2B5EF4-FFF2-40B4-BE49-F238E27FC236}">
                  <a16:creationId xmlns:a16="http://schemas.microsoft.com/office/drawing/2014/main" id="{FFBCC7D6-BA82-493D-E8FE-17EEA9844BBA}"/>
                </a:ext>
              </a:extLst>
            </xdr:cNvPr>
            <xdr:cNvSpPr/>
          </xdr:nvSpPr>
          <xdr:spPr>
            <a:xfrm>
              <a:off x="3564825" y="3189450"/>
              <a:ext cx="3562350" cy="1181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83" name="Shape 77">
              <a:extLst>
                <a:ext uri="{FF2B5EF4-FFF2-40B4-BE49-F238E27FC236}">
                  <a16:creationId xmlns:a16="http://schemas.microsoft.com/office/drawing/2014/main" id="{FF453530-667E-1381-9FAC-D133A0AAFE15}"/>
                </a:ext>
              </a:extLst>
            </xdr:cNvPr>
            <xdr:cNvGrpSpPr/>
          </xdr:nvGrpSpPr>
          <xdr:grpSpPr>
            <a:xfrm>
              <a:off x="3564825" y="3189450"/>
              <a:ext cx="3562350" cy="1181100"/>
              <a:chOff x="3584025" y="3208500"/>
              <a:chExt cx="3524100" cy="1143000"/>
            </a:xfrm>
          </xdr:grpSpPr>
          <xdr:sp macro="" textlink="">
            <xdr:nvSpPr>
              <xdr:cNvPr id="84" name="Shape 78">
                <a:extLst>
                  <a:ext uri="{FF2B5EF4-FFF2-40B4-BE49-F238E27FC236}">
                    <a16:creationId xmlns:a16="http://schemas.microsoft.com/office/drawing/2014/main" id="{1D7C8184-F38E-CFE9-9FE2-4E41E3C1B59E}"/>
                  </a:ext>
                </a:extLst>
              </xdr:cNvPr>
              <xdr:cNvSpPr/>
            </xdr:nvSpPr>
            <xdr:spPr>
              <a:xfrm>
                <a:off x="3584025" y="3208500"/>
                <a:ext cx="3524100" cy="1143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85" name="Shape 79">
                <a:extLst>
                  <a:ext uri="{FF2B5EF4-FFF2-40B4-BE49-F238E27FC236}">
                    <a16:creationId xmlns:a16="http://schemas.microsoft.com/office/drawing/2014/main" id="{E2F0784E-7C4F-7FD7-49D3-5D9FD914497C}"/>
                  </a:ext>
                </a:extLst>
              </xdr:cNvPr>
              <xdr:cNvCxnSpPr>
                <a:stCxn id="64" idx="2"/>
              </xdr:cNvCxnSpPr>
            </xdr:nvCxnSpPr>
            <xdr:spPr>
              <a:xfrm rot="10800000">
                <a:off x="3584025" y="3208500"/>
                <a:ext cx="3524100" cy="1143000"/>
              </a:xfrm>
              <a:prstGeom prst="straightConnector1">
                <a:avLst/>
              </a:prstGeom>
              <a:noFill/>
              <a:ln w="38100" cap="flat" cmpd="sng">
                <a:solidFill>
                  <a:schemeClr val="dk1"/>
                </a:solidFill>
                <a:prstDash val="solid"/>
                <a:miter lim="800000"/>
                <a:headEnd type="none" w="sm" len="sm"/>
                <a:tailEnd type="triangle" w="med" len="med"/>
              </a:ln>
            </xdr:spPr>
          </xdr:cxnSp>
        </xdr:grpSp>
      </xdr:grpSp>
    </xdr:grpSp>
    <xdr:clientData fLocksWithSheet="0"/>
  </xdr:oneCellAnchor>
  <xdr:oneCellAnchor>
    <xdr:from>
      <xdr:col>6</xdr:col>
      <xdr:colOff>600075</xdr:colOff>
      <xdr:row>135</xdr:row>
      <xdr:rowOff>76200</xdr:rowOff>
    </xdr:from>
    <xdr:ext cx="514350" cy="619125"/>
    <xdr:sp macro="" textlink="">
      <xdr:nvSpPr>
        <xdr:cNvPr id="86" name="Shape 80">
          <a:extLst>
            <a:ext uri="{FF2B5EF4-FFF2-40B4-BE49-F238E27FC236}">
              <a16:creationId xmlns:a16="http://schemas.microsoft.com/office/drawing/2014/main" id="{52AA2C42-EE93-4808-862E-0D3AFD1C24E5}"/>
            </a:ext>
          </a:extLst>
        </xdr:cNvPr>
        <xdr:cNvSpPr/>
      </xdr:nvSpPr>
      <xdr:spPr>
        <a:xfrm>
          <a:off x="9904095" y="23972520"/>
          <a:ext cx="514350" cy="619125"/>
        </a:xfrm>
        <a:prstGeom prst="ellipse">
          <a:avLst/>
        </a:prstGeom>
        <a:noFill/>
        <a:ln w="38100" cap="flat" cmpd="sng">
          <a:solidFill>
            <a:srgbClr val="517E33"/>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342900</xdr:colOff>
      <xdr:row>132</xdr:row>
      <xdr:rowOff>142875</xdr:rowOff>
    </xdr:from>
    <xdr:ext cx="3152775" cy="800100"/>
    <xdr:grpSp>
      <xdr:nvGrpSpPr>
        <xdr:cNvPr id="87" name="Shape 2" title="Drawing">
          <a:extLst>
            <a:ext uri="{FF2B5EF4-FFF2-40B4-BE49-F238E27FC236}">
              <a16:creationId xmlns:a16="http://schemas.microsoft.com/office/drawing/2014/main" id="{5123793A-E32C-4F65-82EA-C27830FBBA1D}"/>
            </a:ext>
          </a:extLst>
        </xdr:cNvPr>
        <xdr:cNvGrpSpPr/>
      </xdr:nvGrpSpPr>
      <xdr:grpSpPr>
        <a:xfrm>
          <a:off x="6754476" y="23749481"/>
          <a:ext cx="3152775" cy="800100"/>
          <a:chOff x="3769613" y="3379950"/>
          <a:chExt cx="3152775" cy="800100"/>
        </a:xfrm>
      </xdr:grpSpPr>
      <xdr:grpSp>
        <xdr:nvGrpSpPr>
          <xdr:cNvPr id="88" name="Shape 81">
            <a:extLst>
              <a:ext uri="{FF2B5EF4-FFF2-40B4-BE49-F238E27FC236}">
                <a16:creationId xmlns:a16="http://schemas.microsoft.com/office/drawing/2014/main" id="{EF423DFF-306D-729E-3A1F-A79A18C8B98C}"/>
              </a:ext>
            </a:extLst>
          </xdr:cNvPr>
          <xdr:cNvGrpSpPr/>
        </xdr:nvGrpSpPr>
        <xdr:grpSpPr>
          <a:xfrm>
            <a:off x="3769613" y="3379950"/>
            <a:ext cx="3152775" cy="800100"/>
            <a:chOff x="3769613" y="3379950"/>
            <a:chExt cx="3152775" cy="800100"/>
          </a:xfrm>
        </xdr:grpSpPr>
        <xdr:sp macro="" textlink="">
          <xdr:nvSpPr>
            <xdr:cNvPr id="89" name="Shape 4">
              <a:extLst>
                <a:ext uri="{FF2B5EF4-FFF2-40B4-BE49-F238E27FC236}">
                  <a16:creationId xmlns:a16="http://schemas.microsoft.com/office/drawing/2014/main" id="{C08A01C3-54D8-A67E-79CD-5FC6D4BE6BED}"/>
                </a:ext>
              </a:extLst>
            </xdr:cNvPr>
            <xdr:cNvSpPr/>
          </xdr:nvSpPr>
          <xdr:spPr>
            <a:xfrm>
              <a:off x="3769613" y="3379950"/>
              <a:ext cx="3152775" cy="800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90" name="Shape 82">
              <a:extLst>
                <a:ext uri="{FF2B5EF4-FFF2-40B4-BE49-F238E27FC236}">
                  <a16:creationId xmlns:a16="http://schemas.microsoft.com/office/drawing/2014/main" id="{53D94684-091B-D8D9-637E-A54DAC982A6F}"/>
                </a:ext>
              </a:extLst>
            </xdr:cNvPr>
            <xdr:cNvGrpSpPr/>
          </xdr:nvGrpSpPr>
          <xdr:grpSpPr>
            <a:xfrm>
              <a:off x="3769613" y="3379950"/>
              <a:ext cx="3152775" cy="800100"/>
              <a:chOff x="3788738" y="3399000"/>
              <a:chExt cx="3114600" cy="762000"/>
            </a:xfrm>
          </xdr:grpSpPr>
          <xdr:sp macro="" textlink="">
            <xdr:nvSpPr>
              <xdr:cNvPr id="91" name="Shape 83">
                <a:extLst>
                  <a:ext uri="{FF2B5EF4-FFF2-40B4-BE49-F238E27FC236}">
                    <a16:creationId xmlns:a16="http://schemas.microsoft.com/office/drawing/2014/main" id="{1940000A-662A-B8CB-14FD-9FF5CACEEC4E}"/>
                  </a:ext>
                </a:extLst>
              </xdr:cNvPr>
              <xdr:cNvSpPr/>
            </xdr:nvSpPr>
            <xdr:spPr>
              <a:xfrm>
                <a:off x="3788738" y="3399000"/>
                <a:ext cx="3114600" cy="762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92" name="Shape 84">
                <a:extLst>
                  <a:ext uri="{FF2B5EF4-FFF2-40B4-BE49-F238E27FC236}">
                    <a16:creationId xmlns:a16="http://schemas.microsoft.com/office/drawing/2014/main" id="{C18979DE-39AA-1D88-3D32-2350C969A4E2}"/>
                  </a:ext>
                </a:extLst>
              </xdr:cNvPr>
              <xdr:cNvCxnSpPr>
                <a:stCxn id="67" idx="2"/>
              </xdr:cNvCxnSpPr>
            </xdr:nvCxnSpPr>
            <xdr:spPr>
              <a:xfrm rot="10800000">
                <a:off x="3788738" y="3399000"/>
                <a:ext cx="3114600" cy="762000"/>
              </a:xfrm>
              <a:prstGeom prst="straightConnector1">
                <a:avLst/>
              </a:prstGeom>
              <a:noFill/>
              <a:ln w="38100" cap="flat" cmpd="sng">
                <a:solidFill>
                  <a:schemeClr val="accent6"/>
                </a:solidFill>
                <a:prstDash val="solid"/>
                <a:miter lim="800000"/>
                <a:headEnd type="none" w="sm" len="sm"/>
                <a:tailEnd type="triangle" w="med" len="med"/>
              </a:ln>
            </xdr:spPr>
          </xdr:cxnSp>
        </xdr:grpSp>
      </xdr:grpSp>
    </xdr:grpSp>
    <xdr:clientData fLocksWithSheet="0"/>
  </xdr:oneCellAnchor>
  <xdr:oneCellAnchor>
    <xdr:from>
      <xdr:col>9</xdr:col>
      <xdr:colOff>114300</xdr:colOff>
      <xdr:row>135</xdr:row>
      <xdr:rowOff>66675</xdr:rowOff>
    </xdr:from>
    <xdr:ext cx="561975" cy="600075"/>
    <xdr:sp macro="" textlink="">
      <xdr:nvSpPr>
        <xdr:cNvPr id="93" name="Shape 85">
          <a:extLst>
            <a:ext uri="{FF2B5EF4-FFF2-40B4-BE49-F238E27FC236}">
              <a16:creationId xmlns:a16="http://schemas.microsoft.com/office/drawing/2014/main" id="{A7038922-F9E5-451B-8E0F-C22DDE3314EF}"/>
            </a:ext>
          </a:extLst>
        </xdr:cNvPr>
        <xdr:cNvSpPr/>
      </xdr:nvSpPr>
      <xdr:spPr>
        <a:xfrm rot="10800000" flipH="1">
          <a:off x="11719560" y="23962995"/>
          <a:ext cx="561975" cy="600075"/>
        </a:xfrm>
        <a:prstGeom prst="ellipse">
          <a:avLst/>
        </a:prstGeom>
        <a:noFill/>
        <a:ln w="38100" cap="flat" cmpd="sng">
          <a:solidFill>
            <a:srgbClr val="AC5B23"/>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xdr:col>
      <xdr:colOff>1638300</xdr:colOff>
      <xdr:row>134</xdr:row>
      <xdr:rowOff>114300</xdr:rowOff>
    </xdr:from>
    <xdr:ext cx="6972300" cy="476250"/>
    <xdr:grpSp>
      <xdr:nvGrpSpPr>
        <xdr:cNvPr id="94" name="Shape 2" title="Drawing">
          <a:extLst>
            <a:ext uri="{FF2B5EF4-FFF2-40B4-BE49-F238E27FC236}">
              <a16:creationId xmlns:a16="http://schemas.microsoft.com/office/drawing/2014/main" id="{C443D208-E1E8-4E34-884B-CD236702AD3D}"/>
            </a:ext>
          </a:extLst>
        </xdr:cNvPr>
        <xdr:cNvGrpSpPr/>
      </xdr:nvGrpSpPr>
      <xdr:grpSpPr>
        <a:xfrm>
          <a:off x="2669694" y="24074967"/>
          <a:ext cx="6972300" cy="476250"/>
          <a:chOff x="1859850" y="3541875"/>
          <a:chExt cx="6972300" cy="476250"/>
        </a:xfrm>
      </xdr:grpSpPr>
      <xdr:grpSp>
        <xdr:nvGrpSpPr>
          <xdr:cNvPr id="95" name="Shape 86">
            <a:extLst>
              <a:ext uri="{FF2B5EF4-FFF2-40B4-BE49-F238E27FC236}">
                <a16:creationId xmlns:a16="http://schemas.microsoft.com/office/drawing/2014/main" id="{91F4ED99-BC00-50FC-DF53-076E2AC0AAD9}"/>
              </a:ext>
            </a:extLst>
          </xdr:cNvPr>
          <xdr:cNvGrpSpPr/>
        </xdr:nvGrpSpPr>
        <xdr:grpSpPr>
          <a:xfrm>
            <a:off x="1859850" y="3541875"/>
            <a:ext cx="6972300" cy="476250"/>
            <a:chOff x="1859850" y="3541875"/>
            <a:chExt cx="6972300" cy="476250"/>
          </a:xfrm>
        </xdr:grpSpPr>
        <xdr:sp macro="" textlink="">
          <xdr:nvSpPr>
            <xdr:cNvPr id="96" name="Shape 4">
              <a:extLst>
                <a:ext uri="{FF2B5EF4-FFF2-40B4-BE49-F238E27FC236}">
                  <a16:creationId xmlns:a16="http://schemas.microsoft.com/office/drawing/2014/main" id="{715F8C94-D3AD-E32B-59B4-6B80CE82486C}"/>
                </a:ext>
              </a:extLst>
            </xdr:cNvPr>
            <xdr:cNvSpPr/>
          </xdr:nvSpPr>
          <xdr:spPr>
            <a:xfrm>
              <a:off x="1859850" y="3541875"/>
              <a:ext cx="6972300" cy="4762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97" name="Shape 87">
              <a:extLst>
                <a:ext uri="{FF2B5EF4-FFF2-40B4-BE49-F238E27FC236}">
                  <a16:creationId xmlns:a16="http://schemas.microsoft.com/office/drawing/2014/main" id="{FE14ED99-A22D-F8FB-66DA-CDA1728B7F8A}"/>
                </a:ext>
              </a:extLst>
            </xdr:cNvPr>
            <xdr:cNvGrpSpPr/>
          </xdr:nvGrpSpPr>
          <xdr:grpSpPr>
            <a:xfrm>
              <a:off x="1859850" y="3541875"/>
              <a:ext cx="6972300" cy="476250"/>
              <a:chOff x="1878900" y="3560775"/>
              <a:chExt cx="6934200" cy="438300"/>
            </a:xfrm>
          </xdr:grpSpPr>
          <xdr:sp macro="" textlink="">
            <xdr:nvSpPr>
              <xdr:cNvPr id="98" name="Shape 88">
                <a:extLst>
                  <a:ext uri="{FF2B5EF4-FFF2-40B4-BE49-F238E27FC236}">
                    <a16:creationId xmlns:a16="http://schemas.microsoft.com/office/drawing/2014/main" id="{6FFD903F-F53B-E768-CCF4-C70E864D6710}"/>
                  </a:ext>
                </a:extLst>
              </xdr:cNvPr>
              <xdr:cNvSpPr/>
            </xdr:nvSpPr>
            <xdr:spPr>
              <a:xfrm>
                <a:off x="1878900" y="3560775"/>
                <a:ext cx="6934200" cy="4383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99" name="Shape 89">
                <a:extLst>
                  <a:ext uri="{FF2B5EF4-FFF2-40B4-BE49-F238E27FC236}">
                    <a16:creationId xmlns:a16="http://schemas.microsoft.com/office/drawing/2014/main" id="{47733D37-5D30-2DE6-36E6-230EDE1691E5}"/>
                  </a:ext>
                </a:extLst>
              </xdr:cNvPr>
              <xdr:cNvCxnSpPr>
                <a:stCxn id="70" idx="2"/>
              </xdr:cNvCxnSpPr>
            </xdr:nvCxnSpPr>
            <xdr:spPr>
              <a:xfrm rot="10800000">
                <a:off x="1878900" y="3560775"/>
                <a:ext cx="6934200" cy="438300"/>
              </a:xfrm>
              <a:prstGeom prst="straightConnector1">
                <a:avLst/>
              </a:prstGeom>
              <a:noFill/>
              <a:ln w="38100" cap="flat" cmpd="sng">
                <a:solidFill>
                  <a:schemeClr val="accent2"/>
                </a:solidFill>
                <a:prstDash val="solid"/>
                <a:miter lim="800000"/>
                <a:headEnd type="none" w="sm" len="sm"/>
                <a:tailEnd type="triangle" w="med" len="med"/>
              </a:ln>
            </xdr:spPr>
          </xdr:cxnSp>
        </xdr:grpSp>
      </xdr:grpSp>
    </xdr:grpSp>
    <xdr:clientData fLocksWithSheet="0"/>
  </xdr:oneCellAnchor>
  <xdr:oneCellAnchor>
    <xdr:from>
      <xdr:col>3</xdr:col>
      <xdr:colOff>533400</xdr:colOff>
      <xdr:row>128</xdr:row>
      <xdr:rowOff>57150</xdr:rowOff>
    </xdr:from>
    <xdr:ext cx="7010400" cy="3076575"/>
    <xdr:pic>
      <xdr:nvPicPr>
        <xdr:cNvPr id="100" name="image7.png" title="Image">
          <a:extLst>
            <a:ext uri="{FF2B5EF4-FFF2-40B4-BE49-F238E27FC236}">
              <a16:creationId xmlns:a16="http://schemas.microsoft.com/office/drawing/2014/main" id="{5B13CDAB-B1BD-4C84-A93B-EF2A4D7DBCE8}"/>
            </a:ext>
          </a:extLst>
        </xdr:cNvPr>
        <xdr:cNvPicPr preferRelativeResize="0"/>
      </xdr:nvPicPr>
      <xdr:blipFill>
        <a:blip xmlns:r="http://schemas.openxmlformats.org/officeDocument/2006/relationships" r:embed="rId1" cstate="print"/>
        <a:stretch>
          <a:fillRect/>
        </a:stretch>
      </xdr:blipFill>
      <xdr:spPr>
        <a:xfrm>
          <a:off x="7642860" y="22726650"/>
          <a:ext cx="7010400" cy="3076575"/>
        </a:xfrm>
        <a:prstGeom prst="rect">
          <a:avLst/>
        </a:prstGeom>
        <a:noFill/>
      </xdr:spPr>
    </xdr:pic>
    <xdr:clientData fLocksWithSheet="0"/>
  </xdr:oneCellAnchor>
  <xdr:oneCellAnchor>
    <xdr:from>
      <xdr:col>5</xdr:col>
      <xdr:colOff>457200</xdr:colOff>
      <xdr:row>92</xdr:row>
      <xdr:rowOff>9525</xdr:rowOff>
    </xdr:from>
    <xdr:ext cx="7029450" cy="5372100"/>
    <xdr:pic>
      <xdr:nvPicPr>
        <xdr:cNvPr id="101" name="image4.png">
          <a:extLst>
            <a:ext uri="{FF2B5EF4-FFF2-40B4-BE49-F238E27FC236}">
              <a16:creationId xmlns:a16="http://schemas.microsoft.com/office/drawing/2014/main" id="{C00B0BEA-7994-4AFD-8EDD-9E0C9DF4BF7D}"/>
            </a:ext>
          </a:extLst>
        </xdr:cNvPr>
        <xdr:cNvPicPr preferRelativeResize="0"/>
      </xdr:nvPicPr>
      <xdr:blipFill>
        <a:blip xmlns:r="http://schemas.openxmlformats.org/officeDocument/2006/relationships" r:embed="rId2" cstate="print"/>
        <a:stretch>
          <a:fillRect/>
        </a:stretch>
      </xdr:blipFill>
      <xdr:spPr>
        <a:xfrm>
          <a:off x="8900160" y="16369665"/>
          <a:ext cx="7029450" cy="5372100"/>
        </a:xfrm>
        <a:prstGeom prst="rect">
          <a:avLst/>
        </a:prstGeom>
        <a:noFill/>
      </xdr:spPr>
    </xdr:pic>
    <xdr:clientData fLocksWithSheet="0"/>
  </xdr:oneCellAnchor>
  <xdr:oneCellAnchor>
    <xdr:from>
      <xdr:col>5</xdr:col>
      <xdr:colOff>561975</xdr:colOff>
      <xdr:row>52</xdr:row>
      <xdr:rowOff>104775</xdr:rowOff>
    </xdr:from>
    <xdr:ext cx="7391400" cy="5962650"/>
    <xdr:pic>
      <xdr:nvPicPr>
        <xdr:cNvPr id="102" name="image10.png">
          <a:extLst>
            <a:ext uri="{FF2B5EF4-FFF2-40B4-BE49-F238E27FC236}">
              <a16:creationId xmlns:a16="http://schemas.microsoft.com/office/drawing/2014/main" id="{65CF536A-832D-4DB4-BF72-C3195C0FCC2E}"/>
            </a:ext>
          </a:extLst>
        </xdr:cNvPr>
        <xdr:cNvPicPr preferRelativeResize="0"/>
      </xdr:nvPicPr>
      <xdr:blipFill>
        <a:blip xmlns:r="http://schemas.openxmlformats.org/officeDocument/2006/relationships" r:embed="rId3" cstate="print"/>
        <a:stretch>
          <a:fillRect/>
        </a:stretch>
      </xdr:blipFill>
      <xdr:spPr>
        <a:xfrm>
          <a:off x="9004935" y="9218295"/>
          <a:ext cx="7391400" cy="5962650"/>
        </a:xfrm>
        <a:prstGeom prst="rect">
          <a:avLst/>
        </a:prstGeom>
        <a:noFill/>
      </xdr:spPr>
    </xdr:pic>
    <xdr:clientData fLocksWithSheet="0"/>
  </xdr:oneCellAnchor>
  <xdr:oneCellAnchor>
    <xdr:from>
      <xdr:col>30</xdr:col>
      <xdr:colOff>85725</xdr:colOff>
      <xdr:row>1</xdr:row>
      <xdr:rowOff>104775</xdr:rowOff>
    </xdr:from>
    <xdr:ext cx="4552950" cy="2286000"/>
    <xdr:pic>
      <xdr:nvPicPr>
        <xdr:cNvPr id="103" name="image8.png">
          <a:extLst>
            <a:ext uri="{FF2B5EF4-FFF2-40B4-BE49-F238E27FC236}">
              <a16:creationId xmlns:a16="http://schemas.microsoft.com/office/drawing/2014/main" id="{40424588-6F59-4E99-815A-1DC754BB9309}"/>
            </a:ext>
          </a:extLst>
        </xdr:cNvPr>
        <xdr:cNvPicPr preferRelativeResize="0"/>
      </xdr:nvPicPr>
      <xdr:blipFill>
        <a:blip xmlns:r="http://schemas.openxmlformats.org/officeDocument/2006/relationships" r:embed="rId4" cstate="print"/>
        <a:stretch>
          <a:fillRect/>
        </a:stretch>
      </xdr:blipFill>
      <xdr:spPr>
        <a:xfrm>
          <a:off x="29125545" y="280035"/>
          <a:ext cx="4552950" cy="2286000"/>
        </a:xfrm>
        <a:prstGeom prst="rect">
          <a:avLst/>
        </a:prstGeom>
        <a:noFill/>
      </xdr:spPr>
    </xdr:pic>
    <xdr:clientData fLocksWithSheet="0"/>
  </xdr:oneCellAnchor>
  <xdr:oneCellAnchor>
    <xdr:from>
      <xdr:col>19</xdr:col>
      <xdr:colOff>285750</xdr:colOff>
      <xdr:row>3</xdr:row>
      <xdr:rowOff>47625</xdr:rowOff>
    </xdr:from>
    <xdr:ext cx="5553075" cy="3000375"/>
    <xdr:pic>
      <xdr:nvPicPr>
        <xdr:cNvPr id="104" name="image3.png">
          <a:extLst>
            <a:ext uri="{FF2B5EF4-FFF2-40B4-BE49-F238E27FC236}">
              <a16:creationId xmlns:a16="http://schemas.microsoft.com/office/drawing/2014/main" id="{63758F28-05D2-4B40-B36C-E775576E04C3}"/>
            </a:ext>
            <a:ext uri="{147F2762-F138-4A5C-976F-8EAC2B608ADB}">
              <a16:predDERef xmlns:a16="http://schemas.microsoft.com/office/drawing/2014/main" pred="{944BDB73-DCA5-45E0-8777-402587FE17D5}"/>
            </a:ext>
          </a:extLst>
        </xdr:cNvPr>
        <xdr:cNvPicPr preferRelativeResize="0"/>
      </xdr:nvPicPr>
      <xdr:blipFill>
        <a:blip xmlns:r="http://schemas.openxmlformats.org/officeDocument/2006/relationships" r:embed="rId5" cstate="print"/>
        <a:stretch>
          <a:fillRect/>
        </a:stretch>
      </xdr:blipFill>
      <xdr:spPr>
        <a:xfrm>
          <a:off x="22703790" y="573405"/>
          <a:ext cx="5553075" cy="3000375"/>
        </a:xfrm>
        <a:prstGeom prst="rect">
          <a:avLst/>
        </a:prstGeom>
        <a:noFill/>
      </xdr:spPr>
    </xdr:pic>
    <xdr:clientData fLocksWithSheet="0"/>
  </xdr:oneCellAnchor>
  <xdr:oneCellAnchor>
    <xdr:from>
      <xdr:col>19</xdr:col>
      <xdr:colOff>9525</xdr:colOff>
      <xdr:row>25</xdr:row>
      <xdr:rowOff>123825</xdr:rowOff>
    </xdr:from>
    <xdr:ext cx="5819775" cy="5095875"/>
    <xdr:pic>
      <xdr:nvPicPr>
        <xdr:cNvPr id="105" name="image6.png">
          <a:extLst>
            <a:ext uri="{FF2B5EF4-FFF2-40B4-BE49-F238E27FC236}">
              <a16:creationId xmlns:a16="http://schemas.microsoft.com/office/drawing/2014/main" id="{18DDB7F7-B616-4A3F-A7A9-3AE54D52AF9B}"/>
            </a:ext>
          </a:extLst>
        </xdr:cNvPr>
        <xdr:cNvPicPr preferRelativeResize="0"/>
      </xdr:nvPicPr>
      <xdr:blipFill>
        <a:blip xmlns:r="http://schemas.openxmlformats.org/officeDocument/2006/relationships" r:embed="rId6" cstate="print"/>
        <a:stretch>
          <a:fillRect/>
        </a:stretch>
      </xdr:blipFill>
      <xdr:spPr>
        <a:xfrm>
          <a:off x="22427565" y="4505325"/>
          <a:ext cx="5819775" cy="5095875"/>
        </a:xfrm>
        <a:prstGeom prst="rect">
          <a:avLst/>
        </a:prstGeom>
        <a:noFill/>
      </xdr:spPr>
    </xdr:pic>
    <xdr:clientData fLocksWithSheet="0"/>
  </xdr:oneCellAnchor>
  <xdr:oneCellAnchor>
    <xdr:from>
      <xdr:col>30</xdr:col>
      <xdr:colOff>85725</xdr:colOff>
      <xdr:row>25</xdr:row>
      <xdr:rowOff>104775</xdr:rowOff>
    </xdr:from>
    <xdr:ext cx="5743575" cy="3933825"/>
    <xdr:pic>
      <xdr:nvPicPr>
        <xdr:cNvPr id="106" name="image9.png">
          <a:extLst>
            <a:ext uri="{FF2B5EF4-FFF2-40B4-BE49-F238E27FC236}">
              <a16:creationId xmlns:a16="http://schemas.microsoft.com/office/drawing/2014/main" id="{922BA984-2DE5-4525-95BA-E49CFAC4D10E}"/>
            </a:ext>
          </a:extLst>
        </xdr:cNvPr>
        <xdr:cNvPicPr preferRelativeResize="0"/>
      </xdr:nvPicPr>
      <xdr:blipFill>
        <a:blip xmlns:r="http://schemas.openxmlformats.org/officeDocument/2006/relationships" r:embed="rId7" cstate="print"/>
        <a:stretch>
          <a:fillRect/>
        </a:stretch>
      </xdr:blipFill>
      <xdr:spPr>
        <a:xfrm>
          <a:off x="29125545" y="4486275"/>
          <a:ext cx="5743575" cy="3933825"/>
        </a:xfrm>
        <a:prstGeom prst="rect">
          <a:avLst/>
        </a:prstGeom>
        <a:noFill/>
      </xdr:spPr>
    </xdr:pic>
    <xdr:clientData fLocksWithSheet="0"/>
  </xdr:oneCellAnchor>
  <xdr:oneCellAnchor>
    <xdr:from>
      <xdr:col>19</xdr:col>
      <xdr:colOff>533400</xdr:colOff>
      <xdr:row>37</xdr:row>
      <xdr:rowOff>104775</xdr:rowOff>
    </xdr:from>
    <xdr:ext cx="7038975" cy="2381250"/>
    <xdr:pic>
      <xdr:nvPicPr>
        <xdr:cNvPr id="107" name="image5.png">
          <a:extLst>
            <a:ext uri="{FF2B5EF4-FFF2-40B4-BE49-F238E27FC236}">
              <a16:creationId xmlns:a16="http://schemas.microsoft.com/office/drawing/2014/main" id="{7B5D59FC-4699-4D16-8593-D284A2429D5A}"/>
            </a:ext>
          </a:extLst>
        </xdr:cNvPr>
        <xdr:cNvPicPr preferRelativeResize="0"/>
      </xdr:nvPicPr>
      <xdr:blipFill>
        <a:blip xmlns:r="http://schemas.openxmlformats.org/officeDocument/2006/relationships" r:embed="rId8" cstate="print"/>
        <a:stretch>
          <a:fillRect/>
        </a:stretch>
      </xdr:blipFill>
      <xdr:spPr>
        <a:xfrm>
          <a:off x="22951440" y="6589395"/>
          <a:ext cx="7038975" cy="2381250"/>
        </a:xfrm>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dr:twoCellAnchor editAs="oneCell">
    <xdr:from>
      <xdr:col>10</xdr:col>
      <xdr:colOff>419100</xdr:colOff>
      <xdr:row>1</xdr:row>
      <xdr:rowOff>38100</xdr:rowOff>
    </xdr:from>
    <xdr:to>
      <xdr:col>13</xdr:col>
      <xdr:colOff>95250</xdr:colOff>
      <xdr:row>7</xdr:row>
      <xdr:rowOff>152400</xdr:rowOff>
    </xdr:to>
    <xdr:pic>
      <xdr:nvPicPr>
        <xdr:cNvPr id="2" name="Picture 1">
          <a:extLst>
            <a:ext uri="{FF2B5EF4-FFF2-40B4-BE49-F238E27FC236}">
              <a16:creationId xmlns:a16="http://schemas.microsoft.com/office/drawing/2014/main" id="{D3238F1E-04E6-4DEB-BE66-682795A8734B}"/>
            </a:ext>
          </a:extLst>
        </xdr:cNvPr>
        <xdr:cNvPicPr>
          <a:picLocks noChangeAspect="1"/>
        </xdr:cNvPicPr>
      </xdr:nvPicPr>
      <xdr:blipFill>
        <a:blip xmlns:r="http://schemas.openxmlformats.org/officeDocument/2006/relationships" r:embed="rId1"/>
        <a:stretch>
          <a:fillRect/>
        </a:stretch>
      </xdr:blipFill>
      <xdr:spPr>
        <a:xfrm>
          <a:off x="10142220" y="213360"/>
          <a:ext cx="1459230" cy="116586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oneCellAnchor>
    <xdr:from>
      <xdr:col>6</xdr:col>
      <xdr:colOff>600075</xdr:colOff>
      <xdr:row>93</xdr:row>
      <xdr:rowOff>-19050</xdr:rowOff>
    </xdr:from>
    <xdr:ext cx="6553200" cy="1800225"/>
    <xdr:sp macro="" textlink="">
      <xdr:nvSpPr>
        <xdr:cNvPr id="2" name="Shape 20">
          <a:extLst>
            <a:ext uri="{FF2B5EF4-FFF2-40B4-BE49-F238E27FC236}">
              <a16:creationId xmlns:a16="http://schemas.microsoft.com/office/drawing/2014/main" id="{8E8988C7-8CF8-4505-B010-C788894AFCD9}"/>
            </a:ext>
          </a:extLst>
        </xdr:cNvPr>
        <xdr:cNvSpPr/>
      </xdr:nvSpPr>
      <xdr:spPr>
        <a:xfrm>
          <a:off x="9911715" y="16470630"/>
          <a:ext cx="6553200" cy="1800225"/>
        </a:xfrm>
        <a:prstGeom prst="ellipse">
          <a:avLst/>
        </a:prstGeom>
        <a:noFill/>
        <a:ln w="38100" cap="flat" cmpd="sng">
          <a:solidFill>
            <a:srgbClr val="31538F"/>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xdr:col>
      <xdr:colOff>1057275</xdr:colOff>
      <xdr:row>93</xdr:row>
      <xdr:rowOff>66675</xdr:rowOff>
    </xdr:from>
    <xdr:ext cx="6477000" cy="342900"/>
    <xdr:grpSp>
      <xdr:nvGrpSpPr>
        <xdr:cNvPr id="3" name="Shape 2">
          <a:extLst>
            <a:ext uri="{FF2B5EF4-FFF2-40B4-BE49-F238E27FC236}">
              <a16:creationId xmlns:a16="http://schemas.microsoft.com/office/drawing/2014/main" id="{34840040-88CC-44E3-B520-84AFA070595C}"/>
            </a:ext>
          </a:extLst>
        </xdr:cNvPr>
        <xdr:cNvGrpSpPr/>
      </xdr:nvGrpSpPr>
      <xdr:grpSpPr>
        <a:xfrm>
          <a:off x="2084691" y="16188540"/>
          <a:ext cx="6477000" cy="342900"/>
          <a:chOff x="2107500" y="3608550"/>
          <a:chExt cx="6477001" cy="342900"/>
        </a:xfrm>
      </xdr:grpSpPr>
      <xdr:grpSp>
        <xdr:nvGrpSpPr>
          <xdr:cNvPr id="4" name="Shape 21">
            <a:extLst>
              <a:ext uri="{FF2B5EF4-FFF2-40B4-BE49-F238E27FC236}">
                <a16:creationId xmlns:a16="http://schemas.microsoft.com/office/drawing/2014/main" id="{528D6494-CCBE-9533-2769-8CAFB936F30F}"/>
              </a:ext>
            </a:extLst>
          </xdr:cNvPr>
          <xdr:cNvGrpSpPr/>
        </xdr:nvGrpSpPr>
        <xdr:grpSpPr>
          <a:xfrm>
            <a:off x="2107500" y="3608550"/>
            <a:ext cx="6477001" cy="342900"/>
            <a:chOff x="2107500" y="3608550"/>
            <a:chExt cx="6477001" cy="342900"/>
          </a:xfrm>
        </xdr:grpSpPr>
        <xdr:sp macro="" textlink="">
          <xdr:nvSpPr>
            <xdr:cNvPr id="5" name="Shape 4">
              <a:extLst>
                <a:ext uri="{FF2B5EF4-FFF2-40B4-BE49-F238E27FC236}">
                  <a16:creationId xmlns:a16="http://schemas.microsoft.com/office/drawing/2014/main" id="{75EE765A-E4B0-55B6-F5DD-3FE7688F46F4}"/>
                </a:ext>
              </a:extLst>
            </xdr:cNvPr>
            <xdr:cNvSpPr/>
          </xdr:nvSpPr>
          <xdr:spPr>
            <a:xfrm>
              <a:off x="2107500" y="3608550"/>
              <a:ext cx="6477000" cy="3429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 name="Shape 22">
              <a:extLst>
                <a:ext uri="{FF2B5EF4-FFF2-40B4-BE49-F238E27FC236}">
                  <a16:creationId xmlns:a16="http://schemas.microsoft.com/office/drawing/2014/main" id="{3F83C3A3-5510-9380-616E-EC5FB0252103}"/>
                </a:ext>
              </a:extLst>
            </xdr:cNvPr>
            <xdr:cNvGrpSpPr/>
          </xdr:nvGrpSpPr>
          <xdr:grpSpPr>
            <a:xfrm>
              <a:off x="2107500" y="3608550"/>
              <a:ext cx="6477001" cy="342900"/>
              <a:chOff x="2126550" y="3627600"/>
              <a:chExt cx="6438900" cy="304800"/>
            </a:xfrm>
          </xdr:grpSpPr>
          <xdr:sp macro="" textlink="">
            <xdr:nvSpPr>
              <xdr:cNvPr id="7" name="Shape 23">
                <a:extLst>
                  <a:ext uri="{FF2B5EF4-FFF2-40B4-BE49-F238E27FC236}">
                    <a16:creationId xmlns:a16="http://schemas.microsoft.com/office/drawing/2014/main" id="{F09D4D6E-C71C-0CA7-4189-7729FB026AE5}"/>
                  </a:ext>
                </a:extLst>
              </xdr:cNvPr>
              <xdr:cNvSpPr/>
            </xdr:nvSpPr>
            <xdr:spPr>
              <a:xfrm>
                <a:off x="2126550" y="3627600"/>
                <a:ext cx="6438900" cy="3048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8" name="Shape 24">
                <a:extLst>
                  <a:ext uri="{FF2B5EF4-FFF2-40B4-BE49-F238E27FC236}">
                    <a16:creationId xmlns:a16="http://schemas.microsoft.com/office/drawing/2014/main" id="{49BCEC7C-7C3B-4E57-E641-E2F9EF02D309}"/>
                  </a:ext>
                </a:extLst>
              </xdr:cNvPr>
              <xdr:cNvCxnSpPr/>
            </xdr:nvCxnSpPr>
            <xdr:spPr>
              <a:xfrm rot="10800000">
                <a:off x="2126550" y="3627600"/>
                <a:ext cx="6438900" cy="304800"/>
              </a:xfrm>
              <a:prstGeom prst="straightConnector1">
                <a:avLst/>
              </a:prstGeom>
              <a:noFill/>
              <a:ln w="38100" cap="flat" cmpd="sng">
                <a:solidFill>
                  <a:schemeClr val="accent1"/>
                </a:solidFill>
                <a:prstDash val="solid"/>
                <a:miter lim="800000"/>
                <a:headEnd type="none" w="sm" len="sm"/>
                <a:tailEnd type="triangle" w="med" len="med"/>
              </a:ln>
            </xdr:spPr>
          </xdr:cxnSp>
        </xdr:grpSp>
      </xdr:grpSp>
    </xdr:grpSp>
    <xdr:clientData fLocksWithSheet="0"/>
  </xdr:oneCellAnchor>
  <xdr:oneCellAnchor>
    <xdr:from>
      <xdr:col>10</xdr:col>
      <xdr:colOff>38100</xdr:colOff>
      <xdr:row>101</xdr:row>
      <xdr:rowOff>123825</xdr:rowOff>
    </xdr:from>
    <xdr:ext cx="1476375" cy="457200"/>
    <xdr:sp macro="" textlink="">
      <xdr:nvSpPr>
        <xdr:cNvPr id="9" name="Shape 25">
          <a:extLst>
            <a:ext uri="{FF2B5EF4-FFF2-40B4-BE49-F238E27FC236}">
              <a16:creationId xmlns:a16="http://schemas.microsoft.com/office/drawing/2014/main" id="{3FD2810B-75A7-43AB-92F1-2C13D7370F51}"/>
            </a:ext>
          </a:extLst>
        </xdr:cNvPr>
        <xdr:cNvSpPr/>
      </xdr:nvSpPr>
      <xdr:spPr>
        <a:xfrm rot="10800000" flipH="1">
          <a:off x="12451080" y="18015585"/>
          <a:ext cx="1476375" cy="457200"/>
        </a:xfrm>
        <a:prstGeom prst="ellipse">
          <a:avLst/>
        </a:prstGeom>
        <a:noFill/>
        <a:ln w="38100" cap="flat" cmpd="sng">
          <a:solidFill>
            <a:srgbClr val="517E33"/>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5</xdr:col>
      <xdr:colOff>361950</xdr:colOff>
      <xdr:row>95</xdr:row>
      <xdr:rowOff>95250</xdr:rowOff>
    </xdr:from>
    <xdr:ext cx="3619500" cy="1362075"/>
    <xdr:grpSp>
      <xdr:nvGrpSpPr>
        <xdr:cNvPr id="10" name="Shape 2">
          <a:extLst>
            <a:ext uri="{FF2B5EF4-FFF2-40B4-BE49-F238E27FC236}">
              <a16:creationId xmlns:a16="http://schemas.microsoft.com/office/drawing/2014/main" id="{AEE53705-47B1-421B-8A70-E2C03D87C144}"/>
            </a:ext>
          </a:extLst>
        </xdr:cNvPr>
        <xdr:cNvGrpSpPr/>
      </xdr:nvGrpSpPr>
      <xdr:grpSpPr>
        <a:xfrm>
          <a:off x="8803883" y="16559587"/>
          <a:ext cx="3619500" cy="1362075"/>
          <a:chOff x="3536250" y="3098963"/>
          <a:chExt cx="3619500" cy="1362075"/>
        </a:xfrm>
      </xdr:grpSpPr>
      <xdr:grpSp>
        <xdr:nvGrpSpPr>
          <xdr:cNvPr id="11" name="Shape 26">
            <a:extLst>
              <a:ext uri="{FF2B5EF4-FFF2-40B4-BE49-F238E27FC236}">
                <a16:creationId xmlns:a16="http://schemas.microsoft.com/office/drawing/2014/main" id="{45379D55-ED83-91F3-B797-4CC66E41553F}"/>
              </a:ext>
            </a:extLst>
          </xdr:cNvPr>
          <xdr:cNvGrpSpPr/>
        </xdr:nvGrpSpPr>
        <xdr:grpSpPr>
          <a:xfrm>
            <a:off x="3536250" y="3098963"/>
            <a:ext cx="3619500" cy="1362075"/>
            <a:chOff x="3536250" y="3098963"/>
            <a:chExt cx="3619500" cy="1362075"/>
          </a:xfrm>
        </xdr:grpSpPr>
        <xdr:sp macro="" textlink="">
          <xdr:nvSpPr>
            <xdr:cNvPr id="12" name="Shape 4">
              <a:extLst>
                <a:ext uri="{FF2B5EF4-FFF2-40B4-BE49-F238E27FC236}">
                  <a16:creationId xmlns:a16="http://schemas.microsoft.com/office/drawing/2014/main" id="{2F4DB974-AB57-E2CC-C549-0B44EE0E215D}"/>
                </a:ext>
              </a:extLst>
            </xdr:cNvPr>
            <xdr:cNvSpPr/>
          </xdr:nvSpPr>
          <xdr:spPr>
            <a:xfrm>
              <a:off x="3536250" y="3098963"/>
              <a:ext cx="3619500" cy="13620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13" name="Shape 27">
              <a:extLst>
                <a:ext uri="{FF2B5EF4-FFF2-40B4-BE49-F238E27FC236}">
                  <a16:creationId xmlns:a16="http://schemas.microsoft.com/office/drawing/2014/main" id="{6AD739E2-279A-E28C-4E49-D92FE5837B4B}"/>
                </a:ext>
              </a:extLst>
            </xdr:cNvPr>
            <xdr:cNvGrpSpPr/>
          </xdr:nvGrpSpPr>
          <xdr:grpSpPr>
            <a:xfrm>
              <a:off x="3536250" y="3098963"/>
              <a:ext cx="3619500" cy="1362075"/>
              <a:chOff x="3555300" y="3118088"/>
              <a:chExt cx="3581400" cy="1323900"/>
            </a:xfrm>
          </xdr:grpSpPr>
          <xdr:sp macro="" textlink="">
            <xdr:nvSpPr>
              <xdr:cNvPr id="14" name="Shape 28">
                <a:extLst>
                  <a:ext uri="{FF2B5EF4-FFF2-40B4-BE49-F238E27FC236}">
                    <a16:creationId xmlns:a16="http://schemas.microsoft.com/office/drawing/2014/main" id="{B6B9F595-7394-F6F3-0C3F-05FA2E94F641}"/>
                  </a:ext>
                </a:extLst>
              </xdr:cNvPr>
              <xdr:cNvSpPr/>
            </xdr:nvSpPr>
            <xdr:spPr>
              <a:xfrm>
                <a:off x="3555300" y="3118088"/>
                <a:ext cx="3581400" cy="13239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15" name="Shape 29">
                <a:extLst>
                  <a:ext uri="{FF2B5EF4-FFF2-40B4-BE49-F238E27FC236}">
                    <a16:creationId xmlns:a16="http://schemas.microsoft.com/office/drawing/2014/main" id="{A73B3B24-4FEA-B7E8-7C28-52CC93CB0131}"/>
                  </a:ext>
                </a:extLst>
              </xdr:cNvPr>
              <xdr:cNvCxnSpPr>
                <a:stCxn id="54" idx="2"/>
              </xdr:cNvCxnSpPr>
            </xdr:nvCxnSpPr>
            <xdr:spPr>
              <a:xfrm rot="10800000">
                <a:off x="3555300" y="3118088"/>
                <a:ext cx="3581400" cy="1323900"/>
              </a:xfrm>
              <a:prstGeom prst="straightConnector1">
                <a:avLst/>
              </a:prstGeom>
              <a:noFill/>
              <a:ln w="38100" cap="flat" cmpd="sng">
                <a:solidFill>
                  <a:schemeClr val="accent6"/>
                </a:solidFill>
                <a:prstDash val="solid"/>
                <a:miter lim="800000"/>
                <a:headEnd type="none" w="sm" len="sm"/>
                <a:tailEnd type="triangle" w="med" len="med"/>
              </a:ln>
            </xdr:spPr>
          </xdr:cxnSp>
        </xdr:grpSp>
      </xdr:grpSp>
    </xdr:grpSp>
    <xdr:clientData fLocksWithSheet="0"/>
  </xdr:oneCellAnchor>
  <xdr:oneCellAnchor>
    <xdr:from>
      <xdr:col>9</xdr:col>
      <xdr:colOff>571500</xdr:colOff>
      <xdr:row>103</xdr:row>
      <xdr:rowOff>47625</xdr:rowOff>
    </xdr:from>
    <xdr:ext cx="2066925" cy="419100"/>
    <xdr:sp macro="" textlink="">
      <xdr:nvSpPr>
        <xdr:cNvPr id="16" name="Shape 30">
          <a:extLst>
            <a:ext uri="{FF2B5EF4-FFF2-40B4-BE49-F238E27FC236}">
              <a16:creationId xmlns:a16="http://schemas.microsoft.com/office/drawing/2014/main" id="{995D774F-A4BA-43AF-A2EC-9A9DE1DF90CA}"/>
            </a:ext>
          </a:extLst>
        </xdr:cNvPr>
        <xdr:cNvSpPr/>
      </xdr:nvSpPr>
      <xdr:spPr>
        <a:xfrm rot="10800000" flipH="1">
          <a:off x="12184380" y="18289905"/>
          <a:ext cx="2066925" cy="419100"/>
        </a:xfrm>
        <a:prstGeom prst="ellipse">
          <a:avLst/>
        </a:prstGeom>
        <a:noFill/>
        <a:ln w="38100" cap="flat" cmpd="sng">
          <a:solidFill>
            <a:srgbClr val="BA8C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180975</xdr:colOff>
      <xdr:row>97</xdr:row>
      <xdr:rowOff>104775</xdr:rowOff>
    </xdr:from>
    <xdr:ext cx="4200525" cy="1276350"/>
    <xdr:grpSp>
      <xdr:nvGrpSpPr>
        <xdr:cNvPr id="17" name="Shape 2">
          <a:extLst>
            <a:ext uri="{FF2B5EF4-FFF2-40B4-BE49-F238E27FC236}">
              <a16:creationId xmlns:a16="http://schemas.microsoft.com/office/drawing/2014/main" id="{78E24AC3-48E2-492B-8657-692C624B2201}"/>
            </a:ext>
          </a:extLst>
        </xdr:cNvPr>
        <xdr:cNvGrpSpPr/>
      </xdr:nvGrpSpPr>
      <xdr:grpSpPr>
        <a:xfrm>
          <a:off x="7903717" y="16911584"/>
          <a:ext cx="4200525" cy="1276350"/>
          <a:chOff x="3245738" y="3141825"/>
          <a:chExt cx="4200526" cy="1276350"/>
        </a:xfrm>
      </xdr:grpSpPr>
      <xdr:grpSp>
        <xdr:nvGrpSpPr>
          <xdr:cNvPr id="18" name="Shape 31">
            <a:extLst>
              <a:ext uri="{FF2B5EF4-FFF2-40B4-BE49-F238E27FC236}">
                <a16:creationId xmlns:a16="http://schemas.microsoft.com/office/drawing/2014/main" id="{E1C3E266-030F-BB45-F747-146D1B2647C9}"/>
              </a:ext>
            </a:extLst>
          </xdr:cNvPr>
          <xdr:cNvGrpSpPr/>
        </xdr:nvGrpSpPr>
        <xdr:grpSpPr>
          <a:xfrm>
            <a:off x="3245738" y="3141825"/>
            <a:ext cx="4200526" cy="1276350"/>
            <a:chOff x="3245738" y="3141825"/>
            <a:chExt cx="4200526" cy="1276350"/>
          </a:xfrm>
        </xdr:grpSpPr>
        <xdr:sp macro="" textlink="">
          <xdr:nvSpPr>
            <xdr:cNvPr id="19" name="Shape 4">
              <a:extLst>
                <a:ext uri="{FF2B5EF4-FFF2-40B4-BE49-F238E27FC236}">
                  <a16:creationId xmlns:a16="http://schemas.microsoft.com/office/drawing/2014/main" id="{AF80C2C8-C8D2-9BF3-6F01-F50FBD223634}"/>
                </a:ext>
              </a:extLst>
            </xdr:cNvPr>
            <xdr:cNvSpPr/>
          </xdr:nvSpPr>
          <xdr:spPr>
            <a:xfrm>
              <a:off x="3245738" y="3141825"/>
              <a:ext cx="4200525" cy="12763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20" name="Shape 32">
              <a:extLst>
                <a:ext uri="{FF2B5EF4-FFF2-40B4-BE49-F238E27FC236}">
                  <a16:creationId xmlns:a16="http://schemas.microsoft.com/office/drawing/2014/main" id="{8B42031D-4EE7-943C-DCFE-2DC1E502CADC}"/>
                </a:ext>
              </a:extLst>
            </xdr:cNvPr>
            <xdr:cNvGrpSpPr/>
          </xdr:nvGrpSpPr>
          <xdr:grpSpPr>
            <a:xfrm>
              <a:off x="3245738" y="3141825"/>
              <a:ext cx="4200525" cy="1276350"/>
              <a:chOff x="3264788" y="3156113"/>
              <a:chExt cx="4162425" cy="1247775"/>
            </a:xfrm>
          </xdr:grpSpPr>
          <xdr:sp macro="" textlink="">
            <xdr:nvSpPr>
              <xdr:cNvPr id="21" name="Shape 33">
                <a:extLst>
                  <a:ext uri="{FF2B5EF4-FFF2-40B4-BE49-F238E27FC236}">
                    <a16:creationId xmlns:a16="http://schemas.microsoft.com/office/drawing/2014/main" id="{29F0E148-42D1-B309-F42B-6FAB032AE1DE}"/>
                  </a:ext>
                </a:extLst>
              </xdr:cNvPr>
              <xdr:cNvSpPr/>
            </xdr:nvSpPr>
            <xdr:spPr>
              <a:xfrm>
                <a:off x="3264788" y="3156113"/>
                <a:ext cx="4162425" cy="12477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22" name="Shape 34">
                <a:extLst>
                  <a:ext uri="{FF2B5EF4-FFF2-40B4-BE49-F238E27FC236}">
                    <a16:creationId xmlns:a16="http://schemas.microsoft.com/office/drawing/2014/main" id="{BA54FCF3-D25C-C958-C366-CDB9A0A2A74F}"/>
                  </a:ext>
                </a:extLst>
              </xdr:cNvPr>
              <xdr:cNvCxnSpPr/>
            </xdr:nvCxnSpPr>
            <xdr:spPr>
              <a:xfrm rot="10800000">
                <a:off x="3264788" y="3156113"/>
                <a:ext cx="4162425" cy="1247775"/>
              </a:xfrm>
              <a:prstGeom prst="straightConnector1">
                <a:avLst/>
              </a:prstGeom>
              <a:noFill/>
              <a:ln w="38100" cap="flat" cmpd="sng">
                <a:solidFill>
                  <a:schemeClr val="accent4"/>
                </a:solidFill>
                <a:prstDash val="solid"/>
                <a:miter lim="800000"/>
                <a:headEnd type="none" w="sm" len="sm"/>
                <a:tailEnd type="triangle" w="med" len="med"/>
              </a:ln>
            </xdr:spPr>
          </xdr:cxnSp>
        </xdr:grpSp>
      </xdr:grpSp>
    </xdr:grpSp>
    <xdr:clientData fLocksWithSheet="0"/>
  </xdr:oneCellAnchor>
  <xdr:oneCellAnchor>
    <xdr:from>
      <xdr:col>9</xdr:col>
      <xdr:colOff>600075</xdr:colOff>
      <xdr:row>105</xdr:row>
      <xdr:rowOff>-38100</xdr:rowOff>
    </xdr:from>
    <xdr:ext cx="2076450" cy="428625"/>
    <xdr:sp macro="" textlink="">
      <xdr:nvSpPr>
        <xdr:cNvPr id="23" name="Shape 35">
          <a:extLst>
            <a:ext uri="{FF2B5EF4-FFF2-40B4-BE49-F238E27FC236}">
              <a16:creationId xmlns:a16="http://schemas.microsoft.com/office/drawing/2014/main" id="{AFCDBAFC-C6E7-4A14-AADC-25C27886E137}"/>
            </a:ext>
          </a:extLst>
        </xdr:cNvPr>
        <xdr:cNvSpPr/>
      </xdr:nvSpPr>
      <xdr:spPr>
        <a:xfrm rot="10800000" flipH="1">
          <a:off x="12212955" y="18554700"/>
          <a:ext cx="2076450" cy="428625"/>
        </a:xfrm>
        <a:prstGeom prst="ellipse">
          <a:avLst/>
        </a:prstGeom>
        <a:noFill/>
        <a:ln w="38100" cap="flat" cmpd="sng">
          <a:solidFill>
            <a:schemeClr val="dk1"/>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66675</xdr:colOff>
      <xdr:row>99</xdr:row>
      <xdr:rowOff>95250</xdr:rowOff>
    </xdr:from>
    <xdr:ext cx="4381500" cy="1200150"/>
    <xdr:grpSp>
      <xdr:nvGrpSpPr>
        <xdr:cNvPr id="24" name="Shape 2">
          <a:extLst>
            <a:ext uri="{FF2B5EF4-FFF2-40B4-BE49-F238E27FC236}">
              <a16:creationId xmlns:a16="http://schemas.microsoft.com/office/drawing/2014/main" id="{1F545AB9-28F7-487B-81DB-B1849370D376}"/>
            </a:ext>
          </a:extLst>
        </xdr:cNvPr>
        <xdr:cNvGrpSpPr/>
      </xdr:nvGrpSpPr>
      <xdr:grpSpPr>
        <a:xfrm>
          <a:off x="7789417" y="17244531"/>
          <a:ext cx="4381500" cy="1200150"/>
          <a:chOff x="3155250" y="3179925"/>
          <a:chExt cx="4381500" cy="1200150"/>
        </a:xfrm>
      </xdr:grpSpPr>
      <xdr:grpSp>
        <xdr:nvGrpSpPr>
          <xdr:cNvPr id="25" name="Shape 36">
            <a:extLst>
              <a:ext uri="{FF2B5EF4-FFF2-40B4-BE49-F238E27FC236}">
                <a16:creationId xmlns:a16="http://schemas.microsoft.com/office/drawing/2014/main" id="{C1AFD066-2235-911C-ED20-83A1BD701BA8}"/>
              </a:ext>
            </a:extLst>
          </xdr:cNvPr>
          <xdr:cNvGrpSpPr/>
        </xdr:nvGrpSpPr>
        <xdr:grpSpPr>
          <a:xfrm>
            <a:off x="3155250" y="3179925"/>
            <a:ext cx="4381500" cy="1200150"/>
            <a:chOff x="3155250" y="3179925"/>
            <a:chExt cx="4381500" cy="1200150"/>
          </a:xfrm>
        </xdr:grpSpPr>
        <xdr:sp macro="" textlink="">
          <xdr:nvSpPr>
            <xdr:cNvPr id="26" name="Shape 4">
              <a:extLst>
                <a:ext uri="{FF2B5EF4-FFF2-40B4-BE49-F238E27FC236}">
                  <a16:creationId xmlns:a16="http://schemas.microsoft.com/office/drawing/2014/main" id="{ABE92A81-C452-73EF-B80C-A4691F873735}"/>
                </a:ext>
              </a:extLst>
            </xdr:cNvPr>
            <xdr:cNvSpPr/>
          </xdr:nvSpPr>
          <xdr:spPr>
            <a:xfrm>
              <a:off x="3155250" y="3179925"/>
              <a:ext cx="4381500" cy="1200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27" name="Shape 37">
              <a:extLst>
                <a:ext uri="{FF2B5EF4-FFF2-40B4-BE49-F238E27FC236}">
                  <a16:creationId xmlns:a16="http://schemas.microsoft.com/office/drawing/2014/main" id="{92228DF4-60AF-F5F0-4FE9-2440E3AF13DA}"/>
                </a:ext>
              </a:extLst>
            </xdr:cNvPr>
            <xdr:cNvGrpSpPr/>
          </xdr:nvGrpSpPr>
          <xdr:grpSpPr>
            <a:xfrm>
              <a:off x="3155250" y="3179925"/>
              <a:ext cx="4381500" cy="1200150"/>
              <a:chOff x="3174300" y="3199125"/>
              <a:chExt cx="4343400" cy="1161900"/>
            </a:xfrm>
          </xdr:grpSpPr>
          <xdr:sp macro="" textlink="">
            <xdr:nvSpPr>
              <xdr:cNvPr id="28" name="Shape 38">
                <a:extLst>
                  <a:ext uri="{FF2B5EF4-FFF2-40B4-BE49-F238E27FC236}">
                    <a16:creationId xmlns:a16="http://schemas.microsoft.com/office/drawing/2014/main" id="{5B6E0702-823D-26C0-BC29-350C678311F2}"/>
                  </a:ext>
                </a:extLst>
              </xdr:cNvPr>
              <xdr:cNvSpPr/>
            </xdr:nvSpPr>
            <xdr:spPr>
              <a:xfrm>
                <a:off x="3174300" y="3199125"/>
                <a:ext cx="4343400" cy="11619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29" name="Shape 39">
                <a:extLst>
                  <a:ext uri="{FF2B5EF4-FFF2-40B4-BE49-F238E27FC236}">
                    <a16:creationId xmlns:a16="http://schemas.microsoft.com/office/drawing/2014/main" id="{6F0174A6-3D84-C6C4-10E1-9A93756334B2}"/>
                  </a:ext>
                </a:extLst>
              </xdr:cNvPr>
              <xdr:cNvCxnSpPr>
                <a:stCxn id="23" idx="2"/>
              </xdr:cNvCxnSpPr>
            </xdr:nvCxnSpPr>
            <xdr:spPr>
              <a:xfrm rot="10800000">
                <a:off x="3174300" y="3199125"/>
                <a:ext cx="4343400" cy="1161900"/>
              </a:xfrm>
              <a:prstGeom prst="straightConnector1">
                <a:avLst/>
              </a:prstGeom>
              <a:noFill/>
              <a:ln w="38100" cap="flat" cmpd="sng">
                <a:solidFill>
                  <a:schemeClr val="dk1"/>
                </a:solidFill>
                <a:prstDash val="solid"/>
                <a:miter lim="800000"/>
                <a:headEnd type="none" w="sm" len="sm"/>
                <a:tailEnd type="triangle" w="med" len="med"/>
              </a:ln>
            </xdr:spPr>
          </xdr:cxnSp>
        </xdr:grpSp>
      </xdr:grpSp>
    </xdr:grpSp>
    <xdr:clientData fLocksWithSheet="0"/>
  </xdr:oneCellAnchor>
  <xdr:oneCellAnchor>
    <xdr:from>
      <xdr:col>5</xdr:col>
      <xdr:colOff>352425</xdr:colOff>
      <xdr:row>109</xdr:row>
      <xdr:rowOff>66675</xdr:rowOff>
    </xdr:from>
    <xdr:ext cx="1524000" cy="552450"/>
    <xdr:sp macro="" textlink="">
      <xdr:nvSpPr>
        <xdr:cNvPr id="30" name="Shape 40">
          <a:extLst>
            <a:ext uri="{FF2B5EF4-FFF2-40B4-BE49-F238E27FC236}">
              <a16:creationId xmlns:a16="http://schemas.microsoft.com/office/drawing/2014/main" id="{B6BD4889-D138-4CE3-ACA6-26042C8596DA}"/>
            </a:ext>
          </a:extLst>
        </xdr:cNvPr>
        <xdr:cNvSpPr/>
      </xdr:nvSpPr>
      <xdr:spPr>
        <a:xfrm>
          <a:off x="8803005" y="19360515"/>
          <a:ext cx="1524000" cy="552450"/>
        </a:xfrm>
        <a:prstGeom prst="ellipse">
          <a:avLst/>
        </a:prstGeom>
        <a:noFill/>
        <a:ln w="38100" cap="flat" cmpd="sng">
          <a:solidFill>
            <a:srgbClr val="AC5B23"/>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57150</xdr:colOff>
      <xdr:row>101</xdr:row>
      <xdr:rowOff>66675</xdr:rowOff>
    </xdr:from>
    <xdr:ext cx="1066800" cy="1752600"/>
    <xdr:grpSp>
      <xdr:nvGrpSpPr>
        <xdr:cNvPr id="31" name="Shape 2">
          <a:extLst>
            <a:ext uri="{FF2B5EF4-FFF2-40B4-BE49-F238E27FC236}">
              <a16:creationId xmlns:a16="http://schemas.microsoft.com/office/drawing/2014/main" id="{4B1A6139-39D1-421E-A71D-5DB5AF958690}"/>
            </a:ext>
          </a:extLst>
        </xdr:cNvPr>
        <xdr:cNvGrpSpPr/>
      </xdr:nvGrpSpPr>
      <xdr:grpSpPr>
        <a:xfrm>
          <a:off x="7779892" y="17558428"/>
          <a:ext cx="1066800" cy="1752600"/>
          <a:chOff x="4812600" y="2903700"/>
          <a:chExt cx="1066800" cy="1752600"/>
        </a:xfrm>
      </xdr:grpSpPr>
      <xdr:grpSp>
        <xdr:nvGrpSpPr>
          <xdr:cNvPr id="32" name="Shape 41">
            <a:extLst>
              <a:ext uri="{FF2B5EF4-FFF2-40B4-BE49-F238E27FC236}">
                <a16:creationId xmlns:a16="http://schemas.microsoft.com/office/drawing/2014/main" id="{6A916FBF-5C8C-1043-84F7-6643B7F0EDBC}"/>
              </a:ext>
            </a:extLst>
          </xdr:cNvPr>
          <xdr:cNvGrpSpPr/>
        </xdr:nvGrpSpPr>
        <xdr:grpSpPr>
          <a:xfrm>
            <a:off x="4812600" y="2903700"/>
            <a:ext cx="1066800" cy="1752600"/>
            <a:chOff x="4812600" y="2903700"/>
            <a:chExt cx="1066800" cy="1752600"/>
          </a:xfrm>
        </xdr:grpSpPr>
        <xdr:sp macro="" textlink="">
          <xdr:nvSpPr>
            <xdr:cNvPr id="33" name="Shape 4">
              <a:extLst>
                <a:ext uri="{FF2B5EF4-FFF2-40B4-BE49-F238E27FC236}">
                  <a16:creationId xmlns:a16="http://schemas.microsoft.com/office/drawing/2014/main" id="{14756EDB-28C1-69FF-9F6E-4D0054132554}"/>
                </a:ext>
              </a:extLst>
            </xdr:cNvPr>
            <xdr:cNvSpPr/>
          </xdr:nvSpPr>
          <xdr:spPr>
            <a:xfrm>
              <a:off x="4812600" y="2903700"/>
              <a:ext cx="1066800" cy="1752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34" name="Shape 42">
              <a:extLst>
                <a:ext uri="{FF2B5EF4-FFF2-40B4-BE49-F238E27FC236}">
                  <a16:creationId xmlns:a16="http://schemas.microsoft.com/office/drawing/2014/main" id="{6CA00CF9-BA79-0D66-66B9-9A747522547E}"/>
                </a:ext>
              </a:extLst>
            </xdr:cNvPr>
            <xdr:cNvGrpSpPr/>
          </xdr:nvGrpSpPr>
          <xdr:grpSpPr>
            <a:xfrm>
              <a:off x="4812600" y="2903700"/>
              <a:ext cx="1066800" cy="1752600"/>
              <a:chOff x="4831650" y="2922750"/>
              <a:chExt cx="1028700" cy="1714500"/>
            </a:xfrm>
          </xdr:grpSpPr>
          <xdr:sp macro="" textlink="">
            <xdr:nvSpPr>
              <xdr:cNvPr id="35" name="Shape 43">
                <a:extLst>
                  <a:ext uri="{FF2B5EF4-FFF2-40B4-BE49-F238E27FC236}">
                    <a16:creationId xmlns:a16="http://schemas.microsoft.com/office/drawing/2014/main" id="{FA0C8F73-41D2-BE90-DB01-55A4AEF7C52E}"/>
                  </a:ext>
                </a:extLst>
              </xdr:cNvPr>
              <xdr:cNvSpPr/>
            </xdr:nvSpPr>
            <xdr:spPr>
              <a:xfrm>
                <a:off x="4831650" y="2922750"/>
                <a:ext cx="1028700" cy="17145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36" name="Shape 44">
                <a:extLst>
                  <a:ext uri="{FF2B5EF4-FFF2-40B4-BE49-F238E27FC236}">
                    <a16:creationId xmlns:a16="http://schemas.microsoft.com/office/drawing/2014/main" id="{5E74D54F-D03B-C040-0919-0E0D178196E7}"/>
                  </a:ext>
                </a:extLst>
              </xdr:cNvPr>
              <xdr:cNvCxnSpPr>
                <a:stCxn id="30" idx="2"/>
              </xdr:cNvCxnSpPr>
            </xdr:nvCxnSpPr>
            <xdr:spPr>
              <a:xfrm rot="10800000">
                <a:off x="4831650" y="2922750"/>
                <a:ext cx="1028700" cy="1714500"/>
              </a:xfrm>
              <a:prstGeom prst="straightConnector1">
                <a:avLst/>
              </a:prstGeom>
              <a:noFill/>
              <a:ln w="38100" cap="flat" cmpd="sng">
                <a:solidFill>
                  <a:schemeClr val="accent2"/>
                </a:solidFill>
                <a:prstDash val="solid"/>
                <a:miter lim="800000"/>
                <a:headEnd type="none" w="sm" len="sm"/>
                <a:tailEnd type="triangle" w="med" len="med"/>
              </a:ln>
            </xdr:spPr>
          </xdr:cxnSp>
        </xdr:grpSp>
      </xdr:grpSp>
    </xdr:grpSp>
    <xdr:clientData fLocksWithSheet="0"/>
  </xdr:oneCellAnchor>
  <xdr:oneCellAnchor>
    <xdr:from>
      <xdr:col>9</xdr:col>
      <xdr:colOff>638175</xdr:colOff>
      <xdr:row>109</xdr:row>
      <xdr:rowOff>28575</xdr:rowOff>
    </xdr:from>
    <xdr:ext cx="1104900" cy="581025"/>
    <xdr:sp macro="" textlink="">
      <xdr:nvSpPr>
        <xdr:cNvPr id="37" name="Shape 45">
          <a:extLst>
            <a:ext uri="{FF2B5EF4-FFF2-40B4-BE49-F238E27FC236}">
              <a16:creationId xmlns:a16="http://schemas.microsoft.com/office/drawing/2014/main" id="{D7C403DA-637E-441A-A385-354AC281E365}"/>
            </a:ext>
          </a:extLst>
        </xdr:cNvPr>
        <xdr:cNvSpPr/>
      </xdr:nvSpPr>
      <xdr:spPr>
        <a:xfrm>
          <a:off x="12251055" y="19322415"/>
          <a:ext cx="1104900" cy="581025"/>
        </a:xfrm>
        <a:prstGeom prst="ellipse">
          <a:avLst/>
        </a:prstGeom>
        <a:noFill/>
        <a:ln w="38100" cap="flat" cmpd="sng">
          <a:solidFill>
            <a:srgbClr val="FF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xdr:col>
      <xdr:colOff>2581275</xdr:colOff>
      <xdr:row>103</xdr:row>
      <xdr:rowOff>95250</xdr:rowOff>
    </xdr:from>
    <xdr:ext cx="6543675" cy="1352550"/>
    <xdr:grpSp>
      <xdr:nvGrpSpPr>
        <xdr:cNvPr id="38" name="Shape 2">
          <a:extLst>
            <a:ext uri="{FF2B5EF4-FFF2-40B4-BE49-F238E27FC236}">
              <a16:creationId xmlns:a16="http://schemas.microsoft.com/office/drawing/2014/main" id="{BA3A4873-B93F-4962-B94A-D825EE9E8138}"/>
            </a:ext>
          </a:extLst>
        </xdr:cNvPr>
        <xdr:cNvGrpSpPr/>
      </xdr:nvGrpSpPr>
      <xdr:grpSpPr>
        <a:xfrm>
          <a:off x="3608691" y="17929475"/>
          <a:ext cx="6543675" cy="1352550"/>
          <a:chOff x="2074163" y="3103725"/>
          <a:chExt cx="6543675" cy="1352550"/>
        </a:xfrm>
      </xdr:grpSpPr>
      <xdr:grpSp>
        <xdr:nvGrpSpPr>
          <xdr:cNvPr id="39" name="Shape 46">
            <a:extLst>
              <a:ext uri="{FF2B5EF4-FFF2-40B4-BE49-F238E27FC236}">
                <a16:creationId xmlns:a16="http://schemas.microsoft.com/office/drawing/2014/main" id="{F807F862-3296-4A85-7718-FF2FCF3D255C}"/>
              </a:ext>
            </a:extLst>
          </xdr:cNvPr>
          <xdr:cNvGrpSpPr/>
        </xdr:nvGrpSpPr>
        <xdr:grpSpPr>
          <a:xfrm>
            <a:off x="2074163" y="3103725"/>
            <a:ext cx="6543675" cy="1352550"/>
            <a:chOff x="2074163" y="3103725"/>
            <a:chExt cx="6543675" cy="1352550"/>
          </a:xfrm>
        </xdr:grpSpPr>
        <xdr:sp macro="" textlink="">
          <xdr:nvSpPr>
            <xdr:cNvPr id="40" name="Shape 4">
              <a:extLst>
                <a:ext uri="{FF2B5EF4-FFF2-40B4-BE49-F238E27FC236}">
                  <a16:creationId xmlns:a16="http://schemas.microsoft.com/office/drawing/2014/main" id="{2DB3DD0F-3159-01CC-931A-87DA0AA637B8}"/>
                </a:ext>
              </a:extLst>
            </xdr:cNvPr>
            <xdr:cNvSpPr/>
          </xdr:nvSpPr>
          <xdr:spPr>
            <a:xfrm>
              <a:off x="2074163" y="3103725"/>
              <a:ext cx="6543675" cy="13525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41" name="Shape 47">
              <a:extLst>
                <a:ext uri="{FF2B5EF4-FFF2-40B4-BE49-F238E27FC236}">
                  <a16:creationId xmlns:a16="http://schemas.microsoft.com/office/drawing/2014/main" id="{18B0B683-D1BC-AD7B-0673-E14263154EA8}"/>
                </a:ext>
              </a:extLst>
            </xdr:cNvPr>
            <xdr:cNvGrpSpPr/>
          </xdr:nvGrpSpPr>
          <xdr:grpSpPr>
            <a:xfrm>
              <a:off x="2074163" y="3103725"/>
              <a:ext cx="6543675" cy="1352550"/>
              <a:chOff x="2093213" y="3122775"/>
              <a:chExt cx="6505575" cy="1314450"/>
            </a:xfrm>
          </xdr:grpSpPr>
          <xdr:sp macro="" textlink="">
            <xdr:nvSpPr>
              <xdr:cNvPr id="42" name="Shape 48">
                <a:extLst>
                  <a:ext uri="{FF2B5EF4-FFF2-40B4-BE49-F238E27FC236}">
                    <a16:creationId xmlns:a16="http://schemas.microsoft.com/office/drawing/2014/main" id="{57F091C7-29A2-D69E-9C55-1B9F56F68452}"/>
                  </a:ext>
                </a:extLst>
              </xdr:cNvPr>
              <xdr:cNvSpPr/>
            </xdr:nvSpPr>
            <xdr:spPr>
              <a:xfrm>
                <a:off x="2093213" y="3122775"/>
                <a:ext cx="6505575" cy="13144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43" name="Shape 49">
                <a:extLst>
                  <a:ext uri="{FF2B5EF4-FFF2-40B4-BE49-F238E27FC236}">
                    <a16:creationId xmlns:a16="http://schemas.microsoft.com/office/drawing/2014/main" id="{EABA09E7-5C2C-60B2-164B-7559D7CEADE9}"/>
                  </a:ext>
                </a:extLst>
              </xdr:cNvPr>
              <xdr:cNvCxnSpPr/>
            </xdr:nvCxnSpPr>
            <xdr:spPr>
              <a:xfrm rot="10800000">
                <a:off x="2093213" y="3122775"/>
                <a:ext cx="6505575" cy="1314450"/>
              </a:xfrm>
              <a:prstGeom prst="straightConnector1">
                <a:avLst/>
              </a:prstGeom>
              <a:noFill/>
              <a:ln w="38100" cap="flat" cmpd="sng">
                <a:solidFill>
                  <a:srgbClr val="FF0000"/>
                </a:solidFill>
                <a:prstDash val="solid"/>
                <a:miter lim="800000"/>
                <a:headEnd type="none" w="sm" len="sm"/>
                <a:tailEnd type="triangle" w="med" len="med"/>
              </a:ln>
            </xdr:spPr>
          </xdr:cxnSp>
        </xdr:grpSp>
      </xdr:grpSp>
    </xdr:grpSp>
    <xdr:clientData fLocksWithSheet="0"/>
  </xdr:oneCellAnchor>
  <xdr:oneCellAnchor>
    <xdr:from>
      <xdr:col>8</xdr:col>
      <xdr:colOff>47625</xdr:colOff>
      <xdr:row>135</xdr:row>
      <xdr:rowOff>85725</xdr:rowOff>
    </xdr:from>
    <xdr:ext cx="3962400" cy="781050"/>
    <xdr:sp macro="" textlink="">
      <xdr:nvSpPr>
        <xdr:cNvPr id="44" name="Shape 50">
          <a:extLst>
            <a:ext uri="{FF2B5EF4-FFF2-40B4-BE49-F238E27FC236}">
              <a16:creationId xmlns:a16="http://schemas.microsoft.com/office/drawing/2014/main" id="{1273F6B2-E897-40AF-A58B-72FAD3454C9D}"/>
            </a:ext>
          </a:extLst>
        </xdr:cNvPr>
        <xdr:cNvSpPr/>
      </xdr:nvSpPr>
      <xdr:spPr>
        <a:xfrm rot="10800000" flipH="1">
          <a:off x="11012805" y="24172545"/>
          <a:ext cx="3962400" cy="781050"/>
        </a:xfrm>
        <a:prstGeom prst="ellipse">
          <a:avLst/>
        </a:prstGeom>
        <a:noFill/>
        <a:ln w="38100" cap="flat" cmpd="sng">
          <a:solidFill>
            <a:srgbClr val="FF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xdr:col>
      <xdr:colOff>1638300</xdr:colOff>
      <xdr:row>131</xdr:row>
      <xdr:rowOff>123825</xdr:rowOff>
    </xdr:from>
    <xdr:ext cx="6334125" cy="1200150"/>
    <xdr:grpSp>
      <xdr:nvGrpSpPr>
        <xdr:cNvPr id="45" name="Shape 2">
          <a:extLst>
            <a:ext uri="{FF2B5EF4-FFF2-40B4-BE49-F238E27FC236}">
              <a16:creationId xmlns:a16="http://schemas.microsoft.com/office/drawing/2014/main" id="{F18F590E-DED7-4DBB-9DE6-2FFC1730F7D1}"/>
            </a:ext>
          </a:extLst>
        </xdr:cNvPr>
        <xdr:cNvGrpSpPr/>
      </xdr:nvGrpSpPr>
      <xdr:grpSpPr>
        <a:xfrm>
          <a:off x="2665716" y="23000949"/>
          <a:ext cx="6334125" cy="1200150"/>
          <a:chOff x="2178938" y="3179925"/>
          <a:chExt cx="6334125" cy="1200150"/>
        </a:xfrm>
      </xdr:grpSpPr>
      <xdr:grpSp>
        <xdr:nvGrpSpPr>
          <xdr:cNvPr id="46" name="Shape 51">
            <a:extLst>
              <a:ext uri="{FF2B5EF4-FFF2-40B4-BE49-F238E27FC236}">
                <a16:creationId xmlns:a16="http://schemas.microsoft.com/office/drawing/2014/main" id="{931B3A02-7549-2712-7BD7-D381558E073B}"/>
              </a:ext>
            </a:extLst>
          </xdr:cNvPr>
          <xdr:cNvGrpSpPr/>
        </xdr:nvGrpSpPr>
        <xdr:grpSpPr>
          <a:xfrm>
            <a:off x="2178938" y="3179925"/>
            <a:ext cx="6334125" cy="1200150"/>
            <a:chOff x="2178938" y="3179925"/>
            <a:chExt cx="6334125" cy="1200150"/>
          </a:xfrm>
        </xdr:grpSpPr>
        <xdr:sp macro="" textlink="">
          <xdr:nvSpPr>
            <xdr:cNvPr id="47" name="Shape 4">
              <a:extLst>
                <a:ext uri="{FF2B5EF4-FFF2-40B4-BE49-F238E27FC236}">
                  <a16:creationId xmlns:a16="http://schemas.microsoft.com/office/drawing/2014/main" id="{168AAA56-5BA6-94BA-A7FE-ECA98DF583B3}"/>
                </a:ext>
              </a:extLst>
            </xdr:cNvPr>
            <xdr:cNvSpPr/>
          </xdr:nvSpPr>
          <xdr:spPr>
            <a:xfrm>
              <a:off x="2178938" y="3179925"/>
              <a:ext cx="6334125" cy="1200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48" name="Shape 52">
              <a:extLst>
                <a:ext uri="{FF2B5EF4-FFF2-40B4-BE49-F238E27FC236}">
                  <a16:creationId xmlns:a16="http://schemas.microsoft.com/office/drawing/2014/main" id="{E3759BC0-159B-307E-4588-DA7C93095422}"/>
                </a:ext>
              </a:extLst>
            </xdr:cNvPr>
            <xdr:cNvGrpSpPr/>
          </xdr:nvGrpSpPr>
          <xdr:grpSpPr>
            <a:xfrm>
              <a:off x="2178938" y="3179925"/>
              <a:ext cx="6334125" cy="1200150"/>
              <a:chOff x="2197988" y="3198975"/>
              <a:chExt cx="6296025" cy="1162050"/>
            </a:xfrm>
          </xdr:grpSpPr>
          <xdr:sp macro="" textlink="">
            <xdr:nvSpPr>
              <xdr:cNvPr id="49" name="Shape 53">
                <a:extLst>
                  <a:ext uri="{FF2B5EF4-FFF2-40B4-BE49-F238E27FC236}">
                    <a16:creationId xmlns:a16="http://schemas.microsoft.com/office/drawing/2014/main" id="{750DCAAD-B7F4-73F4-FBA4-1933249EC3D2}"/>
                  </a:ext>
                </a:extLst>
              </xdr:cNvPr>
              <xdr:cNvSpPr/>
            </xdr:nvSpPr>
            <xdr:spPr>
              <a:xfrm>
                <a:off x="2197988" y="3198975"/>
                <a:ext cx="6296025" cy="11620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50" name="Shape 54">
                <a:extLst>
                  <a:ext uri="{FF2B5EF4-FFF2-40B4-BE49-F238E27FC236}">
                    <a16:creationId xmlns:a16="http://schemas.microsoft.com/office/drawing/2014/main" id="{14DB8C3E-7CCF-55A8-AA3F-0E259FD8BC81}"/>
                  </a:ext>
                </a:extLst>
              </xdr:cNvPr>
              <xdr:cNvCxnSpPr/>
            </xdr:nvCxnSpPr>
            <xdr:spPr>
              <a:xfrm rot="10800000">
                <a:off x="2197988" y="3198975"/>
                <a:ext cx="6296025" cy="1162050"/>
              </a:xfrm>
              <a:prstGeom prst="straightConnector1">
                <a:avLst/>
              </a:prstGeom>
              <a:noFill/>
              <a:ln w="38100" cap="flat" cmpd="sng">
                <a:solidFill>
                  <a:srgbClr val="FF0000"/>
                </a:solidFill>
                <a:prstDash val="solid"/>
                <a:miter lim="800000"/>
                <a:headEnd type="none" w="sm" len="sm"/>
                <a:tailEnd type="triangle" w="med" len="med"/>
              </a:ln>
            </xdr:spPr>
          </xdr:cxnSp>
        </xdr:grpSp>
      </xdr:grpSp>
    </xdr:grpSp>
    <xdr:clientData fLocksWithSheet="0"/>
  </xdr:oneCellAnchor>
  <xdr:oneCellAnchor>
    <xdr:from>
      <xdr:col>5</xdr:col>
      <xdr:colOff>457200</xdr:colOff>
      <xdr:row>139</xdr:row>
      <xdr:rowOff>0</xdr:rowOff>
    </xdr:from>
    <xdr:ext cx="1524000" cy="552450"/>
    <xdr:sp macro="" textlink="">
      <xdr:nvSpPr>
        <xdr:cNvPr id="51" name="Shape 55">
          <a:extLst>
            <a:ext uri="{FF2B5EF4-FFF2-40B4-BE49-F238E27FC236}">
              <a16:creationId xmlns:a16="http://schemas.microsoft.com/office/drawing/2014/main" id="{D3668DED-6F05-47FA-96CB-24B9EA3BDE5A}"/>
            </a:ext>
          </a:extLst>
        </xdr:cNvPr>
        <xdr:cNvSpPr/>
      </xdr:nvSpPr>
      <xdr:spPr>
        <a:xfrm rot="10800000" flipH="1">
          <a:off x="8907780" y="24787860"/>
          <a:ext cx="1524000" cy="552450"/>
        </a:xfrm>
        <a:prstGeom prst="ellipse">
          <a:avLst/>
        </a:prstGeom>
        <a:noFill/>
        <a:ln w="38100" cap="flat" cmpd="sng">
          <a:solidFill>
            <a:srgbClr val="AC5B23"/>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xdr:col>
      <xdr:colOff>1028700</xdr:colOff>
      <xdr:row>133</xdr:row>
      <xdr:rowOff>104775</xdr:rowOff>
    </xdr:from>
    <xdr:ext cx="4848225" cy="1276350"/>
    <xdr:grpSp>
      <xdr:nvGrpSpPr>
        <xdr:cNvPr id="52" name="Shape 2">
          <a:extLst>
            <a:ext uri="{FF2B5EF4-FFF2-40B4-BE49-F238E27FC236}">
              <a16:creationId xmlns:a16="http://schemas.microsoft.com/office/drawing/2014/main" id="{906C6562-B4C1-4C41-83B8-AE884607966F}"/>
            </a:ext>
          </a:extLst>
        </xdr:cNvPr>
        <xdr:cNvGrpSpPr/>
      </xdr:nvGrpSpPr>
      <xdr:grpSpPr>
        <a:xfrm>
          <a:off x="2056116" y="23324371"/>
          <a:ext cx="4848225" cy="1276350"/>
          <a:chOff x="2921888" y="3141825"/>
          <a:chExt cx="4848226" cy="1276350"/>
        </a:xfrm>
      </xdr:grpSpPr>
      <xdr:grpSp>
        <xdr:nvGrpSpPr>
          <xdr:cNvPr id="53" name="Shape 56">
            <a:extLst>
              <a:ext uri="{FF2B5EF4-FFF2-40B4-BE49-F238E27FC236}">
                <a16:creationId xmlns:a16="http://schemas.microsoft.com/office/drawing/2014/main" id="{BEE476BD-845B-F383-C42D-2966F29B3A84}"/>
              </a:ext>
            </a:extLst>
          </xdr:cNvPr>
          <xdr:cNvGrpSpPr/>
        </xdr:nvGrpSpPr>
        <xdr:grpSpPr>
          <a:xfrm>
            <a:off x="2921888" y="3141825"/>
            <a:ext cx="4848226" cy="1276350"/>
            <a:chOff x="2921888" y="3141825"/>
            <a:chExt cx="4848226" cy="1276350"/>
          </a:xfrm>
        </xdr:grpSpPr>
        <xdr:sp macro="" textlink="">
          <xdr:nvSpPr>
            <xdr:cNvPr id="54" name="Shape 4">
              <a:extLst>
                <a:ext uri="{FF2B5EF4-FFF2-40B4-BE49-F238E27FC236}">
                  <a16:creationId xmlns:a16="http://schemas.microsoft.com/office/drawing/2014/main" id="{F9E7FEE6-CEAE-0A0D-910A-F59CE3C4BD34}"/>
                </a:ext>
              </a:extLst>
            </xdr:cNvPr>
            <xdr:cNvSpPr/>
          </xdr:nvSpPr>
          <xdr:spPr>
            <a:xfrm>
              <a:off x="2921888" y="3141825"/>
              <a:ext cx="4848225" cy="12763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55" name="Shape 57">
              <a:extLst>
                <a:ext uri="{FF2B5EF4-FFF2-40B4-BE49-F238E27FC236}">
                  <a16:creationId xmlns:a16="http://schemas.microsoft.com/office/drawing/2014/main" id="{B1BE9120-70E5-2AF0-438C-FAA41D4A2F22}"/>
                </a:ext>
              </a:extLst>
            </xdr:cNvPr>
            <xdr:cNvGrpSpPr/>
          </xdr:nvGrpSpPr>
          <xdr:grpSpPr>
            <a:xfrm>
              <a:off x="2921888" y="3141825"/>
              <a:ext cx="4848225" cy="1276350"/>
              <a:chOff x="2940863" y="3156188"/>
              <a:chExt cx="4810200" cy="1247700"/>
            </a:xfrm>
          </xdr:grpSpPr>
          <xdr:sp macro="" textlink="">
            <xdr:nvSpPr>
              <xdr:cNvPr id="56" name="Shape 58">
                <a:extLst>
                  <a:ext uri="{FF2B5EF4-FFF2-40B4-BE49-F238E27FC236}">
                    <a16:creationId xmlns:a16="http://schemas.microsoft.com/office/drawing/2014/main" id="{6312FDF3-EC6F-863E-92D5-5ADA9588044F}"/>
                  </a:ext>
                </a:extLst>
              </xdr:cNvPr>
              <xdr:cNvSpPr/>
            </xdr:nvSpPr>
            <xdr:spPr>
              <a:xfrm>
                <a:off x="2940863" y="3156188"/>
                <a:ext cx="4810200" cy="12477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57" name="Shape 59">
                <a:extLst>
                  <a:ext uri="{FF2B5EF4-FFF2-40B4-BE49-F238E27FC236}">
                    <a16:creationId xmlns:a16="http://schemas.microsoft.com/office/drawing/2014/main" id="{8B663DFC-4EE6-81B2-A24C-D596DD5D00EF}"/>
                  </a:ext>
                </a:extLst>
              </xdr:cNvPr>
              <xdr:cNvCxnSpPr>
                <a:stCxn id="48" idx="2"/>
              </xdr:cNvCxnSpPr>
            </xdr:nvCxnSpPr>
            <xdr:spPr>
              <a:xfrm rot="10800000">
                <a:off x="2940863" y="3156188"/>
                <a:ext cx="4810200" cy="1247700"/>
              </a:xfrm>
              <a:prstGeom prst="straightConnector1">
                <a:avLst/>
              </a:prstGeom>
              <a:noFill/>
              <a:ln w="38100" cap="flat" cmpd="sng">
                <a:solidFill>
                  <a:schemeClr val="accent2"/>
                </a:solidFill>
                <a:prstDash val="solid"/>
                <a:miter lim="800000"/>
                <a:headEnd type="none" w="sm" len="sm"/>
                <a:tailEnd type="triangle" w="med" len="med"/>
              </a:ln>
            </xdr:spPr>
          </xdr:cxnSp>
        </xdr:grpSp>
      </xdr:grpSp>
    </xdr:grpSp>
    <xdr:clientData fLocksWithSheet="0"/>
  </xdr:oneCellAnchor>
  <xdr:oneCellAnchor>
    <xdr:from>
      <xdr:col>8</xdr:col>
      <xdr:colOff>85725</xdr:colOff>
      <xdr:row>139</xdr:row>
      <xdr:rowOff>-9525</xdr:rowOff>
    </xdr:from>
    <xdr:ext cx="533400" cy="619125"/>
    <xdr:sp macro="" textlink="">
      <xdr:nvSpPr>
        <xdr:cNvPr id="58" name="Shape 60">
          <a:extLst>
            <a:ext uri="{FF2B5EF4-FFF2-40B4-BE49-F238E27FC236}">
              <a16:creationId xmlns:a16="http://schemas.microsoft.com/office/drawing/2014/main" id="{EA82B179-75DF-49F2-93AA-8BA9E7C323B9}"/>
            </a:ext>
          </a:extLst>
        </xdr:cNvPr>
        <xdr:cNvSpPr/>
      </xdr:nvSpPr>
      <xdr:spPr>
        <a:xfrm>
          <a:off x="11050905" y="24778335"/>
          <a:ext cx="533400" cy="619125"/>
        </a:xfrm>
        <a:prstGeom prst="ellipse">
          <a:avLst/>
        </a:prstGeom>
        <a:noFill/>
        <a:ln w="38100" cap="flat" cmpd="sng">
          <a:solidFill>
            <a:srgbClr val="517E33"/>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542925</xdr:colOff>
      <xdr:row>135</xdr:row>
      <xdr:rowOff>85725</xdr:rowOff>
    </xdr:from>
    <xdr:ext cx="4048125" cy="962025"/>
    <xdr:grpSp>
      <xdr:nvGrpSpPr>
        <xdr:cNvPr id="59" name="Shape 2">
          <a:extLst>
            <a:ext uri="{FF2B5EF4-FFF2-40B4-BE49-F238E27FC236}">
              <a16:creationId xmlns:a16="http://schemas.microsoft.com/office/drawing/2014/main" id="{DDFAF815-EC5F-4155-BBC6-803EAD86954D}"/>
            </a:ext>
          </a:extLst>
        </xdr:cNvPr>
        <xdr:cNvGrpSpPr/>
      </xdr:nvGrpSpPr>
      <xdr:grpSpPr>
        <a:xfrm>
          <a:off x="6947150" y="23647792"/>
          <a:ext cx="4048125" cy="962025"/>
          <a:chOff x="3321938" y="3298988"/>
          <a:chExt cx="4048125" cy="962025"/>
        </a:xfrm>
      </xdr:grpSpPr>
      <xdr:grpSp>
        <xdr:nvGrpSpPr>
          <xdr:cNvPr id="60" name="Shape 61">
            <a:extLst>
              <a:ext uri="{FF2B5EF4-FFF2-40B4-BE49-F238E27FC236}">
                <a16:creationId xmlns:a16="http://schemas.microsoft.com/office/drawing/2014/main" id="{A93AED9E-6E02-24D4-36AE-38682F15080D}"/>
              </a:ext>
            </a:extLst>
          </xdr:cNvPr>
          <xdr:cNvGrpSpPr/>
        </xdr:nvGrpSpPr>
        <xdr:grpSpPr>
          <a:xfrm>
            <a:off x="3321938" y="3298988"/>
            <a:ext cx="4048125" cy="962025"/>
            <a:chOff x="3321938" y="3298988"/>
            <a:chExt cx="4048125" cy="962025"/>
          </a:xfrm>
        </xdr:grpSpPr>
        <xdr:sp macro="" textlink="">
          <xdr:nvSpPr>
            <xdr:cNvPr id="61" name="Shape 4">
              <a:extLst>
                <a:ext uri="{FF2B5EF4-FFF2-40B4-BE49-F238E27FC236}">
                  <a16:creationId xmlns:a16="http://schemas.microsoft.com/office/drawing/2014/main" id="{27D53753-9A78-9AD8-80E5-04CDF72842ED}"/>
                </a:ext>
              </a:extLst>
            </xdr:cNvPr>
            <xdr:cNvSpPr/>
          </xdr:nvSpPr>
          <xdr:spPr>
            <a:xfrm>
              <a:off x="3321938" y="3298988"/>
              <a:ext cx="4048125" cy="9620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2" name="Shape 62">
              <a:extLst>
                <a:ext uri="{FF2B5EF4-FFF2-40B4-BE49-F238E27FC236}">
                  <a16:creationId xmlns:a16="http://schemas.microsoft.com/office/drawing/2014/main" id="{F6EC13A3-F8D4-7C62-81D5-A638635B7690}"/>
                </a:ext>
              </a:extLst>
            </xdr:cNvPr>
            <xdr:cNvGrpSpPr/>
          </xdr:nvGrpSpPr>
          <xdr:grpSpPr>
            <a:xfrm>
              <a:off x="3321938" y="3298988"/>
              <a:ext cx="4048125" cy="962025"/>
              <a:chOff x="3340913" y="3317963"/>
              <a:chExt cx="4010100" cy="924000"/>
            </a:xfrm>
          </xdr:grpSpPr>
          <xdr:sp macro="" textlink="">
            <xdr:nvSpPr>
              <xdr:cNvPr id="63" name="Shape 63">
                <a:extLst>
                  <a:ext uri="{FF2B5EF4-FFF2-40B4-BE49-F238E27FC236}">
                    <a16:creationId xmlns:a16="http://schemas.microsoft.com/office/drawing/2014/main" id="{45B25BFD-2FB5-EBE0-16A3-F58CF4E675F3}"/>
                  </a:ext>
                </a:extLst>
              </xdr:cNvPr>
              <xdr:cNvSpPr/>
            </xdr:nvSpPr>
            <xdr:spPr>
              <a:xfrm>
                <a:off x="3340913" y="3317963"/>
                <a:ext cx="4010100" cy="924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64" name="Shape 64">
                <a:extLst>
                  <a:ext uri="{FF2B5EF4-FFF2-40B4-BE49-F238E27FC236}">
                    <a16:creationId xmlns:a16="http://schemas.microsoft.com/office/drawing/2014/main" id="{6869B3CF-C778-BF72-FC19-F607681E0C0A}"/>
                  </a:ext>
                </a:extLst>
              </xdr:cNvPr>
              <xdr:cNvCxnSpPr>
                <a:stCxn id="51" idx="2"/>
              </xdr:cNvCxnSpPr>
            </xdr:nvCxnSpPr>
            <xdr:spPr>
              <a:xfrm rot="10800000">
                <a:off x="3340913" y="3317963"/>
                <a:ext cx="4010100" cy="924000"/>
              </a:xfrm>
              <a:prstGeom prst="straightConnector1">
                <a:avLst/>
              </a:prstGeom>
              <a:noFill/>
              <a:ln w="38100" cap="flat" cmpd="sng">
                <a:solidFill>
                  <a:schemeClr val="accent6"/>
                </a:solidFill>
                <a:prstDash val="solid"/>
                <a:miter lim="800000"/>
                <a:headEnd type="none" w="sm" len="sm"/>
                <a:tailEnd type="triangle" w="med" len="med"/>
              </a:ln>
            </xdr:spPr>
          </xdr:cxnSp>
        </xdr:grpSp>
      </xdr:grpSp>
    </xdr:grpSp>
    <xdr:clientData fLocksWithSheet="0"/>
  </xdr:oneCellAnchor>
  <xdr:oneCellAnchor>
    <xdr:from>
      <xdr:col>12</xdr:col>
      <xdr:colOff>542925</xdr:colOff>
      <xdr:row>139</xdr:row>
      <xdr:rowOff>28575</xdr:rowOff>
    </xdr:from>
    <xdr:ext cx="1314450" cy="1714500"/>
    <xdr:sp macro="" textlink="">
      <xdr:nvSpPr>
        <xdr:cNvPr id="65" name="Shape 65">
          <a:extLst>
            <a:ext uri="{FF2B5EF4-FFF2-40B4-BE49-F238E27FC236}">
              <a16:creationId xmlns:a16="http://schemas.microsoft.com/office/drawing/2014/main" id="{0B0AE23D-5F1A-4B06-82DA-7D98B84896DF}"/>
            </a:ext>
          </a:extLst>
        </xdr:cNvPr>
        <xdr:cNvSpPr/>
      </xdr:nvSpPr>
      <xdr:spPr>
        <a:xfrm>
          <a:off x="14441805" y="24816435"/>
          <a:ext cx="1314450" cy="1714500"/>
        </a:xfrm>
        <a:prstGeom prst="ellipse">
          <a:avLst/>
        </a:prstGeom>
        <a:noFill/>
        <a:ln w="38100" cap="flat" cmpd="sng">
          <a:solidFill>
            <a:schemeClr val="dk1"/>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76200</xdr:colOff>
      <xdr:row>140</xdr:row>
      <xdr:rowOff>76200</xdr:rowOff>
    </xdr:from>
    <xdr:ext cx="8162925" cy="647700"/>
    <xdr:grpSp>
      <xdr:nvGrpSpPr>
        <xdr:cNvPr id="66" name="Shape 2">
          <a:extLst>
            <a:ext uri="{FF2B5EF4-FFF2-40B4-BE49-F238E27FC236}">
              <a16:creationId xmlns:a16="http://schemas.microsoft.com/office/drawing/2014/main" id="{BEC28349-E606-4035-8095-1EA6F953B314}"/>
            </a:ext>
          </a:extLst>
        </xdr:cNvPr>
        <xdr:cNvGrpSpPr/>
      </xdr:nvGrpSpPr>
      <xdr:grpSpPr>
        <a:xfrm>
          <a:off x="6480425" y="24494447"/>
          <a:ext cx="8162925" cy="647700"/>
          <a:chOff x="1264538" y="3456150"/>
          <a:chExt cx="8162925" cy="647700"/>
        </a:xfrm>
      </xdr:grpSpPr>
      <xdr:grpSp>
        <xdr:nvGrpSpPr>
          <xdr:cNvPr id="67" name="Shape 66">
            <a:extLst>
              <a:ext uri="{FF2B5EF4-FFF2-40B4-BE49-F238E27FC236}">
                <a16:creationId xmlns:a16="http://schemas.microsoft.com/office/drawing/2014/main" id="{CDA7636E-8FE4-1511-FB9E-E15E6A3FD3A4}"/>
              </a:ext>
            </a:extLst>
          </xdr:cNvPr>
          <xdr:cNvGrpSpPr/>
        </xdr:nvGrpSpPr>
        <xdr:grpSpPr>
          <a:xfrm>
            <a:off x="1264538" y="3456150"/>
            <a:ext cx="8162925" cy="647700"/>
            <a:chOff x="1264538" y="3456150"/>
            <a:chExt cx="8162925" cy="647700"/>
          </a:xfrm>
        </xdr:grpSpPr>
        <xdr:sp macro="" textlink="">
          <xdr:nvSpPr>
            <xdr:cNvPr id="68" name="Shape 4">
              <a:extLst>
                <a:ext uri="{FF2B5EF4-FFF2-40B4-BE49-F238E27FC236}">
                  <a16:creationId xmlns:a16="http://schemas.microsoft.com/office/drawing/2014/main" id="{D8AE4277-2004-D112-331C-21F43D98163A}"/>
                </a:ext>
              </a:extLst>
            </xdr:cNvPr>
            <xdr:cNvSpPr/>
          </xdr:nvSpPr>
          <xdr:spPr>
            <a:xfrm>
              <a:off x="1264538" y="3456150"/>
              <a:ext cx="8162925" cy="6477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9" name="Shape 67">
              <a:extLst>
                <a:ext uri="{FF2B5EF4-FFF2-40B4-BE49-F238E27FC236}">
                  <a16:creationId xmlns:a16="http://schemas.microsoft.com/office/drawing/2014/main" id="{4DA74B1D-230F-0516-B6D4-1A44B62B1988}"/>
                </a:ext>
              </a:extLst>
            </xdr:cNvPr>
            <xdr:cNvGrpSpPr/>
          </xdr:nvGrpSpPr>
          <xdr:grpSpPr>
            <a:xfrm>
              <a:off x="1264538" y="3456150"/>
              <a:ext cx="8162925" cy="647700"/>
              <a:chOff x="1283513" y="3475200"/>
              <a:chExt cx="8124900" cy="609600"/>
            </a:xfrm>
          </xdr:grpSpPr>
          <xdr:sp macro="" textlink="">
            <xdr:nvSpPr>
              <xdr:cNvPr id="70" name="Shape 68">
                <a:extLst>
                  <a:ext uri="{FF2B5EF4-FFF2-40B4-BE49-F238E27FC236}">
                    <a16:creationId xmlns:a16="http://schemas.microsoft.com/office/drawing/2014/main" id="{D8234532-EAF8-C7C5-8CA5-851E3E6FE62B}"/>
                  </a:ext>
                </a:extLst>
              </xdr:cNvPr>
              <xdr:cNvSpPr/>
            </xdr:nvSpPr>
            <xdr:spPr>
              <a:xfrm>
                <a:off x="1283513" y="3475200"/>
                <a:ext cx="8124900" cy="609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71" name="Shape 69">
                <a:extLst>
                  <a:ext uri="{FF2B5EF4-FFF2-40B4-BE49-F238E27FC236}">
                    <a16:creationId xmlns:a16="http://schemas.microsoft.com/office/drawing/2014/main" id="{07BDD5E1-C25F-95AD-F77A-40A7541ACEB9}"/>
                  </a:ext>
                </a:extLst>
              </xdr:cNvPr>
              <xdr:cNvCxnSpPr>
                <a:stCxn id="56" idx="2"/>
              </xdr:cNvCxnSpPr>
            </xdr:nvCxnSpPr>
            <xdr:spPr>
              <a:xfrm rot="10800000">
                <a:off x="1283513" y="3475200"/>
                <a:ext cx="8124900" cy="609600"/>
              </a:xfrm>
              <a:prstGeom prst="straightConnector1">
                <a:avLst/>
              </a:prstGeom>
              <a:noFill/>
              <a:ln w="38100" cap="flat" cmpd="sng">
                <a:solidFill>
                  <a:schemeClr val="dk1"/>
                </a:solidFill>
                <a:prstDash val="solid"/>
                <a:miter lim="800000"/>
                <a:headEnd type="none" w="sm" len="sm"/>
                <a:tailEnd type="triangle" w="med" len="med"/>
              </a:ln>
            </xdr:spPr>
          </xdr:cxnSp>
        </xdr:grpSp>
      </xdr:grpSp>
    </xdr:grpSp>
    <xdr:clientData fLocksWithSheet="0"/>
  </xdr:oneCellAnchor>
  <xdr:oneCellAnchor>
    <xdr:from>
      <xdr:col>8</xdr:col>
      <xdr:colOff>95250</xdr:colOff>
      <xdr:row>167</xdr:row>
      <xdr:rowOff>142875</xdr:rowOff>
    </xdr:from>
    <xdr:ext cx="3971925" cy="666750"/>
    <xdr:sp macro="" textlink="">
      <xdr:nvSpPr>
        <xdr:cNvPr id="72" name="Shape 70">
          <a:extLst>
            <a:ext uri="{FF2B5EF4-FFF2-40B4-BE49-F238E27FC236}">
              <a16:creationId xmlns:a16="http://schemas.microsoft.com/office/drawing/2014/main" id="{DEC6D1E3-17A7-4748-A6CE-4279BBFC7C43}"/>
            </a:ext>
          </a:extLst>
        </xdr:cNvPr>
        <xdr:cNvSpPr/>
      </xdr:nvSpPr>
      <xdr:spPr>
        <a:xfrm rot="10800000" flipH="1">
          <a:off x="11060430" y="29838015"/>
          <a:ext cx="3971925" cy="666750"/>
        </a:xfrm>
        <a:prstGeom prst="ellipse">
          <a:avLst/>
        </a:prstGeom>
        <a:noFill/>
        <a:ln w="38100" cap="flat" cmpd="sng">
          <a:solidFill>
            <a:srgbClr val="FF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xdr:col>
      <xdr:colOff>3028950</xdr:colOff>
      <xdr:row>167</xdr:row>
      <xdr:rowOff>142875</xdr:rowOff>
    </xdr:from>
    <xdr:ext cx="4933950" cy="352425"/>
    <xdr:grpSp>
      <xdr:nvGrpSpPr>
        <xdr:cNvPr id="73" name="Shape 2" title="Drawing">
          <a:extLst>
            <a:ext uri="{FF2B5EF4-FFF2-40B4-BE49-F238E27FC236}">
              <a16:creationId xmlns:a16="http://schemas.microsoft.com/office/drawing/2014/main" id="{06001651-84B2-4269-B68C-54EAE78A7601}"/>
            </a:ext>
          </a:extLst>
        </xdr:cNvPr>
        <xdr:cNvGrpSpPr/>
      </xdr:nvGrpSpPr>
      <xdr:grpSpPr>
        <a:xfrm>
          <a:off x="4056366" y="29184493"/>
          <a:ext cx="4933950" cy="352425"/>
          <a:chOff x="2879025" y="3603788"/>
          <a:chExt cx="4933950" cy="352425"/>
        </a:xfrm>
      </xdr:grpSpPr>
      <xdr:grpSp>
        <xdr:nvGrpSpPr>
          <xdr:cNvPr id="74" name="Shape 71">
            <a:extLst>
              <a:ext uri="{FF2B5EF4-FFF2-40B4-BE49-F238E27FC236}">
                <a16:creationId xmlns:a16="http://schemas.microsoft.com/office/drawing/2014/main" id="{608E3887-A162-F4E5-610B-E8ADF3330EAD}"/>
              </a:ext>
            </a:extLst>
          </xdr:cNvPr>
          <xdr:cNvGrpSpPr/>
        </xdr:nvGrpSpPr>
        <xdr:grpSpPr>
          <a:xfrm>
            <a:off x="2879025" y="3603788"/>
            <a:ext cx="4933950" cy="352425"/>
            <a:chOff x="2879025" y="3603788"/>
            <a:chExt cx="4933950" cy="352425"/>
          </a:xfrm>
        </xdr:grpSpPr>
        <xdr:sp macro="" textlink="">
          <xdr:nvSpPr>
            <xdr:cNvPr id="75" name="Shape 4">
              <a:extLst>
                <a:ext uri="{FF2B5EF4-FFF2-40B4-BE49-F238E27FC236}">
                  <a16:creationId xmlns:a16="http://schemas.microsoft.com/office/drawing/2014/main" id="{87BB1BDD-3945-93B2-6971-AA72D77EA669}"/>
                </a:ext>
              </a:extLst>
            </xdr:cNvPr>
            <xdr:cNvSpPr/>
          </xdr:nvSpPr>
          <xdr:spPr>
            <a:xfrm>
              <a:off x="2879025" y="3603788"/>
              <a:ext cx="4933950" cy="3524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76" name="Shape 72">
              <a:extLst>
                <a:ext uri="{FF2B5EF4-FFF2-40B4-BE49-F238E27FC236}">
                  <a16:creationId xmlns:a16="http://schemas.microsoft.com/office/drawing/2014/main" id="{9B290BB5-F902-0896-8736-79FEE8F0D641}"/>
                </a:ext>
              </a:extLst>
            </xdr:cNvPr>
            <xdr:cNvGrpSpPr/>
          </xdr:nvGrpSpPr>
          <xdr:grpSpPr>
            <a:xfrm>
              <a:off x="2879025" y="3603788"/>
              <a:ext cx="4933950" cy="352425"/>
              <a:chOff x="2897925" y="3622763"/>
              <a:chExt cx="4896000" cy="314400"/>
            </a:xfrm>
          </xdr:grpSpPr>
          <xdr:sp macro="" textlink="">
            <xdr:nvSpPr>
              <xdr:cNvPr id="77" name="Shape 73">
                <a:extLst>
                  <a:ext uri="{FF2B5EF4-FFF2-40B4-BE49-F238E27FC236}">
                    <a16:creationId xmlns:a16="http://schemas.microsoft.com/office/drawing/2014/main" id="{4D8F1A67-6CCC-7024-6639-750F24073E83}"/>
                  </a:ext>
                </a:extLst>
              </xdr:cNvPr>
              <xdr:cNvSpPr/>
            </xdr:nvSpPr>
            <xdr:spPr>
              <a:xfrm>
                <a:off x="2897925" y="3622763"/>
                <a:ext cx="4896000" cy="3144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78" name="Shape 74">
                <a:extLst>
                  <a:ext uri="{FF2B5EF4-FFF2-40B4-BE49-F238E27FC236}">
                    <a16:creationId xmlns:a16="http://schemas.microsoft.com/office/drawing/2014/main" id="{F4B62423-6CE6-094D-1866-91747D6CC59D}"/>
                  </a:ext>
                </a:extLst>
              </xdr:cNvPr>
              <xdr:cNvCxnSpPr>
                <a:stCxn id="60" idx="2"/>
              </xdr:cNvCxnSpPr>
            </xdr:nvCxnSpPr>
            <xdr:spPr>
              <a:xfrm rot="10800000">
                <a:off x="2897925" y="3622763"/>
                <a:ext cx="4896000" cy="314400"/>
              </a:xfrm>
              <a:prstGeom prst="straightConnector1">
                <a:avLst/>
              </a:prstGeom>
              <a:noFill/>
              <a:ln w="38100" cap="flat" cmpd="sng">
                <a:solidFill>
                  <a:srgbClr val="FF0000"/>
                </a:solidFill>
                <a:prstDash val="solid"/>
                <a:miter lim="800000"/>
                <a:headEnd type="none" w="sm" len="sm"/>
                <a:tailEnd type="triangle" w="med" len="med"/>
              </a:ln>
            </xdr:spPr>
          </xdr:cxnSp>
        </xdr:grpSp>
      </xdr:grpSp>
    </xdr:grpSp>
    <xdr:clientData fLocksWithSheet="0"/>
  </xdr:oneCellAnchor>
  <xdr:oneCellAnchor>
    <xdr:from>
      <xdr:col>3</xdr:col>
      <xdr:colOff>476250</xdr:colOff>
      <xdr:row>173</xdr:row>
      <xdr:rowOff>123825</xdr:rowOff>
    </xdr:from>
    <xdr:ext cx="1314450" cy="838200"/>
    <xdr:sp macro="" textlink="">
      <xdr:nvSpPr>
        <xdr:cNvPr id="79" name="Shape 75">
          <a:extLst>
            <a:ext uri="{FF2B5EF4-FFF2-40B4-BE49-F238E27FC236}">
              <a16:creationId xmlns:a16="http://schemas.microsoft.com/office/drawing/2014/main" id="{46EE4676-0E1E-4061-8E46-85756405095F}"/>
            </a:ext>
          </a:extLst>
        </xdr:cNvPr>
        <xdr:cNvSpPr/>
      </xdr:nvSpPr>
      <xdr:spPr>
        <a:xfrm>
          <a:off x="7593330" y="30870525"/>
          <a:ext cx="1314450" cy="838200"/>
        </a:xfrm>
        <a:prstGeom prst="ellipse">
          <a:avLst/>
        </a:prstGeom>
        <a:noFill/>
        <a:ln w="38100" cap="flat" cmpd="sng">
          <a:solidFill>
            <a:schemeClr val="dk1"/>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xdr:col>
      <xdr:colOff>1038225</xdr:colOff>
      <xdr:row>169</xdr:row>
      <xdr:rowOff>95250</xdr:rowOff>
    </xdr:from>
    <xdr:ext cx="3562350" cy="1181100"/>
    <xdr:grpSp>
      <xdr:nvGrpSpPr>
        <xdr:cNvPr id="80" name="Shape 2" title="Drawing">
          <a:extLst>
            <a:ext uri="{FF2B5EF4-FFF2-40B4-BE49-F238E27FC236}">
              <a16:creationId xmlns:a16="http://schemas.microsoft.com/office/drawing/2014/main" id="{9FF44190-D052-4792-8F99-10ED957F5A44}"/>
            </a:ext>
          </a:extLst>
        </xdr:cNvPr>
        <xdr:cNvGrpSpPr/>
      </xdr:nvGrpSpPr>
      <xdr:grpSpPr>
        <a:xfrm>
          <a:off x="2065641" y="29479340"/>
          <a:ext cx="3562350" cy="1181100"/>
          <a:chOff x="3564825" y="3189450"/>
          <a:chExt cx="3562350" cy="1181100"/>
        </a:xfrm>
      </xdr:grpSpPr>
      <xdr:grpSp>
        <xdr:nvGrpSpPr>
          <xdr:cNvPr id="81" name="Shape 76">
            <a:extLst>
              <a:ext uri="{FF2B5EF4-FFF2-40B4-BE49-F238E27FC236}">
                <a16:creationId xmlns:a16="http://schemas.microsoft.com/office/drawing/2014/main" id="{435C55BB-080A-4730-136E-FE4B3FFC13E6}"/>
              </a:ext>
            </a:extLst>
          </xdr:cNvPr>
          <xdr:cNvGrpSpPr/>
        </xdr:nvGrpSpPr>
        <xdr:grpSpPr>
          <a:xfrm>
            <a:off x="3564825" y="3189450"/>
            <a:ext cx="3562350" cy="1181100"/>
            <a:chOff x="3564825" y="3189450"/>
            <a:chExt cx="3562350" cy="1181100"/>
          </a:xfrm>
        </xdr:grpSpPr>
        <xdr:sp macro="" textlink="">
          <xdr:nvSpPr>
            <xdr:cNvPr id="82" name="Shape 4">
              <a:extLst>
                <a:ext uri="{FF2B5EF4-FFF2-40B4-BE49-F238E27FC236}">
                  <a16:creationId xmlns:a16="http://schemas.microsoft.com/office/drawing/2014/main" id="{7A390FB1-A985-DF1E-273E-1729A0461B88}"/>
                </a:ext>
              </a:extLst>
            </xdr:cNvPr>
            <xdr:cNvSpPr/>
          </xdr:nvSpPr>
          <xdr:spPr>
            <a:xfrm>
              <a:off x="3564825" y="3189450"/>
              <a:ext cx="3562350" cy="1181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83" name="Shape 77">
              <a:extLst>
                <a:ext uri="{FF2B5EF4-FFF2-40B4-BE49-F238E27FC236}">
                  <a16:creationId xmlns:a16="http://schemas.microsoft.com/office/drawing/2014/main" id="{A841C855-7410-5012-28DC-9419AFFFC0D1}"/>
                </a:ext>
              </a:extLst>
            </xdr:cNvPr>
            <xdr:cNvGrpSpPr/>
          </xdr:nvGrpSpPr>
          <xdr:grpSpPr>
            <a:xfrm>
              <a:off x="3564825" y="3189450"/>
              <a:ext cx="3562350" cy="1181100"/>
              <a:chOff x="3584025" y="3208500"/>
              <a:chExt cx="3524100" cy="1143000"/>
            </a:xfrm>
          </xdr:grpSpPr>
          <xdr:sp macro="" textlink="">
            <xdr:nvSpPr>
              <xdr:cNvPr id="84" name="Shape 78">
                <a:extLst>
                  <a:ext uri="{FF2B5EF4-FFF2-40B4-BE49-F238E27FC236}">
                    <a16:creationId xmlns:a16="http://schemas.microsoft.com/office/drawing/2014/main" id="{0A586ACF-82F8-57B3-474E-3F6D7AAB6B0F}"/>
                  </a:ext>
                </a:extLst>
              </xdr:cNvPr>
              <xdr:cNvSpPr/>
            </xdr:nvSpPr>
            <xdr:spPr>
              <a:xfrm>
                <a:off x="3584025" y="3208500"/>
                <a:ext cx="3524100" cy="1143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85" name="Shape 79">
                <a:extLst>
                  <a:ext uri="{FF2B5EF4-FFF2-40B4-BE49-F238E27FC236}">
                    <a16:creationId xmlns:a16="http://schemas.microsoft.com/office/drawing/2014/main" id="{E275E8A0-5AB4-AFA1-0F2B-BF37D3F56D9D}"/>
                  </a:ext>
                </a:extLst>
              </xdr:cNvPr>
              <xdr:cNvCxnSpPr>
                <a:stCxn id="64" idx="2"/>
              </xdr:cNvCxnSpPr>
            </xdr:nvCxnSpPr>
            <xdr:spPr>
              <a:xfrm rot="10800000">
                <a:off x="3584025" y="3208500"/>
                <a:ext cx="3524100" cy="1143000"/>
              </a:xfrm>
              <a:prstGeom prst="straightConnector1">
                <a:avLst/>
              </a:prstGeom>
              <a:noFill/>
              <a:ln w="38100" cap="flat" cmpd="sng">
                <a:solidFill>
                  <a:schemeClr val="dk1"/>
                </a:solidFill>
                <a:prstDash val="solid"/>
                <a:miter lim="800000"/>
                <a:headEnd type="none" w="sm" len="sm"/>
                <a:tailEnd type="triangle" w="med" len="med"/>
              </a:ln>
            </xdr:spPr>
          </xdr:cxnSp>
        </xdr:grpSp>
      </xdr:grpSp>
    </xdr:grpSp>
    <xdr:clientData fLocksWithSheet="0"/>
  </xdr:oneCellAnchor>
  <xdr:oneCellAnchor>
    <xdr:from>
      <xdr:col>6</xdr:col>
      <xdr:colOff>600075</xdr:colOff>
      <xdr:row>174</xdr:row>
      <xdr:rowOff>76200</xdr:rowOff>
    </xdr:from>
    <xdr:ext cx="514350" cy="619125"/>
    <xdr:sp macro="" textlink="">
      <xdr:nvSpPr>
        <xdr:cNvPr id="86" name="Shape 80">
          <a:extLst>
            <a:ext uri="{FF2B5EF4-FFF2-40B4-BE49-F238E27FC236}">
              <a16:creationId xmlns:a16="http://schemas.microsoft.com/office/drawing/2014/main" id="{E1D4282F-A150-4A9C-A660-3EE26AA4A933}"/>
            </a:ext>
          </a:extLst>
        </xdr:cNvPr>
        <xdr:cNvSpPr/>
      </xdr:nvSpPr>
      <xdr:spPr>
        <a:xfrm>
          <a:off x="9911715" y="30998160"/>
          <a:ext cx="514350" cy="619125"/>
        </a:xfrm>
        <a:prstGeom prst="ellipse">
          <a:avLst/>
        </a:prstGeom>
        <a:noFill/>
        <a:ln w="38100" cap="flat" cmpd="sng">
          <a:solidFill>
            <a:srgbClr val="517E33"/>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342900</xdr:colOff>
      <xdr:row>171</xdr:row>
      <xdr:rowOff>142875</xdr:rowOff>
    </xdr:from>
    <xdr:ext cx="3152775" cy="800100"/>
    <xdr:grpSp>
      <xdr:nvGrpSpPr>
        <xdr:cNvPr id="87" name="Shape 2" title="Drawing">
          <a:extLst>
            <a:ext uri="{FF2B5EF4-FFF2-40B4-BE49-F238E27FC236}">
              <a16:creationId xmlns:a16="http://schemas.microsoft.com/office/drawing/2014/main" id="{BFDA5A82-C02B-4052-8ED0-CFC459A74769}"/>
            </a:ext>
          </a:extLst>
        </xdr:cNvPr>
        <xdr:cNvGrpSpPr/>
      </xdr:nvGrpSpPr>
      <xdr:grpSpPr>
        <a:xfrm>
          <a:off x="6747125" y="29869437"/>
          <a:ext cx="3152775" cy="800100"/>
          <a:chOff x="3769613" y="3379950"/>
          <a:chExt cx="3152775" cy="800100"/>
        </a:xfrm>
      </xdr:grpSpPr>
      <xdr:grpSp>
        <xdr:nvGrpSpPr>
          <xdr:cNvPr id="88" name="Shape 81">
            <a:extLst>
              <a:ext uri="{FF2B5EF4-FFF2-40B4-BE49-F238E27FC236}">
                <a16:creationId xmlns:a16="http://schemas.microsoft.com/office/drawing/2014/main" id="{CFC5DD75-FBD8-4EDD-912F-AB396F65FFB2}"/>
              </a:ext>
            </a:extLst>
          </xdr:cNvPr>
          <xdr:cNvGrpSpPr/>
        </xdr:nvGrpSpPr>
        <xdr:grpSpPr>
          <a:xfrm>
            <a:off x="3769613" y="3379950"/>
            <a:ext cx="3152775" cy="800100"/>
            <a:chOff x="3769613" y="3379950"/>
            <a:chExt cx="3152775" cy="800100"/>
          </a:xfrm>
        </xdr:grpSpPr>
        <xdr:sp macro="" textlink="">
          <xdr:nvSpPr>
            <xdr:cNvPr id="89" name="Shape 4">
              <a:extLst>
                <a:ext uri="{FF2B5EF4-FFF2-40B4-BE49-F238E27FC236}">
                  <a16:creationId xmlns:a16="http://schemas.microsoft.com/office/drawing/2014/main" id="{C6DE4B86-C268-9EDE-2E6B-9E7484541A6F}"/>
                </a:ext>
              </a:extLst>
            </xdr:cNvPr>
            <xdr:cNvSpPr/>
          </xdr:nvSpPr>
          <xdr:spPr>
            <a:xfrm>
              <a:off x="3769613" y="3379950"/>
              <a:ext cx="3152775" cy="800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90" name="Shape 82">
              <a:extLst>
                <a:ext uri="{FF2B5EF4-FFF2-40B4-BE49-F238E27FC236}">
                  <a16:creationId xmlns:a16="http://schemas.microsoft.com/office/drawing/2014/main" id="{FD1D050E-AE68-7FD1-68CC-9C7613DB9418}"/>
                </a:ext>
              </a:extLst>
            </xdr:cNvPr>
            <xdr:cNvGrpSpPr/>
          </xdr:nvGrpSpPr>
          <xdr:grpSpPr>
            <a:xfrm>
              <a:off x="3769613" y="3379950"/>
              <a:ext cx="3152775" cy="800100"/>
              <a:chOff x="3788738" y="3399000"/>
              <a:chExt cx="3114600" cy="762000"/>
            </a:xfrm>
          </xdr:grpSpPr>
          <xdr:sp macro="" textlink="">
            <xdr:nvSpPr>
              <xdr:cNvPr id="91" name="Shape 83">
                <a:extLst>
                  <a:ext uri="{FF2B5EF4-FFF2-40B4-BE49-F238E27FC236}">
                    <a16:creationId xmlns:a16="http://schemas.microsoft.com/office/drawing/2014/main" id="{DFA31CB1-1513-2DE5-E25A-D25CB0330E7D}"/>
                  </a:ext>
                </a:extLst>
              </xdr:cNvPr>
              <xdr:cNvSpPr/>
            </xdr:nvSpPr>
            <xdr:spPr>
              <a:xfrm>
                <a:off x="3788738" y="3399000"/>
                <a:ext cx="3114600" cy="762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92" name="Shape 84">
                <a:extLst>
                  <a:ext uri="{FF2B5EF4-FFF2-40B4-BE49-F238E27FC236}">
                    <a16:creationId xmlns:a16="http://schemas.microsoft.com/office/drawing/2014/main" id="{B06C6AB8-8127-F5FA-FDAC-A151DA78B5C1}"/>
                  </a:ext>
                </a:extLst>
              </xdr:cNvPr>
              <xdr:cNvCxnSpPr>
                <a:stCxn id="67" idx="2"/>
              </xdr:cNvCxnSpPr>
            </xdr:nvCxnSpPr>
            <xdr:spPr>
              <a:xfrm rot="10800000">
                <a:off x="3788738" y="3399000"/>
                <a:ext cx="3114600" cy="762000"/>
              </a:xfrm>
              <a:prstGeom prst="straightConnector1">
                <a:avLst/>
              </a:prstGeom>
              <a:noFill/>
              <a:ln w="38100" cap="flat" cmpd="sng">
                <a:solidFill>
                  <a:schemeClr val="accent6"/>
                </a:solidFill>
                <a:prstDash val="solid"/>
                <a:miter lim="800000"/>
                <a:headEnd type="none" w="sm" len="sm"/>
                <a:tailEnd type="triangle" w="med" len="med"/>
              </a:ln>
            </xdr:spPr>
          </xdr:cxnSp>
        </xdr:grpSp>
      </xdr:grpSp>
    </xdr:grpSp>
    <xdr:clientData fLocksWithSheet="0"/>
  </xdr:oneCellAnchor>
  <xdr:oneCellAnchor>
    <xdr:from>
      <xdr:col>9</xdr:col>
      <xdr:colOff>114300</xdr:colOff>
      <xdr:row>174</xdr:row>
      <xdr:rowOff>66675</xdr:rowOff>
    </xdr:from>
    <xdr:ext cx="561975" cy="600075"/>
    <xdr:sp macro="" textlink="">
      <xdr:nvSpPr>
        <xdr:cNvPr id="93" name="Shape 85">
          <a:extLst>
            <a:ext uri="{FF2B5EF4-FFF2-40B4-BE49-F238E27FC236}">
              <a16:creationId xmlns:a16="http://schemas.microsoft.com/office/drawing/2014/main" id="{7CCABD01-0E07-4754-B343-DFD0F4E954CA}"/>
            </a:ext>
          </a:extLst>
        </xdr:cNvPr>
        <xdr:cNvSpPr/>
      </xdr:nvSpPr>
      <xdr:spPr>
        <a:xfrm rot="10800000" flipH="1">
          <a:off x="11727180" y="30988635"/>
          <a:ext cx="561975" cy="600075"/>
        </a:xfrm>
        <a:prstGeom prst="ellipse">
          <a:avLst/>
        </a:prstGeom>
        <a:noFill/>
        <a:ln w="38100" cap="flat" cmpd="sng">
          <a:solidFill>
            <a:srgbClr val="AC5B23"/>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xdr:col>
      <xdr:colOff>1638300</xdr:colOff>
      <xdr:row>173</xdr:row>
      <xdr:rowOff>114300</xdr:rowOff>
    </xdr:from>
    <xdr:ext cx="6972300" cy="476250"/>
    <xdr:grpSp>
      <xdr:nvGrpSpPr>
        <xdr:cNvPr id="94" name="Shape 2" title="Drawing">
          <a:extLst>
            <a:ext uri="{FF2B5EF4-FFF2-40B4-BE49-F238E27FC236}">
              <a16:creationId xmlns:a16="http://schemas.microsoft.com/office/drawing/2014/main" id="{1F7B6A71-3C76-485F-8DC7-1C771FC4DE6F}"/>
            </a:ext>
          </a:extLst>
        </xdr:cNvPr>
        <xdr:cNvGrpSpPr/>
      </xdr:nvGrpSpPr>
      <xdr:grpSpPr>
        <a:xfrm>
          <a:off x="2665716" y="30183334"/>
          <a:ext cx="6972300" cy="476250"/>
          <a:chOff x="1859850" y="3541875"/>
          <a:chExt cx="6972300" cy="476250"/>
        </a:xfrm>
      </xdr:grpSpPr>
      <xdr:grpSp>
        <xdr:nvGrpSpPr>
          <xdr:cNvPr id="95" name="Shape 86">
            <a:extLst>
              <a:ext uri="{FF2B5EF4-FFF2-40B4-BE49-F238E27FC236}">
                <a16:creationId xmlns:a16="http://schemas.microsoft.com/office/drawing/2014/main" id="{A5B5EF8D-80F0-637F-5C3E-42B16967BD31}"/>
              </a:ext>
            </a:extLst>
          </xdr:cNvPr>
          <xdr:cNvGrpSpPr/>
        </xdr:nvGrpSpPr>
        <xdr:grpSpPr>
          <a:xfrm>
            <a:off x="1859850" y="3541875"/>
            <a:ext cx="6972300" cy="476250"/>
            <a:chOff x="1859850" y="3541875"/>
            <a:chExt cx="6972300" cy="476250"/>
          </a:xfrm>
        </xdr:grpSpPr>
        <xdr:sp macro="" textlink="">
          <xdr:nvSpPr>
            <xdr:cNvPr id="96" name="Shape 4">
              <a:extLst>
                <a:ext uri="{FF2B5EF4-FFF2-40B4-BE49-F238E27FC236}">
                  <a16:creationId xmlns:a16="http://schemas.microsoft.com/office/drawing/2014/main" id="{D63DCDD2-C1AF-CAA3-F647-2CE06DB5964B}"/>
                </a:ext>
              </a:extLst>
            </xdr:cNvPr>
            <xdr:cNvSpPr/>
          </xdr:nvSpPr>
          <xdr:spPr>
            <a:xfrm>
              <a:off x="1859850" y="3541875"/>
              <a:ext cx="6972300" cy="4762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97" name="Shape 87">
              <a:extLst>
                <a:ext uri="{FF2B5EF4-FFF2-40B4-BE49-F238E27FC236}">
                  <a16:creationId xmlns:a16="http://schemas.microsoft.com/office/drawing/2014/main" id="{D6870C62-E8DF-F82A-39A9-14AAA7D15A2B}"/>
                </a:ext>
              </a:extLst>
            </xdr:cNvPr>
            <xdr:cNvGrpSpPr/>
          </xdr:nvGrpSpPr>
          <xdr:grpSpPr>
            <a:xfrm>
              <a:off x="1859850" y="3541875"/>
              <a:ext cx="6972300" cy="476250"/>
              <a:chOff x="1878900" y="3560775"/>
              <a:chExt cx="6934200" cy="438300"/>
            </a:xfrm>
          </xdr:grpSpPr>
          <xdr:sp macro="" textlink="">
            <xdr:nvSpPr>
              <xdr:cNvPr id="98" name="Shape 88">
                <a:extLst>
                  <a:ext uri="{FF2B5EF4-FFF2-40B4-BE49-F238E27FC236}">
                    <a16:creationId xmlns:a16="http://schemas.microsoft.com/office/drawing/2014/main" id="{A7F7552D-B9AB-FEC9-4C0C-F12A4CE1639D}"/>
                  </a:ext>
                </a:extLst>
              </xdr:cNvPr>
              <xdr:cNvSpPr/>
            </xdr:nvSpPr>
            <xdr:spPr>
              <a:xfrm>
                <a:off x="1878900" y="3560775"/>
                <a:ext cx="6934200" cy="4383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99" name="Shape 89">
                <a:extLst>
                  <a:ext uri="{FF2B5EF4-FFF2-40B4-BE49-F238E27FC236}">
                    <a16:creationId xmlns:a16="http://schemas.microsoft.com/office/drawing/2014/main" id="{0407F0A2-1BCF-C700-3D2C-9CE80A5B7442}"/>
                  </a:ext>
                </a:extLst>
              </xdr:cNvPr>
              <xdr:cNvCxnSpPr>
                <a:stCxn id="70" idx="2"/>
              </xdr:cNvCxnSpPr>
            </xdr:nvCxnSpPr>
            <xdr:spPr>
              <a:xfrm rot="10800000">
                <a:off x="1878900" y="3560775"/>
                <a:ext cx="6934200" cy="438300"/>
              </a:xfrm>
              <a:prstGeom prst="straightConnector1">
                <a:avLst/>
              </a:prstGeom>
              <a:noFill/>
              <a:ln w="38100" cap="flat" cmpd="sng">
                <a:solidFill>
                  <a:schemeClr val="accent2"/>
                </a:solidFill>
                <a:prstDash val="solid"/>
                <a:miter lim="800000"/>
                <a:headEnd type="none" w="sm" len="sm"/>
                <a:tailEnd type="triangle" w="med" len="med"/>
              </a:ln>
            </xdr:spPr>
          </xdr:cxnSp>
        </xdr:grpSp>
      </xdr:grpSp>
    </xdr:grpSp>
    <xdr:clientData fLocksWithSheet="0"/>
  </xdr:oneCellAnchor>
  <xdr:oneCellAnchor>
    <xdr:from>
      <xdr:col>3</xdr:col>
      <xdr:colOff>533400</xdr:colOff>
      <xdr:row>167</xdr:row>
      <xdr:rowOff>57150</xdr:rowOff>
    </xdr:from>
    <xdr:ext cx="7010400" cy="3076575"/>
    <xdr:pic>
      <xdr:nvPicPr>
        <xdr:cNvPr id="100" name="image7.png" title="Image">
          <a:extLst>
            <a:ext uri="{FF2B5EF4-FFF2-40B4-BE49-F238E27FC236}">
              <a16:creationId xmlns:a16="http://schemas.microsoft.com/office/drawing/2014/main" id="{C7ABB09C-8D62-4E9C-82D3-59BE3386A815}"/>
            </a:ext>
          </a:extLst>
        </xdr:cNvPr>
        <xdr:cNvPicPr preferRelativeResize="0"/>
      </xdr:nvPicPr>
      <xdr:blipFill>
        <a:blip xmlns:r="http://schemas.openxmlformats.org/officeDocument/2006/relationships" r:embed="rId1" cstate="print"/>
        <a:stretch>
          <a:fillRect/>
        </a:stretch>
      </xdr:blipFill>
      <xdr:spPr>
        <a:xfrm>
          <a:off x="7650480" y="29752290"/>
          <a:ext cx="7010400" cy="3076575"/>
        </a:xfrm>
        <a:prstGeom prst="rect">
          <a:avLst/>
        </a:prstGeom>
        <a:noFill/>
      </xdr:spPr>
    </xdr:pic>
    <xdr:clientData fLocksWithSheet="0"/>
  </xdr:oneCellAnchor>
  <xdr:oneCellAnchor>
    <xdr:from>
      <xdr:col>5</xdr:col>
      <xdr:colOff>457200</xdr:colOff>
      <xdr:row>131</xdr:row>
      <xdr:rowOff>9525</xdr:rowOff>
    </xdr:from>
    <xdr:ext cx="7029450" cy="5372100"/>
    <xdr:pic>
      <xdr:nvPicPr>
        <xdr:cNvPr id="101" name="image4.png">
          <a:extLst>
            <a:ext uri="{FF2B5EF4-FFF2-40B4-BE49-F238E27FC236}">
              <a16:creationId xmlns:a16="http://schemas.microsoft.com/office/drawing/2014/main" id="{C105166B-4FDB-41BF-9683-6F699BD57A2A}"/>
            </a:ext>
          </a:extLst>
        </xdr:cNvPr>
        <xdr:cNvPicPr preferRelativeResize="0"/>
      </xdr:nvPicPr>
      <xdr:blipFill>
        <a:blip xmlns:r="http://schemas.openxmlformats.org/officeDocument/2006/relationships" r:embed="rId2" cstate="print"/>
        <a:stretch>
          <a:fillRect/>
        </a:stretch>
      </xdr:blipFill>
      <xdr:spPr>
        <a:xfrm>
          <a:off x="8907780" y="23395305"/>
          <a:ext cx="7029450" cy="5372100"/>
        </a:xfrm>
        <a:prstGeom prst="rect">
          <a:avLst/>
        </a:prstGeom>
        <a:noFill/>
      </xdr:spPr>
    </xdr:pic>
    <xdr:clientData fLocksWithSheet="0"/>
  </xdr:oneCellAnchor>
  <xdr:oneCellAnchor>
    <xdr:from>
      <xdr:col>5</xdr:col>
      <xdr:colOff>561975</xdr:colOff>
      <xdr:row>91</xdr:row>
      <xdr:rowOff>104775</xdr:rowOff>
    </xdr:from>
    <xdr:ext cx="7391400" cy="5962650"/>
    <xdr:pic>
      <xdr:nvPicPr>
        <xdr:cNvPr id="102" name="image10.png">
          <a:extLst>
            <a:ext uri="{FF2B5EF4-FFF2-40B4-BE49-F238E27FC236}">
              <a16:creationId xmlns:a16="http://schemas.microsoft.com/office/drawing/2014/main" id="{779C6D37-6F3F-40AB-8462-F67057F39D04}"/>
            </a:ext>
          </a:extLst>
        </xdr:cNvPr>
        <xdr:cNvPicPr preferRelativeResize="0"/>
      </xdr:nvPicPr>
      <xdr:blipFill>
        <a:blip xmlns:r="http://schemas.openxmlformats.org/officeDocument/2006/relationships" r:embed="rId3" cstate="print"/>
        <a:stretch>
          <a:fillRect/>
        </a:stretch>
      </xdr:blipFill>
      <xdr:spPr>
        <a:xfrm>
          <a:off x="9012555" y="16243935"/>
          <a:ext cx="7391400" cy="5962650"/>
        </a:xfrm>
        <a:prstGeom prst="rect">
          <a:avLst/>
        </a:prstGeom>
        <a:noFill/>
      </xdr:spPr>
    </xdr:pic>
    <xdr:clientData fLocksWithSheet="0"/>
  </xdr:oneCellAnchor>
  <xdr:oneCellAnchor>
    <xdr:from>
      <xdr:col>30</xdr:col>
      <xdr:colOff>85725</xdr:colOff>
      <xdr:row>1</xdr:row>
      <xdr:rowOff>104775</xdr:rowOff>
    </xdr:from>
    <xdr:ext cx="4552950" cy="2286000"/>
    <xdr:pic>
      <xdr:nvPicPr>
        <xdr:cNvPr id="103" name="image8.png">
          <a:extLst>
            <a:ext uri="{FF2B5EF4-FFF2-40B4-BE49-F238E27FC236}">
              <a16:creationId xmlns:a16="http://schemas.microsoft.com/office/drawing/2014/main" id="{A1088F42-68E3-44CC-89D8-99391D758795}"/>
            </a:ext>
          </a:extLst>
        </xdr:cNvPr>
        <xdr:cNvPicPr preferRelativeResize="0"/>
      </xdr:nvPicPr>
      <xdr:blipFill>
        <a:blip xmlns:r="http://schemas.openxmlformats.org/officeDocument/2006/relationships" r:embed="rId4" cstate="print"/>
        <a:stretch>
          <a:fillRect/>
        </a:stretch>
      </xdr:blipFill>
      <xdr:spPr>
        <a:xfrm>
          <a:off x="29056965" y="280035"/>
          <a:ext cx="4552950" cy="2286000"/>
        </a:xfrm>
        <a:prstGeom prst="rect">
          <a:avLst/>
        </a:prstGeom>
        <a:noFill/>
      </xdr:spPr>
    </xdr:pic>
    <xdr:clientData fLocksWithSheet="0"/>
  </xdr:oneCellAnchor>
  <xdr:oneCellAnchor>
    <xdr:from>
      <xdr:col>19</xdr:col>
      <xdr:colOff>285750</xdr:colOff>
      <xdr:row>3</xdr:row>
      <xdr:rowOff>47625</xdr:rowOff>
    </xdr:from>
    <xdr:ext cx="5553075" cy="3000375"/>
    <xdr:pic>
      <xdr:nvPicPr>
        <xdr:cNvPr id="104" name="image3.png">
          <a:extLst>
            <a:ext uri="{FF2B5EF4-FFF2-40B4-BE49-F238E27FC236}">
              <a16:creationId xmlns:a16="http://schemas.microsoft.com/office/drawing/2014/main" id="{759EC430-8A16-4A19-B71A-DEAF9175AC8B}"/>
            </a:ext>
            <a:ext uri="{147F2762-F138-4A5C-976F-8EAC2B608ADB}">
              <a16:predDERef xmlns:a16="http://schemas.microsoft.com/office/drawing/2014/main" pred="{944BDB73-DCA5-45E0-8777-402587FE17D5}"/>
            </a:ext>
          </a:extLst>
        </xdr:cNvPr>
        <xdr:cNvPicPr preferRelativeResize="0"/>
      </xdr:nvPicPr>
      <xdr:blipFill>
        <a:blip xmlns:r="http://schemas.openxmlformats.org/officeDocument/2006/relationships" r:embed="rId5" cstate="print"/>
        <a:stretch>
          <a:fillRect/>
        </a:stretch>
      </xdr:blipFill>
      <xdr:spPr>
        <a:xfrm>
          <a:off x="22719030" y="573405"/>
          <a:ext cx="5553075" cy="3000375"/>
        </a:xfrm>
        <a:prstGeom prst="rect">
          <a:avLst/>
        </a:prstGeom>
        <a:noFill/>
      </xdr:spPr>
    </xdr:pic>
    <xdr:clientData fLocksWithSheet="0"/>
  </xdr:oneCellAnchor>
  <xdr:oneCellAnchor>
    <xdr:from>
      <xdr:col>19</xdr:col>
      <xdr:colOff>9525</xdr:colOff>
      <xdr:row>25</xdr:row>
      <xdr:rowOff>123825</xdr:rowOff>
    </xdr:from>
    <xdr:ext cx="5819775" cy="5095875"/>
    <xdr:pic>
      <xdr:nvPicPr>
        <xdr:cNvPr id="105" name="image6.png">
          <a:extLst>
            <a:ext uri="{FF2B5EF4-FFF2-40B4-BE49-F238E27FC236}">
              <a16:creationId xmlns:a16="http://schemas.microsoft.com/office/drawing/2014/main" id="{C5DEFD79-A219-44AE-B21E-F40F19834D67}"/>
            </a:ext>
          </a:extLst>
        </xdr:cNvPr>
        <xdr:cNvPicPr preferRelativeResize="0"/>
      </xdr:nvPicPr>
      <xdr:blipFill>
        <a:blip xmlns:r="http://schemas.openxmlformats.org/officeDocument/2006/relationships" r:embed="rId6" cstate="print"/>
        <a:stretch>
          <a:fillRect/>
        </a:stretch>
      </xdr:blipFill>
      <xdr:spPr>
        <a:xfrm>
          <a:off x="22442805" y="4505325"/>
          <a:ext cx="5819775" cy="5095875"/>
        </a:xfrm>
        <a:prstGeom prst="rect">
          <a:avLst/>
        </a:prstGeom>
        <a:noFill/>
      </xdr:spPr>
    </xdr:pic>
    <xdr:clientData fLocksWithSheet="0"/>
  </xdr:oneCellAnchor>
  <xdr:oneCellAnchor>
    <xdr:from>
      <xdr:col>30</xdr:col>
      <xdr:colOff>85725</xdr:colOff>
      <xdr:row>25</xdr:row>
      <xdr:rowOff>104775</xdr:rowOff>
    </xdr:from>
    <xdr:ext cx="5743575" cy="3933825"/>
    <xdr:pic>
      <xdr:nvPicPr>
        <xdr:cNvPr id="106" name="image9.png">
          <a:extLst>
            <a:ext uri="{FF2B5EF4-FFF2-40B4-BE49-F238E27FC236}">
              <a16:creationId xmlns:a16="http://schemas.microsoft.com/office/drawing/2014/main" id="{AE2F650B-809B-469B-9EB2-A7F159C2DDF4}"/>
            </a:ext>
          </a:extLst>
        </xdr:cNvPr>
        <xdr:cNvPicPr preferRelativeResize="0"/>
      </xdr:nvPicPr>
      <xdr:blipFill>
        <a:blip xmlns:r="http://schemas.openxmlformats.org/officeDocument/2006/relationships" r:embed="rId7" cstate="print"/>
        <a:stretch>
          <a:fillRect/>
        </a:stretch>
      </xdr:blipFill>
      <xdr:spPr>
        <a:xfrm>
          <a:off x="29056965" y="4486275"/>
          <a:ext cx="5743575" cy="3933825"/>
        </a:xfrm>
        <a:prstGeom prst="rect">
          <a:avLst/>
        </a:prstGeom>
        <a:noFill/>
      </xdr:spPr>
    </xdr:pic>
    <xdr:clientData fLocksWithSheet="0"/>
  </xdr:oneCellAnchor>
  <xdr:oneCellAnchor>
    <xdr:from>
      <xdr:col>19</xdr:col>
      <xdr:colOff>533400</xdr:colOff>
      <xdr:row>63</xdr:row>
      <xdr:rowOff>104775</xdr:rowOff>
    </xdr:from>
    <xdr:ext cx="7038975" cy="2381250"/>
    <xdr:pic>
      <xdr:nvPicPr>
        <xdr:cNvPr id="107" name="image5.png">
          <a:extLst>
            <a:ext uri="{FF2B5EF4-FFF2-40B4-BE49-F238E27FC236}">
              <a16:creationId xmlns:a16="http://schemas.microsoft.com/office/drawing/2014/main" id="{D96B0721-D1C7-4CF3-9553-FD7E942FE308}"/>
            </a:ext>
          </a:extLst>
        </xdr:cNvPr>
        <xdr:cNvPicPr preferRelativeResize="0"/>
      </xdr:nvPicPr>
      <xdr:blipFill>
        <a:blip xmlns:r="http://schemas.openxmlformats.org/officeDocument/2006/relationships" r:embed="rId8" cstate="print"/>
        <a:stretch>
          <a:fillRect/>
        </a:stretch>
      </xdr:blipFill>
      <xdr:spPr>
        <a:xfrm>
          <a:off x="22966680" y="11237595"/>
          <a:ext cx="7038975" cy="2381250"/>
        </a:xfrm>
        <a:prstGeom prst="rect">
          <a:avLst/>
        </a:prstGeom>
        <a:noFill/>
      </xdr:spPr>
    </xdr:pic>
    <xdr:clientData fLocksWithSheet="0"/>
  </xdr:oneCellAnchor>
</xdr:wsDr>
</file>

<file path=xl/drawings/drawing20.xml><?xml version="1.0" encoding="utf-8"?>
<xdr:wsDr xmlns:xdr="http://schemas.openxmlformats.org/drawingml/2006/spreadsheetDrawing" xmlns:a="http://schemas.openxmlformats.org/drawingml/2006/main">
  <xdr:twoCellAnchor editAs="oneCell">
    <xdr:from>
      <xdr:col>10</xdr:col>
      <xdr:colOff>463551</xdr:colOff>
      <xdr:row>1</xdr:row>
      <xdr:rowOff>31750</xdr:rowOff>
    </xdr:from>
    <xdr:to>
      <xdr:col>13</xdr:col>
      <xdr:colOff>31435</xdr:colOff>
      <xdr:row>7</xdr:row>
      <xdr:rowOff>106490</xdr:rowOff>
    </xdr:to>
    <xdr:pic>
      <xdr:nvPicPr>
        <xdr:cNvPr id="15" name="Picture 2">
          <a:extLst>
            <a:ext uri="{FF2B5EF4-FFF2-40B4-BE49-F238E27FC236}">
              <a16:creationId xmlns:a16="http://schemas.microsoft.com/office/drawing/2014/main" id="{F77A771E-0A9D-10A4-DF90-48206C1DF4F3}"/>
            </a:ext>
          </a:extLst>
        </xdr:cNvPr>
        <xdr:cNvPicPr>
          <a:picLocks noChangeAspect="1"/>
        </xdr:cNvPicPr>
      </xdr:nvPicPr>
      <xdr:blipFill>
        <a:blip xmlns:r="http://schemas.openxmlformats.org/officeDocument/2006/relationships" r:embed="rId1"/>
        <a:stretch>
          <a:fillRect/>
        </a:stretch>
      </xdr:blipFill>
      <xdr:spPr>
        <a:xfrm>
          <a:off x="10356851" y="209550"/>
          <a:ext cx="1410972" cy="116059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oneCellAnchor>
    <xdr:from>
      <xdr:col>6</xdr:col>
      <xdr:colOff>733425</xdr:colOff>
      <xdr:row>47</xdr:row>
      <xdr:rowOff>-38100</xdr:rowOff>
    </xdr:from>
    <xdr:ext cx="6591300" cy="1838325"/>
    <xdr:sp macro="" textlink="">
      <xdr:nvSpPr>
        <xdr:cNvPr id="2" name="Shape 10">
          <a:extLst>
            <a:ext uri="{FF2B5EF4-FFF2-40B4-BE49-F238E27FC236}">
              <a16:creationId xmlns:a16="http://schemas.microsoft.com/office/drawing/2014/main" id="{74338821-9D7C-4130-BF94-446FC57F5C22}"/>
            </a:ext>
          </a:extLst>
        </xdr:cNvPr>
        <xdr:cNvSpPr/>
      </xdr:nvSpPr>
      <xdr:spPr>
        <a:xfrm>
          <a:off x="8689975" y="8318500"/>
          <a:ext cx="6591300" cy="1838325"/>
        </a:xfrm>
        <a:prstGeom prst="ellipse">
          <a:avLst/>
        </a:prstGeom>
        <a:noFill/>
        <a:ln w="38100" cap="flat" cmpd="sng">
          <a:solidFill>
            <a:srgbClr val="31538F"/>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xdr:col>
      <xdr:colOff>1057275</xdr:colOff>
      <xdr:row>47</xdr:row>
      <xdr:rowOff>66675</xdr:rowOff>
    </xdr:from>
    <xdr:ext cx="6477000" cy="342900"/>
    <xdr:grpSp>
      <xdr:nvGrpSpPr>
        <xdr:cNvPr id="3" name="Shape 2">
          <a:extLst>
            <a:ext uri="{FF2B5EF4-FFF2-40B4-BE49-F238E27FC236}">
              <a16:creationId xmlns:a16="http://schemas.microsoft.com/office/drawing/2014/main" id="{F112B8E7-B8B9-48F2-ADFF-4C134A182BE6}"/>
            </a:ext>
          </a:extLst>
        </xdr:cNvPr>
        <xdr:cNvGrpSpPr/>
      </xdr:nvGrpSpPr>
      <xdr:grpSpPr>
        <a:xfrm>
          <a:off x="2032187" y="8493499"/>
          <a:ext cx="6477000" cy="342900"/>
          <a:chOff x="2107500" y="3608550"/>
          <a:chExt cx="6477000" cy="342900"/>
        </a:xfrm>
      </xdr:grpSpPr>
      <xdr:grpSp>
        <xdr:nvGrpSpPr>
          <xdr:cNvPr id="4" name="Shape 11">
            <a:extLst>
              <a:ext uri="{FF2B5EF4-FFF2-40B4-BE49-F238E27FC236}">
                <a16:creationId xmlns:a16="http://schemas.microsoft.com/office/drawing/2014/main" id="{D18F5944-9E36-35AE-BFAE-A4A178A35A1D}"/>
              </a:ext>
            </a:extLst>
          </xdr:cNvPr>
          <xdr:cNvGrpSpPr/>
        </xdr:nvGrpSpPr>
        <xdr:grpSpPr>
          <a:xfrm>
            <a:off x="2107500" y="3608550"/>
            <a:ext cx="6477000" cy="342900"/>
            <a:chOff x="2107500" y="3608550"/>
            <a:chExt cx="6477001" cy="342900"/>
          </a:xfrm>
        </xdr:grpSpPr>
        <xdr:sp macro="" textlink="">
          <xdr:nvSpPr>
            <xdr:cNvPr id="5" name="Shape 4">
              <a:extLst>
                <a:ext uri="{FF2B5EF4-FFF2-40B4-BE49-F238E27FC236}">
                  <a16:creationId xmlns:a16="http://schemas.microsoft.com/office/drawing/2014/main" id="{E1F83B40-E64A-1A50-FDF2-E2FA0DB0BBBF}"/>
                </a:ext>
              </a:extLst>
            </xdr:cNvPr>
            <xdr:cNvSpPr/>
          </xdr:nvSpPr>
          <xdr:spPr>
            <a:xfrm>
              <a:off x="2107500" y="3608550"/>
              <a:ext cx="6477000" cy="3429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 name="Shape 12">
              <a:extLst>
                <a:ext uri="{FF2B5EF4-FFF2-40B4-BE49-F238E27FC236}">
                  <a16:creationId xmlns:a16="http://schemas.microsoft.com/office/drawing/2014/main" id="{0F097722-5F4C-ABFC-9E45-61F740A65EA2}"/>
                </a:ext>
              </a:extLst>
            </xdr:cNvPr>
            <xdr:cNvGrpSpPr/>
          </xdr:nvGrpSpPr>
          <xdr:grpSpPr>
            <a:xfrm>
              <a:off x="2107500" y="3608550"/>
              <a:ext cx="6477001" cy="342900"/>
              <a:chOff x="2107500" y="3608550"/>
              <a:chExt cx="6477001" cy="342900"/>
            </a:xfrm>
          </xdr:grpSpPr>
          <xdr:sp macro="" textlink="">
            <xdr:nvSpPr>
              <xdr:cNvPr id="7" name="Shape 13">
                <a:extLst>
                  <a:ext uri="{FF2B5EF4-FFF2-40B4-BE49-F238E27FC236}">
                    <a16:creationId xmlns:a16="http://schemas.microsoft.com/office/drawing/2014/main" id="{49B5709C-88CC-71A7-7CAC-47ACE5875759}"/>
                  </a:ext>
                </a:extLst>
              </xdr:cNvPr>
              <xdr:cNvSpPr/>
            </xdr:nvSpPr>
            <xdr:spPr>
              <a:xfrm>
                <a:off x="2107500" y="3608550"/>
                <a:ext cx="6477000" cy="3429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8" name="Shape 14">
                <a:extLst>
                  <a:ext uri="{FF2B5EF4-FFF2-40B4-BE49-F238E27FC236}">
                    <a16:creationId xmlns:a16="http://schemas.microsoft.com/office/drawing/2014/main" id="{B3B4A5A4-57CC-0366-9B3D-CB548710BB41}"/>
                  </a:ext>
                </a:extLst>
              </xdr:cNvPr>
              <xdr:cNvGrpSpPr/>
            </xdr:nvGrpSpPr>
            <xdr:grpSpPr>
              <a:xfrm>
                <a:off x="2107500" y="3608550"/>
                <a:ext cx="6477001" cy="342900"/>
                <a:chOff x="2126550" y="3627600"/>
                <a:chExt cx="6438900" cy="304800"/>
              </a:xfrm>
            </xdr:grpSpPr>
            <xdr:sp macro="" textlink="">
              <xdr:nvSpPr>
                <xdr:cNvPr id="9" name="Shape 15">
                  <a:extLst>
                    <a:ext uri="{FF2B5EF4-FFF2-40B4-BE49-F238E27FC236}">
                      <a16:creationId xmlns:a16="http://schemas.microsoft.com/office/drawing/2014/main" id="{304C2288-E548-0513-082C-8B54EDD00F7A}"/>
                    </a:ext>
                  </a:extLst>
                </xdr:cNvPr>
                <xdr:cNvSpPr/>
              </xdr:nvSpPr>
              <xdr:spPr>
                <a:xfrm>
                  <a:off x="2126550" y="3627600"/>
                  <a:ext cx="6438900" cy="3048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10" name="Shape 16">
                  <a:extLst>
                    <a:ext uri="{FF2B5EF4-FFF2-40B4-BE49-F238E27FC236}">
                      <a16:creationId xmlns:a16="http://schemas.microsoft.com/office/drawing/2014/main" id="{5A0AAB82-59F9-1774-5326-D1F9C479698B}"/>
                    </a:ext>
                  </a:extLst>
                </xdr:cNvPr>
                <xdr:cNvCxnSpPr/>
              </xdr:nvCxnSpPr>
              <xdr:spPr>
                <a:xfrm rot="10800000">
                  <a:off x="2126550" y="3627600"/>
                  <a:ext cx="6438900" cy="304800"/>
                </a:xfrm>
                <a:prstGeom prst="straightConnector1">
                  <a:avLst/>
                </a:prstGeom>
                <a:noFill/>
                <a:ln w="38100" cap="flat" cmpd="sng">
                  <a:solidFill>
                    <a:schemeClr val="accent1"/>
                  </a:solidFill>
                  <a:prstDash val="solid"/>
                  <a:miter lim="800000"/>
                  <a:headEnd type="none" w="sm" len="sm"/>
                  <a:tailEnd type="triangle" w="med" len="med"/>
                </a:ln>
              </xdr:spPr>
            </xdr:cxnSp>
          </xdr:grpSp>
        </xdr:grpSp>
      </xdr:grpSp>
    </xdr:grpSp>
    <xdr:clientData fLocksWithSheet="0"/>
  </xdr:oneCellAnchor>
  <xdr:oneCellAnchor>
    <xdr:from>
      <xdr:col>10</xdr:col>
      <xdr:colOff>19050</xdr:colOff>
      <xdr:row>55</xdr:row>
      <xdr:rowOff>104775</xdr:rowOff>
    </xdr:from>
    <xdr:ext cx="1514475" cy="495300"/>
    <xdr:sp macro="" textlink="">
      <xdr:nvSpPr>
        <xdr:cNvPr id="11" name="Shape 17">
          <a:extLst>
            <a:ext uri="{FF2B5EF4-FFF2-40B4-BE49-F238E27FC236}">
              <a16:creationId xmlns:a16="http://schemas.microsoft.com/office/drawing/2014/main" id="{3FC4186B-EE79-49E6-A3FF-AC2C0735D3C3}"/>
            </a:ext>
          </a:extLst>
        </xdr:cNvPr>
        <xdr:cNvSpPr/>
      </xdr:nvSpPr>
      <xdr:spPr>
        <a:xfrm rot="10800000" flipH="1">
          <a:off x="12090400" y="9883775"/>
          <a:ext cx="1514475" cy="495300"/>
        </a:xfrm>
        <a:prstGeom prst="ellipse">
          <a:avLst/>
        </a:prstGeom>
        <a:noFill/>
        <a:ln w="38100" cap="flat" cmpd="sng">
          <a:solidFill>
            <a:srgbClr val="517E33"/>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5</xdr:col>
      <xdr:colOff>219075</xdr:colOff>
      <xdr:row>48</xdr:row>
      <xdr:rowOff>28575</xdr:rowOff>
    </xdr:from>
    <xdr:ext cx="3762375" cy="1609725"/>
    <xdr:grpSp>
      <xdr:nvGrpSpPr>
        <xdr:cNvPr id="12" name="Shape 2">
          <a:extLst>
            <a:ext uri="{FF2B5EF4-FFF2-40B4-BE49-F238E27FC236}">
              <a16:creationId xmlns:a16="http://schemas.microsoft.com/office/drawing/2014/main" id="{E1D33BD5-A5A4-4B6F-B58C-A46A304BF445}"/>
            </a:ext>
          </a:extLst>
        </xdr:cNvPr>
        <xdr:cNvGrpSpPr/>
      </xdr:nvGrpSpPr>
      <xdr:grpSpPr>
        <a:xfrm>
          <a:off x="7189134" y="8634693"/>
          <a:ext cx="3762375" cy="1609725"/>
          <a:chOff x="3464813" y="2975138"/>
          <a:chExt cx="3762374" cy="1609725"/>
        </a:xfrm>
      </xdr:grpSpPr>
      <xdr:grpSp>
        <xdr:nvGrpSpPr>
          <xdr:cNvPr id="13" name="Shape 18">
            <a:extLst>
              <a:ext uri="{FF2B5EF4-FFF2-40B4-BE49-F238E27FC236}">
                <a16:creationId xmlns:a16="http://schemas.microsoft.com/office/drawing/2014/main" id="{F2C8FC08-5EF4-AA8A-A87A-19C65CC814D4}"/>
              </a:ext>
            </a:extLst>
          </xdr:cNvPr>
          <xdr:cNvGrpSpPr/>
        </xdr:nvGrpSpPr>
        <xdr:grpSpPr>
          <a:xfrm>
            <a:off x="3464813" y="2975138"/>
            <a:ext cx="3762374" cy="1609725"/>
            <a:chOff x="3464813" y="2975138"/>
            <a:chExt cx="3762375" cy="1609725"/>
          </a:xfrm>
        </xdr:grpSpPr>
        <xdr:sp macro="" textlink="">
          <xdr:nvSpPr>
            <xdr:cNvPr id="14" name="Shape 4">
              <a:extLst>
                <a:ext uri="{FF2B5EF4-FFF2-40B4-BE49-F238E27FC236}">
                  <a16:creationId xmlns:a16="http://schemas.microsoft.com/office/drawing/2014/main" id="{139E5B75-FE35-8D21-2639-CE3AE3DDD1A8}"/>
                </a:ext>
              </a:extLst>
            </xdr:cNvPr>
            <xdr:cNvSpPr/>
          </xdr:nvSpPr>
          <xdr:spPr>
            <a:xfrm>
              <a:off x="3464813" y="2975138"/>
              <a:ext cx="3762375" cy="16097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15" name="Shape 19">
              <a:extLst>
                <a:ext uri="{FF2B5EF4-FFF2-40B4-BE49-F238E27FC236}">
                  <a16:creationId xmlns:a16="http://schemas.microsoft.com/office/drawing/2014/main" id="{230E4830-BECB-DD11-C374-4AADE469701F}"/>
                </a:ext>
              </a:extLst>
            </xdr:cNvPr>
            <xdr:cNvGrpSpPr/>
          </xdr:nvGrpSpPr>
          <xdr:grpSpPr>
            <a:xfrm>
              <a:off x="3464813" y="2975138"/>
              <a:ext cx="3762375" cy="1609725"/>
              <a:chOff x="3464813" y="2975138"/>
              <a:chExt cx="3762376" cy="1609725"/>
            </a:xfrm>
          </xdr:grpSpPr>
          <xdr:sp macro="" textlink="">
            <xdr:nvSpPr>
              <xdr:cNvPr id="16" name="Shape 20">
                <a:extLst>
                  <a:ext uri="{FF2B5EF4-FFF2-40B4-BE49-F238E27FC236}">
                    <a16:creationId xmlns:a16="http://schemas.microsoft.com/office/drawing/2014/main" id="{5CB7F980-186C-E347-2069-B437BCBC6EB0}"/>
                  </a:ext>
                </a:extLst>
              </xdr:cNvPr>
              <xdr:cNvSpPr/>
            </xdr:nvSpPr>
            <xdr:spPr>
              <a:xfrm>
                <a:off x="3464813" y="2975138"/>
                <a:ext cx="3762375" cy="16097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7" name="Shape 21">
                <a:extLst>
                  <a:ext uri="{FF2B5EF4-FFF2-40B4-BE49-F238E27FC236}">
                    <a16:creationId xmlns:a16="http://schemas.microsoft.com/office/drawing/2014/main" id="{9D3DB082-C910-48C3-7276-130A987726B4}"/>
                  </a:ext>
                </a:extLst>
              </xdr:cNvPr>
              <xdr:cNvGrpSpPr/>
            </xdr:nvGrpSpPr>
            <xdr:grpSpPr>
              <a:xfrm>
                <a:off x="3464813" y="2975138"/>
                <a:ext cx="3762376" cy="1609725"/>
                <a:chOff x="3483938" y="2994113"/>
                <a:chExt cx="3724200" cy="1571700"/>
              </a:xfrm>
            </xdr:grpSpPr>
            <xdr:sp macro="" textlink="">
              <xdr:nvSpPr>
                <xdr:cNvPr id="18" name="Shape 22">
                  <a:extLst>
                    <a:ext uri="{FF2B5EF4-FFF2-40B4-BE49-F238E27FC236}">
                      <a16:creationId xmlns:a16="http://schemas.microsoft.com/office/drawing/2014/main" id="{9CB2610A-1174-1C2D-806A-663FDD02F5C3}"/>
                    </a:ext>
                  </a:extLst>
                </xdr:cNvPr>
                <xdr:cNvSpPr/>
              </xdr:nvSpPr>
              <xdr:spPr>
                <a:xfrm>
                  <a:off x="3483938" y="2994113"/>
                  <a:ext cx="3724200" cy="15717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19" name="Shape 23">
                  <a:extLst>
                    <a:ext uri="{FF2B5EF4-FFF2-40B4-BE49-F238E27FC236}">
                      <a16:creationId xmlns:a16="http://schemas.microsoft.com/office/drawing/2014/main" id="{338E0522-FD57-D97E-BD88-885DBA4746C9}"/>
                    </a:ext>
                  </a:extLst>
                </xdr:cNvPr>
                <xdr:cNvCxnSpPr>
                  <a:stCxn id="11" idx="2"/>
                </xdr:cNvCxnSpPr>
              </xdr:nvCxnSpPr>
              <xdr:spPr>
                <a:xfrm rot="10800000">
                  <a:off x="3483938" y="2994113"/>
                  <a:ext cx="3724200" cy="1571700"/>
                </a:xfrm>
                <a:prstGeom prst="straightConnector1">
                  <a:avLst/>
                </a:prstGeom>
                <a:noFill/>
                <a:ln w="38100" cap="flat" cmpd="sng">
                  <a:solidFill>
                    <a:schemeClr val="accent6"/>
                  </a:solidFill>
                  <a:prstDash val="solid"/>
                  <a:miter lim="800000"/>
                  <a:headEnd type="none" w="sm" len="sm"/>
                  <a:tailEnd type="triangle" w="med" len="med"/>
                </a:ln>
              </xdr:spPr>
            </xdr:cxnSp>
          </xdr:grpSp>
        </xdr:grpSp>
      </xdr:grpSp>
    </xdr:grpSp>
    <xdr:clientData fLocksWithSheet="0"/>
  </xdr:oneCellAnchor>
  <xdr:oneCellAnchor>
    <xdr:from>
      <xdr:col>9</xdr:col>
      <xdr:colOff>552450</xdr:colOff>
      <xdr:row>57</xdr:row>
      <xdr:rowOff>28575</xdr:rowOff>
    </xdr:from>
    <xdr:ext cx="2105025" cy="457200"/>
    <xdr:sp macro="" textlink="">
      <xdr:nvSpPr>
        <xdr:cNvPr id="20" name="Shape 24">
          <a:extLst>
            <a:ext uri="{FF2B5EF4-FFF2-40B4-BE49-F238E27FC236}">
              <a16:creationId xmlns:a16="http://schemas.microsoft.com/office/drawing/2014/main" id="{34D3AE9A-6083-4FA3-8B01-47F594B021D1}"/>
            </a:ext>
          </a:extLst>
        </xdr:cNvPr>
        <xdr:cNvSpPr/>
      </xdr:nvSpPr>
      <xdr:spPr>
        <a:xfrm rot="10800000" flipH="1">
          <a:off x="11855450" y="10175875"/>
          <a:ext cx="2105025" cy="457200"/>
        </a:xfrm>
        <a:prstGeom prst="ellipse">
          <a:avLst/>
        </a:prstGeom>
        <a:noFill/>
        <a:ln w="38100" cap="flat" cmpd="sng">
          <a:solidFill>
            <a:srgbClr val="BA8C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180975</xdr:colOff>
      <xdr:row>51</xdr:row>
      <xdr:rowOff>104775</xdr:rowOff>
    </xdr:from>
    <xdr:ext cx="4200525" cy="1276350"/>
    <xdr:grpSp>
      <xdr:nvGrpSpPr>
        <xdr:cNvPr id="21" name="Shape 2">
          <a:extLst>
            <a:ext uri="{FF2B5EF4-FFF2-40B4-BE49-F238E27FC236}">
              <a16:creationId xmlns:a16="http://schemas.microsoft.com/office/drawing/2014/main" id="{1A99F3BE-B016-4CC7-B77D-291769EB87E0}"/>
            </a:ext>
          </a:extLst>
        </xdr:cNvPr>
        <xdr:cNvGrpSpPr/>
      </xdr:nvGrpSpPr>
      <xdr:grpSpPr>
        <a:xfrm>
          <a:off x="6467475" y="9248775"/>
          <a:ext cx="4200525" cy="1276350"/>
          <a:chOff x="3245738" y="3141825"/>
          <a:chExt cx="4200524" cy="1276350"/>
        </a:xfrm>
      </xdr:grpSpPr>
      <xdr:grpSp>
        <xdr:nvGrpSpPr>
          <xdr:cNvPr id="22" name="Shape 25">
            <a:extLst>
              <a:ext uri="{FF2B5EF4-FFF2-40B4-BE49-F238E27FC236}">
                <a16:creationId xmlns:a16="http://schemas.microsoft.com/office/drawing/2014/main" id="{5C92B943-706D-9D46-791B-DA9292EC0DAD}"/>
              </a:ext>
            </a:extLst>
          </xdr:cNvPr>
          <xdr:cNvGrpSpPr/>
        </xdr:nvGrpSpPr>
        <xdr:grpSpPr>
          <a:xfrm>
            <a:off x="3245738" y="3141825"/>
            <a:ext cx="4200524" cy="1276350"/>
            <a:chOff x="3245738" y="3141825"/>
            <a:chExt cx="4200525" cy="1276350"/>
          </a:xfrm>
        </xdr:grpSpPr>
        <xdr:sp macro="" textlink="">
          <xdr:nvSpPr>
            <xdr:cNvPr id="23" name="Shape 4">
              <a:extLst>
                <a:ext uri="{FF2B5EF4-FFF2-40B4-BE49-F238E27FC236}">
                  <a16:creationId xmlns:a16="http://schemas.microsoft.com/office/drawing/2014/main" id="{1232A441-38B0-0683-8AC2-09A71BDECDAA}"/>
                </a:ext>
              </a:extLst>
            </xdr:cNvPr>
            <xdr:cNvSpPr/>
          </xdr:nvSpPr>
          <xdr:spPr>
            <a:xfrm>
              <a:off x="3245738" y="3141825"/>
              <a:ext cx="4200525" cy="12763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24" name="Shape 26">
              <a:extLst>
                <a:ext uri="{FF2B5EF4-FFF2-40B4-BE49-F238E27FC236}">
                  <a16:creationId xmlns:a16="http://schemas.microsoft.com/office/drawing/2014/main" id="{EC333C09-9E8A-8CA2-5354-26BA53886FAC}"/>
                </a:ext>
              </a:extLst>
            </xdr:cNvPr>
            <xdr:cNvGrpSpPr/>
          </xdr:nvGrpSpPr>
          <xdr:grpSpPr>
            <a:xfrm>
              <a:off x="3245738" y="3141825"/>
              <a:ext cx="4200525" cy="1276350"/>
              <a:chOff x="3245738" y="3141825"/>
              <a:chExt cx="4200525" cy="1276350"/>
            </a:xfrm>
          </xdr:grpSpPr>
          <xdr:sp macro="" textlink="">
            <xdr:nvSpPr>
              <xdr:cNvPr id="25" name="Shape 27">
                <a:extLst>
                  <a:ext uri="{FF2B5EF4-FFF2-40B4-BE49-F238E27FC236}">
                    <a16:creationId xmlns:a16="http://schemas.microsoft.com/office/drawing/2014/main" id="{B6DA0D30-73B6-8C47-C7A5-37C4C8F26EB2}"/>
                  </a:ext>
                </a:extLst>
              </xdr:cNvPr>
              <xdr:cNvSpPr/>
            </xdr:nvSpPr>
            <xdr:spPr>
              <a:xfrm>
                <a:off x="3245738" y="3141825"/>
                <a:ext cx="4200525" cy="12763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26" name="Shape 28">
                <a:extLst>
                  <a:ext uri="{FF2B5EF4-FFF2-40B4-BE49-F238E27FC236}">
                    <a16:creationId xmlns:a16="http://schemas.microsoft.com/office/drawing/2014/main" id="{D87442A1-0BDC-63D2-858E-B6FEBB4472FB}"/>
                  </a:ext>
                </a:extLst>
              </xdr:cNvPr>
              <xdr:cNvGrpSpPr/>
            </xdr:nvGrpSpPr>
            <xdr:grpSpPr>
              <a:xfrm>
                <a:off x="3245738" y="3141825"/>
                <a:ext cx="4200525" cy="1276350"/>
                <a:chOff x="3264788" y="3156113"/>
                <a:chExt cx="4162425" cy="1247775"/>
              </a:xfrm>
            </xdr:grpSpPr>
            <xdr:sp macro="" textlink="">
              <xdr:nvSpPr>
                <xdr:cNvPr id="27" name="Shape 29">
                  <a:extLst>
                    <a:ext uri="{FF2B5EF4-FFF2-40B4-BE49-F238E27FC236}">
                      <a16:creationId xmlns:a16="http://schemas.microsoft.com/office/drawing/2014/main" id="{85E5C710-CB56-1795-43EF-B265ECDA61B1}"/>
                    </a:ext>
                  </a:extLst>
                </xdr:cNvPr>
                <xdr:cNvSpPr/>
              </xdr:nvSpPr>
              <xdr:spPr>
                <a:xfrm>
                  <a:off x="3264788" y="3156113"/>
                  <a:ext cx="4162425" cy="12477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28" name="Shape 30">
                  <a:extLst>
                    <a:ext uri="{FF2B5EF4-FFF2-40B4-BE49-F238E27FC236}">
                      <a16:creationId xmlns:a16="http://schemas.microsoft.com/office/drawing/2014/main" id="{724DE734-9C42-2DC3-D00C-CCBEC82FFCA2}"/>
                    </a:ext>
                  </a:extLst>
                </xdr:cNvPr>
                <xdr:cNvCxnSpPr/>
              </xdr:nvCxnSpPr>
              <xdr:spPr>
                <a:xfrm rot="10800000">
                  <a:off x="3264788" y="3156113"/>
                  <a:ext cx="4162425" cy="1247775"/>
                </a:xfrm>
                <a:prstGeom prst="straightConnector1">
                  <a:avLst/>
                </a:prstGeom>
                <a:noFill/>
                <a:ln w="38100" cap="flat" cmpd="sng">
                  <a:solidFill>
                    <a:schemeClr val="accent4"/>
                  </a:solidFill>
                  <a:prstDash val="solid"/>
                  <a:miter lim="800000"/>
                  <a:headEnd type="none" w="sm" len="sm"/>
                  <a:tailEnd type="triangle" w="med" len="med"/>
                </a:ln>
              </xdr:spPr>
            </xdr:cxnSp>
          </xdr:grpSp>
        </xdr:grpSp>
      </xdr:grpSp>
    </xdr:grpSp>
    <xdr:clientData fLocksWithSheet="0"/>
  </xdr:oneCellAnchor>
  <xdr:oneCellAnchor>
    <xdr:from>
      <xdr:col>9</xdr:col>
      <xdr:colOff>581025</xdr:colOff>
      <xdr:row>59</xdr:row>
      <xdr:rowOff>-57150</xdr:rowOff>
    </xdr:from>
    <xdr:ext cx="2114550" cy="466725"/>
    <xdr:sp macro="" textlink="">
      <xdr:nvSpPr>
        <xdr:cNvPr id="29" name="Shape 31">
          <a:extLst>
            <a:ext uri="{FF2B5EF4-FFF2-40B4-BE49-F238E27FC236}">
              <a16:creationId xmlns:a16="http://schemas.microsoft.com/office/drawing/2014/main" id="{8A3DAC34-0A53-40EB-AC5D-F3BE54F1CC41}"/>
            </a:ext>
          </a:extLst>
        </xdr:cNvPr>
        <xdr:cNvSpPr/>
      </xdr:nvSpPr>
      <xdr:spPr>
        <a:xfrm rot="10800000" flipH="1">
          <a:off x="11884025" y="10445750"/>
          <a:ext cx="2114550" cy="466725"/>
        </a:xfrm>
        <a:prstGeom prst="ellipse">
          <a:avLst/>
        </a:prstGeom>
        <a:noFill/>
        <a:ln w="38100" cap="flat" cmpd="sng">
          <a:solidFill>
            <a:schemeClr val="dk1"/>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66675</xdr:colOff>
      <xdr:row>53</xdr:row>
      <xdr:rowOff>95250</xdr:rowOff>
    </xdr:from>
    <xdr:ext cx="4381500" cy="1200150"/>
    <xdr:grpSp>
      <xdr:nvGrpSpPr>
        <xdr:cNvPr id="30" name="Shape 2">
          <a:extLst>
            <a:ext uri="{FF2B5EF4-FFF2-40B4-BE49-F238E27FC236}">
              <a16:creationId xmlns:a16="http://schemas.microsoft.com/office/drawing/2014/main" id="{38CE7ED6-7BC6-444C-B479-5DB4CA454A81}"/>
            </a:ext>
          </a:extLst>
        </xdr:cNvPr>
        <xdr:cNvGrpSpPr/>
      </xdr:nvGrpSpPr>
      <xdr:grpSpPr>
        <a:xfrm>
          <a:off x="6353175" y="9597838"/>
          <a:ext cx="4381500" cy="1200150"/>
          <a:chOff x="3155250" y="3179925"/>
          <a:chExt cx="4381500" cy="1200150"/>
        </a:xfrm>
      </xdr:grpSpPr>
      <xdr:grpSp>
        <xdr:nvGrpSpPr>
          <xdr:cNvPr id="31" name="Shape 32">
            <a:extLst>
              <a:ext uri="{FF2B5EF4-FFF2-40B4-BE49-F238E27FC236}">
                <a16:creationId xmlns:a16="http://schemas.microsoft.com/office/drawing/2014/main" id="{4FA0A047-2346-8344-29B1-5DA5D9A3687B}"/>
              </a:ext>
            </a:extLst>
          </xdr:cNvPr>
          <xdr:cNvGrpSpPr/>
        </xdr:nvGrpSpPr>
        <xdr:grpSpPr>
          <a:xfrm>
            <a:off x="3155250" y="3179925"/>
            <a:ext cx="4381500" cy="1200150"/>
            <a:chOff x="3155250" y="3179925"/>
            <a:chExt cx="4381500" cy="1200150"/>
          </a:xfrm>
        </xdr:grpSpPr>
        <xdr:sp macro="" textlink="">
          <xdr:nvSpPr>
            <xdr:cNvPr id="32" name="Shape 4">
              <a:extLst>
                <a:ext uri="{FF2B5EF4-FFF2-40B4-BE49-F238E27FC236}">
                  <a16:creationId xmlns:a16="http://schemas.microsoft.com/office/drawing/2014/main" id="{DE623B94-1733-2BD6-B05D-0287E5A93CF6}"/>
                </a:ext>
              </a:extLst>
            </xdr:cNvPr>
            <xdr:cNvSpPr/>
          </xdr:nvSpPr>
          <xdr:spPr>
            <a:xfrm>
              <a:off x="3155250" y="3179925"/>
              <a:ext cx="4381500" cy="1200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33" name="Shape 33">
              <a:extLst>
                <a:ext uri="{FF2B5EF4-FFF2-40B4-BE49-F238E27FC236}">
                  <a16:creationId xmlns:a16="http://schemas.microsoft.com/office/drawing/2014/main" id="{D9D2B169-BF27-5CFE-74D1-C55AB7CFCB45}"/>
                </a:ext>
              </a:extLst>
            </xdr:cNvPr>
            <xdr:cNvGrpSpPr/>
          </xdr:nvGrpSpPr>
          <xdr:grpSpPr>
            <a:xfrm>
              <a:off x="3155250" y="3179925"/>
              <a:ext cx="4381500" cy="1200150"/>
              <a:chOff x="3155250" y="3179925"/>
              <a:chExt cx="4381500" cy="1200150"/>
            </a:xfrm>
          </xdr:grpSpPr>
          <xdr:sp macro="" textlink="">
            <xdr:nvSpPr>
              <xdr:cNvPr id="34" name="Shape 34">
                <a:extLst>
                  <a:ext uri="{FF2B5EF4-FFF2-40B4-BE49-F238E27FC236}">
                    <a16:creationId xmlns:a16="http://schemas.microsoft.com/office/drawing/2014/main" id="{58C7397B-BC9F-8143-B94B-959784AD8ACE}"/>
                  </a:ext>
                </a:extLst>
              </xdr:cNvPr>
              <xdr:cNvSpPr/>
            </xdr:nvSpPr>
            <xdr:spPr>
              <a:xfrm>
                <a:off x="3155250" y="3179925"/>
                <a:ext cx="4381500" cy="1200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35" name="Shape 35">
                <a:extLst>
                  <a:ext uri="{FF2B5EF4-FFF2-40B4-BE49-F238E27FC236}">
                    <a16:creationId xmlns:a16="http://schemas.microsoft.com/office/drawing/2014/main" id="{4DE9185A-F31B-85AE-3D5A-508C8506EB78}"/>
                  </a:ext>
                </a:extLst>
              </xdr:cNvPr>
              <xdr:cNvGrpSpPr/>
            </xdr:nvGrpSpPr>
            <xdr:grpSpPr>
              <a:xfrm>
                <a:off x="3155250" y="3179925"/>
                <a:ext cx="4381500" cy="1200150"/>
                <a:chOff x="3174300" y="3199125"/>
                <a:chExt cx="4343400" cy="1161900"/>
              </a:xfrm>
            </xdr:grpSpPr>
            <xdr:sp macro="" textlink="">
              <xdr:nvSpPr>
                <xdr:cNvPr id="36" name="Shape 36">
                  <a:extLst>
                    <a:ext uri="{FF2B5EF4-FFF2-40B4-BE49-F238E27FC236}">
                      <a16:creationId xmlns:a16="http://schemas.microsoft.com/office/drawing/2014/main" id="{2AC1BF6E-CA0A-12E7-ED2B-5F2BA661B3FD}"/>
                    </a:ext>
                  </a:extLst>
                </xdr:cNvPr>
                <xdr:cNvSpPr/>
              </xdr:nvSpPr>
              <xdr:spPr>
                <a:xfrm>
                  <a:off x="3174300" y="3199125"/>
                  <a:ext cx="4343400" cy="11619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37" name="Shape 37">
                  <a:extLst>
                    <a:ext uri="{FF2B5EF4-FFF2-40B4-BE49-F238E27FC236}">
                      <a16:creationId xmlns:a16="http://schemas.microsoft.com/office/drawing/2014/main" id="{A2F6744D-EB26-CF64-80D0-B40591835F87}"/>
                    </a:ext>
                  </a:extLst>
                </xdr:cNvPr>
                <xdr:cNvCxnSpPr>
                  <a:stCxn id="29" idx="2"/>
                </xdr:cNvCxnSpPr>
              </xdr:nvCxnSpPr>
              <xdr:spPr>
                <a:xfrm rot="10800000">
                  <a:off x="3174300" y="3199125"/>
                  <a:ext cx="4343400" cy="1161900"/>
                </a:xfrm>
                <a:prstGeom prst="straightConnector1">
                  <a:avLst/>
                </a:prstGeom>
                <a:noFill/>
                <a:ln w="38100" cap="flat" cmpd="sng">
                  <a:solidFill>
                    <a:schemeClr val="dk1"/>
                  </a:solidFill>
                  <a:prstDash val="solid"/>
                  <a:miter lim="800000"/>
                  <a:headEnd type="none" w="sm" len="sm"/>
                  <a:tailEnd type="triangle" w="med" len="med"/>
                </a:ln>
              </xdr:spPr>
            </xdr:cxnSp>
          </xdr:grpSp>
        </xdr:grpSp>
      </xdr:grpSp>
    </xdr:grpSp>
    <xdr:clientData fLocksWithSheet="0"/>
  </xdr:oneCellAnchor>
  <xdr:oneCellAnchor>
    <xdr:from>
      <xdr:col>5</xdr:col>
      <xdr:colOff>333375</xdr:colOff>
      <xdr:row>63</xdr:row>
      <xdr:rowOff>47625</xdr:rowOff>
    </xdr:from>
    <xdr:ext cx="1562100" cy="590550"/>
    <xdr:sp macro="" textlink="">
      <xdr:nvSpPr>
        <xdr:cNvPr id="38" name="Shape 38">
          <a:extLst>
            <a:ext uri="{FF2B5EF4-FFF2-40B4-BE49-F238E27FC236}">
              <a16:creationId xmlns:a16="http://schemas.microsoft.com/office/drawing/2014/main" id="{1F60F891-919A-485C-BEAE-15BBB88CE0F0}"/>
            </a:ext>
          </a:extLst>
        </xdr:cNvPr>
        <xdr:cNvSpPr/>
      </xdr:nvSpPr>
      <xdr:spPr>
        <a:xfrm>
          <a:off x="7451725" y="11261725"/>
          <a:ext cx="1562100" cy="590550"/>
        </a:xfrm>
        <a:prstGeom prst="ellipse">
          <a:avLst/>
        </a:prstGeom>
        <a:noFill/>
        <a:ln w="38100" cap="flat" cmpd="sng">
          <a:solidFill>
            <a:srgbClr val="AC5B23"/>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219075</xdr:colOff>
      <xdr:row>56</xdr:row>
      <xdr:rowOff>9525</xdr:rowOff>
    </xdr:from>
    <xdr:ext cx="904875" cy="1628775"/>
    <xdr:grpSp>
      <xdr:nvGrpSpPr>
        <xdr:cNvPr id="39" name="Shape 2">
          <a:extLst>
            <a:ext uri="{FF2B5EF4-FFF2-40B4-BE49-F238E27FC236}">
              <a16:creationId xmlns:a16="http://schemas.microsoft.com/office/drawing/2014/main" id="{DA4C6E90-D77A-42FF-A33F-66834E292742}"/>
            </a:ext>
          </a:extLst>
        </xdr:cNvPr>
        <xdr:cNvGrpSpPr/>
      </xdr:nvGrpSpPr>
      <xdr:grpSpPr>
        <a:xfrm>
          <a:off x="6505575" y="10049996"/>
          <a:ext cx="904875" cy="1628775"/>
          <a:chOff x="4893563" y="2965613"/>
          <a:chExt cx="904875" cy="1628775"/>
        </a:xfrm>
      </xdr:grpSpPr>
      <xdr:grpSp>
        <xdr:nvGrpSpPr>
          <xdr:cNvPr id="40" name="Shape 39">
            <a:extLst>
              <a:ext uri="{FF2B5EF4-FFF2-40B4-BE49-F238E27FC236}">
                <a16:creationId xmlns:a16="http://schemas.microsoft.com/office/drawing/2014/main" id="{A1345EB2-7102-4BEC-F473-12B8A5D8BC69}"/>
              </a:ext>
            </a:extLst>
          </xdr:cNvPr>
          <xdr:cNvGrpSpPr/>
        </xdr:nvGrpSpPr>
        <xdr:grpSpPr>
          <a:xfrm>
            <a:off x="4893563" y="2965613"/>
            <a:ext cx="904875" cy="1628775"/>
            <a:chOff x="4893563" y="2965613"/>
            <a:chExt cx="904875" cy="1628775"/>
          </a:xfrm>
        </xdr:grpSpPr>
        <xdr:sp macro="" textlink="">
          <xdr:nvSpPr>
            <xdr:cNvPr id="41" name="Shape 4">
              <a:extLst>
                <a:ext uri="{FF2B5EF4-FFF2-40B4-BE49-F238E27FC236}">
                  <a16:creationId xmlns:a16="http://schemas.microsoft.com/office/drawing/2014/main" id="{BD7D5FD6-6456-0C82-0721-600C3C101332}"/>
                </a:ext>
              </a:extLst>
            </xdr:cNvPr>
            <xdr:cNvSpPr/>
          </xdr:nvSpPr>
          <xdr:spPr>
            <a:xfrm>
              <a:off x="4893563" y="2965613"/>
              <a:ext cx="904875" cy="16287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42" name="Shape 40">
              <a:extLst>
                <a:ext uri="{FF2B5EF4-FFF2-40B4-BE49-F238E27FC236}">
                  <a16:creationId xmlns:a16="http://schemas.microsoft.com/office/drawing/2014/main" id="{4855CDA2-1B90-4968-DEF5-783E0127D1EB}"/>
                </a:ext>
              </a:extLst>
            </xdr:cNvPr>
            <xdr:cNvGrpSpPr/>
          </xdr:nvGrpSpPr>
          <xdr:grpSpPr>
            <a:xfrm>
              <a:off x="4893563" y="2965613"/>
              <a:ext cx="904875" cy="1628775"/>
              <a:chOff x="4893563" y="2965613"/>
              <a:chExt cx="904875" cy="1628775"/>
            </a:xfrm>
          </xdr:grpSpPr>
          <xdr:sp macro="" textlink="">
            <xdr:nvSpPr>
              <xdr:cNvPr id="43" name="Shape 41">
                <a:extLst>
                  <a:ext uri="{FF2B5EF4-FFF2-40B4-BE49-F238E27FC236}">
                    <a16:creationId xmlns:a16="http://schemas.microsoft.com/office/drawing/2014/main" id="{39BA7B50-E555-757B-619F-0B2B4791B3E8}"/>
                  </a:ext>
                </a:extLst>
              </xdr:cNvPr>
              <xdr:cNvSpPr/>
            </xdr:nvSpPr>
            <xdr:spPr>
              <a:xfrm>
                <a:off x="4893563" y="2965613"/>
                <a:ext cx="904875" cy="16287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44" name="Shape 42">
                <a:extLst>
                  <a:ext uri="{FF2B5EF4-FFF2-40B4-BE49-F238E27FC236}">
                    <a16:creationId xmlns:a16="http://schemas.microsoft.com/office/drawing/2014/main" id="{8612DC70-163E-DD63-E8B9-74AA1D360DCB}"/>
                  </a:ext>
                </a:extLst>
              </xdr:cNvPr>
              <xdr:cNvGrpSpPr/>
            </xdr:nvGrpSpPr>
            <xdr:grpSpPr>
              <a:xfrm>
                <a:off x="4893563" y="2965613"/>
                <a:ext cx="904875" cy="1628775"/>
                <a:chOff x="4912688" y="2984738"/>
                <a:chExt cx="866700" cy="1590600"/>
              </a:xfrm>
            </xdr:grpSpPr>
            <xdr:sp macro="" textlink="">
              <xdr:nvSpPr>
                <xdr:cNvPr id="45" name="Shape 43">
                  <a:extLst>
                    <a:ext uri="{FF2B5EF4-FFF2-40B4-BE49-F238E27FC236}">
                      <a16:creationId xmlns:a16="http://schemas.microsoft.com/office/drawing/2014/main" id="{6FA98BAC-56CF-13CC-BE9E-AD15B4801BC7}"/>
                    </a:ext>
                  </a:extLst>
                </xdr:cNvPr>
                <xdr:cNvSpPr/>
              </xdr:nvSpPr>
              <xdr:spPr>
                <a:xfrm>
                  <a:off x="4912688" y="2984738"/>
                  <a:ext cx="866700" cy="1590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46" name="Shape 44">
                  <a:extLst>
                    <a:ext uri="{FF2B5EF4-FFF2-40B4-BE49-F238E27FC236}">
                      <a16:creationId xmlns:a16="http://schemas.microsoft.com/office/drawing/2014/main" id="{7F0E3C05-E07F-9DFE-DBC4-6044C3A1FE30}"/>
                    </a:ext>
                  </a:extLst>
                </xdr:cNvPr>
                <xdr:cNvCxnSpPr>
                  <a:stCxn id="35" idx="2"/>
                </xdr:cNvCxnSpPr>
              </xdr:nvCxnSpPr>
              <xdr:spPr>
                <a:xfrm rot="10800000">
                  <a:off x="4912688" y="2984738"/>
                  <a:ext cx="866700" cy="1590600"/>
                </a:xfrm>
                <a:prstGeom prst="straightConnector1">
                  <a:avLst/>
                </a:prstGeom>
                <a:noFill/>
                <a:ln w="38100" cap="flat" cmpd="sng">
                  <a:solidFill>
                    <a:schemeClr val="accent2"/>
                  </a:solidFill>
                  <a:prstDash val="solid"/>
                  <a:miter lim="800000"/>
                  <a:headEnd type="none" w="sm" len="sm"/>
                  <a:tailEnd type="triangle" w="med" len="med"/>
                </a:ln>
              </xdr:spPr>
            </xdr:cxnSp>
          </xdr:grpSp>
        </xdr:grpSp>
      </xdr:grpSp>
    </xdr:grpSp>
    <xdr:clientData fLocksWithSheet="0"/>
  </xdr:oneCellAnchor>
  <xdr:oneCellAnchor>
    <xdr:from>
      <xdr:col>9</xdr:col>
      <xdr:colOff>619125</xdr:colOff>
      <xdr:row>63</xdr:row>
      <xdr:rowOff>9525</xdr:rowOff>
    </xdr:from>
    <xdr:ext cx="1143000" cy="619125"/>
    <xdr:sp macro="" textlink="">
      <xdr:nvSpPr>
        <xdr:cNvPr id="47" name="Shape 45">
          <a:extLst>
            <a:ext uri="{FF2B5EF4-FFF2-40B4-BE49-F238E27FC236}">
              <a16:creationId xmlns:a16="http://schemas.microsoft.com/office/drawing/2014/main" id="{4B8C4C04-8005-4F04-B785-A61318CF7E32}"/>
            </a:ext>
          </a:extLst>
        </xdr:cNvPr>
        <xdr:cNvSpPr/>
      </xdr:nvSpPr>
      <xdr:spPr>
        <a:xfrm>
          <a:off x="11922125" y="11223625"/>
          <a:ext cx="1143000" cy="619125"/>
        </a:xfrm>
        <a:prstGeom prst="ellipse">
          <a:avLst/>
        </a:prstGeom>
        <a:noFill/>
        <a:ln w="38100" cap="flat" cmpd="sng">
          <a:solidFill>
            <a:srgbClr val="FF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xdr:col>
      <xdr:colOff>2581275</xdr:colOff>
      <xdr:row>57</xdr:row>
      <xdr:rowOff>95250</xdr:rowOff>
    </xdr:from>
    <xdr:ext cx="6543675" cy="1352550"/>
    <xdr:grpSp>
      <xdr:nvGrpSpPr>
        <xdr:cNvPr id="48" name="Shape 2">
          <a:extLst>
            <a:ext uri="{FF2B5EF4-FFF2-40B4-BE49-F238E27FC236}">
              <a16:creationId xmlns:a16="http://schemas.microsoft.com/office/drawing/2014/main" id="{26ECEB59-3B7E-44EA-9A49-DB7318BC0303}"/>
            </a:ext>
          </a:extLst>
        </xdr:cNvPr>
        <xdr:cNvGrpSpPr/>
      </xdr:nvGrpSpPr>
      <xdr:grpSpPr>
        <a:xfrm>
          <a:off x="3556187" y="10326221"/>
          <a:ext cx="6543675" cy="1352550"/>
          <a:chOff x="2074163" y="3103725"/>
          <a:chExt cx="6543675" cy="1352550"/>
        </a:xfrm>
      </xdr:grpSpPr>
      <xdr:grpSp>
        <xdr:nvGrpSpPr>
          <xdr:cNvPr id="49" name="Shape 46">
            <a:extLst>
              <a:ext uri="{FF2B5EF4-FFF2-40B4-BE49-F238E27FC236}">
                <a16:creationId xmlns:a16="http://schemas.microsoft.com/office/drawing/2014/main" id="{3485FBDE-11C7-B0A2-6C39-2B6AD9513289}"/>
              </a:ext>
            </a:extLst>
          </xdr:cNvPr>
          <xdr:cNvGrpSpPr/>
        </xdr:nvGrpSpPr>
        <xdr:grpSpPr>
          <a:xfrm>
            <a:off x="2074163" y="3103725"/>
            <a:ext cx="6543675" cy="1352550"/>
            <a:chOff x="2074163" y="3103725"/>
            <a:chExt cx="6543675" cy="1352550"/>
          </a:xfrm>
        </xdr:grpSpPr>
        <xdr:sp macro="" textlink="">
          <xdr:nvSpPr>
            <xdr:cNvPr id="50" name="Shape 4">
              <a:extLst>
                <a:ext uri="{FF2B5EF4-FFF2-40B4-BE49-F238E27FC236}">
                  <a16:creationId xmlns:a16="http://schemas.microsoft.com/office/drawing/2014/main" id="{7D2456A8-ED6E-3C7B-B2E2-ADEA9E4D9B0B}"/>
                </a:ext>
              </a:extLst>
            </xdr:cNvPr>
            <xdr:cNvSpPr/>
          </xdr:nvSpPr>
          <xdr:spPr>
            <a:xfrm>
              <a:off x="2074163" y="3103725"/>
              <a:ext cx="6543675" cy="13525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51" name="Shape 47">
              <a:extLst>
                <a:ext uri="{FF2B5EF4-FFF2-40B4-BE49-F238E27FC236}">
                  <a16:creationId xmlns:a16="http://schemas.microsoft.com/office/drawing/2014/main" id="{E2A76B17-ED62-BBF8-6EFC-D5E5AA8E7B5F}"/>
                </a:ext>
              </a:extLst>
            </xdr:cNvPr>
            <xdr:cNvGrpSpPr/>
          </xdr:nvGrpSpPr>
          <xdr:grpSpPr>
            <a:xfrm>
              <a:off x="2074163" y="3103725"/>
              <a:ext cx="6543675" cy="1352550"/>
              <a:chOff x="2074163" y="3103725"/>
              <a:chExt cx="6543675" cy="1352550"/>
            </a:xfrm>
          </xdr:grpSpPr>
          <xdr:sp macro="" textlink="">
            <xdr:nvSpPr>
              <xdr:cNvPr id="52" name="Shape 48">
                <a:extLst>
                  <a:ext uri="{FF2B5EF4-FFF2-40B4-BE49-F238E27FC236}">
                    <a16:creationId xmlns:a16="http://schemas.microsoft.com/office/drawing/2014/main" id="{B36B794B-EEBC-3AA6-675F-6A68FDC43906}"/>
                  </a:ext>
                </a:extLst>
              </xdr:cNvPr>
              <xdr:cNvSpPr/>
            </xdr:nvSpPr>
            <xdr:spPr>
              <a:xfrm>
                <a:off x="2074163" y="3103725"/>
                <a:ext cx="6543675" cy="13525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53" name="Shape 49">
                <a:extLst>
                  <a:ext uri="{FF2B5EF4-FFF2-40B4-BE49-F238E27FC236}">
                    <a16:creationId xmlns:a16="http://schemas.microsoft.com/office/drawing/2014/main" id="{8FA4DB72-E52A-027E-0060-603FB313F91D}"/>
                  </a:ext>
                </a:extLst>
              </xdr:cNvPr>
              <xdr:cNvGrpSpPr/>
            </xdr:nvGrpSpPr>
            <xdr:grpSpPr>
              <a:xfrm>
                <a:off x="2074163" y="3103725"/>
                <a:ext cx="6543675" cy="1352550"/>
                <a:chOff x="2093213" y="3122775"/>
                <a:chExt cx="6505575" cy="1314450"/>
              </a:xfrm>
            </xdr:grpSpPr>
            <xdr:sp macro="" textlink="">
              <xdr:nvSpPr>
                <xdr:cNvPr id="54" name="Shape 50">
                  <a:extLst>
                    <a:ext uri="{FF2B5EF4-FFF2-40B4-BE49-F238E27FC236}">
                      <a16:creationId xmlns:a16="http://schemas.microsoft.com/office/drawing/2014/main" id="{DE854CAA-B4DB-3283-73D0-333946170385}"/>
                    </a:ext>
                  </a:extLst>
                </xdr:cNvPr>
                <xdr:cNvSpPr/>
              </xdr:nvSpPr>
              <xdr:spPr>
                <a:xfrm>
                  <a:off x="2093213" y="3122775"/>
                  <a:ext cx="6505575" cy="13144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55" name="Shape 51">
                  <a:extLst>
                    <a:ext uri="{FF2B5EF4-FFF2-40B4-BE49-F238E27FC236}">
                      <a16:creationId xmlns:a16="http://schemas.microsoft.com/office/drawing/2014/main" id="{CF0EEEC9-8D8E-C73A-6411-3674277C76C6}"/>
                    </a:ext>
                  </a:extLst>
                </xdr:cNvPr>
                <xdr:cNvCxnSpPr/>
              </xdr:nvCxnSpPr>
              <xdr:spPr>
                <a:xfrm rot="10800000">
                  <a:off x="2093213" y="3122775"/>
                  <a:ext cx="6505575" cy="1314450"/>
                </a:xfrm>
                <a:prstGeom prst="straightConnector1">
                  <a:avLst/>
                </a:prstGeom>
                <a:noFill/>
                <a:ln w="38100" cap="flat" cmpd="sng">
                  <a:solidFill>
                    <a:srgbClr val="FF0000"/>
                  </a:solidFill>
                  <a:prstDash val="solid"/>
                  <a:miter lim="800000"/>
                  <a:headEnd type="none" w="sm" len="sm"/>
                  <a:tailEnd type="triangle" w="med" len="med"/>
                </a:ln>
              </xdr:spPr>
            </xdr:cxnSp>
          </xdr:grpSp>
        </xdr:grpSp>
      </xdr:grpSp>
    </xdr:grpSp>
    <xdr:clientData fLocksWithSheet="0"/>
  </xdr:oneCellAnchor>
  <xdr:oneCellAnchor>
    <xdr:from>
      <xdr:col>8</xdr:col>
      <xdr:colOff>28575</xdr:colOff>
      <xdr:row>89</xdr:row>
      <xdr:rowOff>66675</xdr:rowOff>
    </xdr:from>
    <xdr:ext cx="4000500" cy="809625"/>
    <xdr:sp macro="" textlink="">
      <xdr:nvSpPr>
        <xdr:cNvPr id="56" name="Shape 52">
          <a:extLst>
            <a:ext uri="{FF2B5EF4-FFF2-40B4-BE49-F238E27FC236}">
              <a16:creationId xmlns:a16="http://schemas.microsoft.com/office/drawing/2014/main" id="{7A07C06C-7AA7-46BD-BBCA-8AE16FBCA82A}"/>
            </a:ext>
          </a:extLst>
        </xdr:cNvPr>
        <xdr:cNvSpPr/>
      </xdr:nvSpPr>
      <xdr:spPr>
        <a:xfrm rot="10800000" flipH="1">
          <a:off x="10125075" y="15903575"/>
          <a:ext cx="4000500" cy="809625"/>
        </a:xfrm>
        <a:prstGeom prst="ellipse">
          <a:avLst/>
        </a:prstGeom>
        <a:noFill/>
        <a:ln w="38100" cap="flat" cmpd="sng">
          <a:solidFill>
            <a:srgbClr val="FF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xdr:col>
      <xdr:colOff>1638300</xdr:colOff>
      <xdr:row>85</xdr:row>
      <xdr:rowOff>123825</xdr:rowOff>
    </xdr:from>
    <xdr:ext cx="6334125" cy="1200150"/>
    <xdr:grpSp>
      <xdr:nvGrpSpPr>
        <xdr:cNvPr id="57" name="Shape 2">
          <a:extLst>
            <a:ext uri="{FF2B5EF4-FFF2-40B4-BE49-F238E27FC236}">
              <a16:creationId xmlns:a16="http://schemas.microsoft.com/office/drawing/2014/main" id="{841BE96C-6388-4782-9D88-F3837C16D23F}"/>
            </a:ext>
          </a:extLst>
        </xdr:cNvPr>
        <xdr:cNvGrpSpPr/>
      </xdr:nvGrpSpPr>
      <xdr:grpSpPr>
        <a:xfrm>
          <a:off x="2613212" y="15375031"/>
          <a:ext cx="6334125" cy="1200150"/>
          <a:chOff x="2178938" y="3179925"/>
          <a:chExt cx="6334125" cy="1200150"/>
        </a:xfrm>
      </xdr:grpSpPr>
      <xdr:grpSp>
        <xdr:nvGrpSpPr>
          <xdr:cNvPr id="58" name="Shape 53">
            <a:extLst>
              <a:ext uri="{FF2B5EF4-FFF2-40B4-BE49-F238E27FC236}">
                <a16:creationId xmlns:a16="http://schemas.microsoft.com/office/drawing/2014/main" id="{8991B4B6-3BE0-E4A4-596B-EB5F618C98BD}"/>
              </a:ext>
            </a:extLst>
          </xdr:cNvPr>
          <xdr:cNvGrpSpPr/>
        </xdr:nvGrpSpPr>
        <xdr:grpSpPr>
          <a:xfrm>
            <a:off x="2178938" y="3179925"/>
            <a:ext cx="6334125" cy="1200150"/>
            <a:chOff x="2178938" y="3179925"/>
            <a:chExt cx="6334125" cy="1200150"/>
          </a:xfrm>
        </xdr:grpSpPr>
        <xdr:sp macro="" textlink="">
          <xdr:nvSpPr>
            <xdr:cNvPr id="59" name="Shape 4">
              <a:extLst>
                <a:ext uri="{FF2B5EF4-FFF2-40B4-BE49-F238E27FC236}">
                  <a16:creationId xmlns:a16="http://schemas.microsoft.com/office/drawing/2014/main" id="{88999D86-64C2-CDFE-4C34-F590EC7C25B0}"/>
                </a:ext>
              </a:extLst>
            </xdr:cNvPr>
            <xdr:cNvSpPr/>
          </xdr:nvSpPr>
          <xdr:spPr>
            <a:xfrm>
              <a:off x="2178938" y="3179925"/>
              <a:ext cx="6334125" cy="1200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0" name="Shape 54">
              <a:extLst>
                <a:ext uri="{FF2B5EF4-FFF2-40B4-BE49-F238E27FC236}">
                  <a16:creationId xmlns:a16="http://schemas.microsoft.com/office/drawing/2014/main" id="{7C581CF3-0AFA-05EA-10E2-62B761B571A8}"/>
                </a:ext>
              </a:extLst>
            </xdr:cNvPr>
            <xdr:cNvGrpSpPr/>
          </xdr:nvGrpSpPr>
          <xdr:grpSpPr>
            <a:xfrm>
              <a:off x="2178938" y="3179925"/>
              <a:ext cx="6334125" cy="1200150"/>
              <a:chOff x="2178938" y="3179925"/>
              <a:chExt cx="6334125" cy="1200150"/>
            </a:xfrm>
          </xdr:grpSpPr>
          <xdr:sp macro="" textlink="">
            <xdr:nvSpPr>
              <xdr:cNvPr id="61" name="Shape 55">
                <a:extLst>
                  <a:ext uri="{FF2B5EF4-FFF2-40B4-BE49-F238E27FC236}">
                    <a16:creationId xmlns:a16="http://schemas.microsoft.com/office/drawing/2014/main" id="{30EE5E73-EF96-8C59-946F-89087A0DFDB9}"/>
                  </a:ext>
                </a:extLst>
              </xdr:cNvPr>
              <xdr:cNvSpPr/>
            </xdr:nvSpPr>
            <xdr:spPr>
              <a:xfrm>
                <a:off x="2178938" y="3179925"/>
                <a:ext cx="6334125" cy="1200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62" name="Shape 56">
                <a:extLst>
                  <a:ext uri="{FF2B5EF4-FFF2-40B4-BE49-F238E27FC236}">
                    <a16:creationId xmlns:a16="http://schemas.microsoft.com/office/drawing/2014/main" id="{7FAEB744-73F6-3D48-DE16-7EB4F52410A1}"/>
                  </a:ext>
                </a:extLst>
              </xdr:cNvPr>
              <xdr:cNvGrpSpPr/>
            </xdr:nvGrpSpPr>
            <xdr:grpSpPr>
              <a:xfrm>
                <a:off x="2178938" y="3179925"/>
                <a:ext cx="6334125" cy="1200150"/>
                <a:chOff x="2197988" y="3198975"/>
                <a:chExt cx="6296025" cy="1162050"/>
              </a:xfrm>
            </xdr:grpSpPr>
            <xdr:sp macro="" textlink="">
              <xdr:nvSpPr>
                <xdr:cNvPr id="63" name="Shape 57">
                  <a:extLst>
                    <a:ext uri="{FF2B5EF4-FFF2-40B4-BE49-F238E27FC236}">
                      <a16:creationId xmlns:a16="http://schemas.microsoft.com/office/drawing/2014/main" id="{BBBA256E-A6A0-50D6-C169-5AB7E583B512}"/>
                    </a:ext>
                  </a:extLst>
                </xdr:cNvPr>
                <xdr:cNvSpPr/>
              </xdr:nvSpPr>
              <xdr:spPr>
                <a:xfrm>
                  <a:off x="2197988" y="3198975"/>
                  <a:ext cx="6296025" cy="11620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64" name="Shape 58">
                  <a:extLst>
                    <a:ext uri="{FF2B5EF4-FFF2-40B4-BE49-F238E27FC236}">
                      <a16:creationId xmlns:a16="http://schemas.microsoft.com/office/drawing/2014/main" id="{A40FFCFB-E842-9497-C71E-F2B2083803E2}"/>
                    </a:ext>
                  </a:extLst>
                </xdr:cNvPr>
                <xdr:cNvCxnSpPr/>
              </xdr:nvCxnSpPr>
              <xdr:spPr>
                <a:xfrm rot="10800000">
                  <a:off x="2197988" y="3198975"/>
                  <a:ext cx="6296025" cy="1162050"/>
                </a:xfrm>
                <a:prstGeom prst="straightConnector1">
                  <a:avLst/>
                </a:prstGeom>
                <a:noFill/>
                <a:ln w="38100" cap="flat" cmpd="sng">
                  <a:solidFill>
                    <a:srgbClr val="FF0000"/>
                  </a:solidFill>
                  <a:prstDash val="solid"/>
                  <a:miter lim="800000"/>
                  <a:headEnd type="none" w="sm" len="sm"/>
                  <a:tailEnd type="triangle" w="med" len="med"/>
                </a:ln>
              </xdr:spPr>
            </xdr:cxnSp>
          </xdr:grpSp>
        </xdr:grpSp>
      </xdr:grpSp>
    </xdr:grpSp>
    <xdr:clientData fLocksWithSheet="0"/>
  </xdr:oneCellAnchor>
  <xdr:oneCellAnchor>
    <xdr:from>
      <xdr:col>5</xdr:col>
      <xdr:colOff>438150</xdr:colOff>
      <xdr:row>93</xdr:row>
      <xdr:rowOff>-19050</xdr:rowOff>
    </xdr:from>
    <xdr:ext cx="1562100" cy="590550"/>
    <xdr:sp macro="" textlink="">
      <xdr:nvSpPr>
        <xdr:cNvPr id="65" name="Shape 59">
          <a:extLst>
            <a:ext uri="{FF2B5EF4-FFF2-40B4-BE49-F238E27FC236}">
              <a16:creationId xmlns:a16="http://schemas.microsoft.com/office/drawing/2014/main" id="{339E7F34-0A6C-400B-B49A-7A6166839D63}"/>
            </a:ext>
          </a:extLst>
        </xdr:cNvPr>
        <xdr:cNvSpPr/>
      </xdr:nvSpPr>
      <xdr:spPr>
        <a:xfrm rot="10800000" flipH="1">
          <a:off x="7556500" y="16529050"/>
          <a:ext cx="1562100" cy="590550"/>
        </a:xfrm>
        <a:prstGeom prst="ellipse">
          <a:avLst/>
        </a:prstGeom>
        <a:noFill/>
        <a:ln w="38100" cap="flat" cmpd="sng">
          <a:solidFill>
            <a:srgbClr val="AC5B23"/>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xdr:col>
      <xdr:colOff>1028700</xdr:colOff>
      <xdr:row>87</xdr:row>
      <xdr:rowOff>104775</xdr:rowOff>
    </xdr:from>
    <xdr:ext cx="4848225" cy="1276350"/>
    <xdr:grpSp>
      <xdr:nvGrpSpPr>
        <xdr:cNvPr id="66" name="Shape 2">
          <a:extLst>
            <a:ext uri="{FF2B5EF4-FFF2-40B4-BE49-F238E27FC236}">
              <a16:creationId xmlns:a16="http://schemas.microsoft.com/office/drawing/2014/main" id="{13B21FA2-00D9-4AEA-BE52-4E0A1DBED7A0}"/>
            </a:ext>
          </a:extLst>
        </xdr:cNvPr>
        <xdr:cNvGrpSpPr/>
      </xdr:nvGrpSpPr>
      <xdr:grpSpPr>
        <a:xfrm>
          <a:off x="2003612" y="15714569"/>
          <a:ext cx="4848225" cy="1276350"/>
          <a:chOff x="2921888" y="3141825"/>
          <a:chExt cx="4848224" cy="1276350"/>
        </a:xfrm>
      </xdr:grpSpPr>
      <xdr:grpSp>
        <xdr:nvGrpSpPr>
          <xdr:cNvPr id="67" name="Shape 60">
            <a:extLst>
              <a:ext uri="{FF2B5EF4-FFF2-40B4-BE49-F238E27FC236}">
                <a16:creationId xmlns:a16="http://schemas.microsoft.com/office/drawing/2014/main" id="{242728A0-61B1-8EC6-6C81-99141C2F1D9B}"/>
              </a:ext>
            </a:extLst>
          </xdr:cNvPr>
          <xdr:cNvGrpSpPr/>
        </xdr:nvGrpSpPr>
        <xdr:grpSpPr>
          <a:xfrm>
            <a:off x="2921888" y="3141825"/>
            <a:ext cx="4848224" cy="1276350"/>
            <a:chOff x="2921888" y="3141825"/>
            <a:chExt cx="4848225" cy="1276350"/>
          </a:xfrm>
        </xdr:grpSpPr>
        <xdr:sp macro="" textlink="">
          <xdr:nvSpPr>
            <xdr:cNvPr id="68" name="Shape 4">
              <a:extLst>
                <a:ext uri="{FF2B5EF4-FFF2-40B4-BE49-F238E27FC236}">
                  <a16:creationId xmlns:a16="http://schemas.microsoft.com/office/drawing/2014/main" id="{CBA45CEF-CC5C-7709-12D8-C1C69943B5E7}"/>
                </a:ext>
              </a:extLst>
            </xdr:cNvPr>
            <xdr:cNvSpPr/>
          </xdr:nvSpPr>
          <xdr:spPr>
            <a:xfrm>
              <a:off x="2921888" y="3141825"/>
              <a:ext cx="4848225" cy="12763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9" name="Shape 61">
              <a:extLst>
                <a:ext uri="{FF2B5EF4-FFF2-40B4-BE49-F238E27FC236}">
                  <a16:creationId xmlns:a16="http://schemas.microsoft.com/office/drawing/2014/main" id="{FFA58B4B-4320-693A-0C84-C4A6C19A1656}"/>
                </a:ext>
              </a:extLst>
            </xdr:cNvPr>
            <xdr:cNvGrpSpPr/>
          </xdr:nvGrpSpPr>
          <xdr:grpSpPr>
            <a:xfrm>
              <a:off x="2921888" y="3141825"/>
              <a:ext cx="4848225" cy="1276350"/>
              <a:chOff x="2921888" y="3141825"/>
              <a:chExt cx="4848225" cy="1276350"/>
            </a:xfrm>
          </xdr:grpSpPr>
          <xdr:sp macro="" textlink="">
            <xdr:nvSpPr>
              <xdr:cNvPr id="70" name="Shape 62">
                <a:extLst>
                  <a:ext uri="{FF2B5EF4-FFF2-40B4-BE49-F238E27FC236}">
                    <a16:creationId xmlns:a16="http://schemas.microsoft.com/office/drawing/2014/main" id="{81873BCF-08F3-F1F5-64AE-C4FABD5DF1F1}"/>
                  </a:ext>
                </a:extLst>
              </xdr:cNvPr>
              <xdr:cNvSpPr/>
            </xdr:nvSpPr>
            <xdr:spPr>
              <a:xfrm>
                <a:off x="2921888" y="3141825"/>
                <a:ext cx="4848225" cy="12763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71" name="Shape 63">
                <a:extLst>
                  <a:ext uri="{FF2B5EF4-FFF2-40B4-BE49-F238E27FC236}">
                    <a16:creationId xmlns:a16="http://schemas.microsoft.com/office/drawing/2014/main" id="{79A3C159-D94F-0891-5438-E225155CAEBA}"/>
                  </a:ext>
                </a:extLst>
              </xdr:cNvPr>
              <xdr:cNvGrpSpPr/>
            </xdr:nvGrpSpPr>
            <xdr:grpSpPr>
              <a:xfrm>
                <a:off x="2921888" y="3141825"/>
                <a:ext cx="4848225" cy="1276350"/>
                <a:chOff x="2940863" y="3156188"/>
                <a:chExt cx="4810200" cy="1247700"/>
              </a:xfrm>
            </xdr:grpSpPr>
            <xdr:sp macro="" textlink="">
              <xdr:nvSpPr>
                <xdr:cNvPr id="72" name="Shape 64">
                  <a:extLst>
                    <a:ext uri="{FF2B5EF4-FFF2-40B4-BE49-F238E27FC236}">
                      <a16:creationId xmlns:a16="http://schemas.microsoft.com/office/drawing/2014/main" id="{7C4F7AFB-5C80-4903-EAC7-64B34CC7B21F}"/>
                    </a:ext>
                  </a:extLst>
                </xdr:cNvPr>
                <xdr:cNvSpPr/>
              </xdr:nvSpPr>
              <xdr:spPr>
                <a:xfrm>
                  <a:off x="2940863" y="3156188"/>
                  <a:ext cx="4810200" cy="12477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73" name="Shape 65">
                  <a:extLst>
                    <a:ext uri="{FF2B5EF4-FFF2-40B4-BE49-F238E27FC236}">
                      <a16:creationId xmlns:a16="http://schemas.microsoft.com/office/drawing/2014/main" id="{773DDA44-0BF2-723B-F70B-C11FE16245A6}"/>
                    </a:ext>
                  </a:extLst>
                </xdr:cNvPr>
                <xdr:cNvCxnSpPr>
                  <a:stCxn id="45" idx="2"/>
                </xdr:cNvCxnSpPr>
              </xdr:nvCxnSpPr>
              <xdr:spPr>
                <a:xfrm rot="10800000">
                  <a:off x="2940863" y="3156188"/>
                  <a:ext cx="4810200" cy="1247700"/>
                </a:xfrm>
                <a:prstGeom prst="straightConnector1">
                  <a:avLst/>
                </a:prstGeom>
                <a:noFill/>
                <a:ln w="38100" cap="flat" cmpd="sng">
                  <a:solidFill>
                    <a:schemeClr val="accent2"/>
                  </a:solidFill>
                  <a:prstDash val="solid"/>
                  <a:miter lim="800000"/>
                  <a:headEnd type="none" w="sm" len="sm"/>
                  <a:tailEnd type="triangle" w="med" len="med"/>
                </a:ln>
              </xdr:spPr>
            </xdr:cxnSp>
          </xdr:grpSp>
        </xdr:grpSp>
      </xdr:grpSp>
    </xdr:grpSp>
    <xdr:clientData fLocksWithSheet="0"/>
  </xdr:oneCellAnchor>
  <xdr:oneCellAnchor>
    <xdr:from>
      <xdr:col>8</xdr:col>
      <xdr:colOff>66675</xdr:colOff>
      <xdr:row>93</xdr:row>
      <xdr:rowOff>-28575</xdr:rowOff>
    </xdr:from>
    <xdr:ext cx="571500" cy="657225"/>
    <xdr:sp macro="" textlink="">
      <xdr:nvSpPr>
        <xdr:cNvPr id="74" name="Shape 66">
          <a:extLst>
            <a:ext uri="{FF2B5EF4-FFF2-40B4-BE49-F238E27FC236}">
              <a16:creationId xmlns:a16="http://schemas.microsoft.com/office/drawing/2014/main" id="{9289352D-EF8A-44B8-A45A-E43151B12361}"/>
            </a:ext>
          </a:extLst>
        </xdr:cNvPr>
        <xdr:cNvSpPr/>
      </xdr:nvSpPr>
      <xdr:spPr>
        <a:xfrm>
          <a:off x="10163175" y="16519525"/>
          <a:ext cx="571500" cy="657225"/>
        </a:xfrm>
        <a:prstGeom prst="ellipse">
          <a:avLst/>
        </a:prstGeom>
        <a:noFill/>
        <a:ln w="38100" cap="flat" cmpd="sng">
          <a:solidFill>
            <a:srgbClr val="517E33"/>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542925</xdr:colOff>
      <xdr:row>89</xdr:row>
      <xdr:rowOff>85725</xdr:rowOff>
    </xdr:from>
    <xdr:ext cx="4048125" cy="962025"/>
    <xdr:grpSp>
      <xdr:nvGrpSpPr>
        <xdr:cNvPr id="75" name="Shape 2">
          <a:extLst>
            <a:ext uri="{FF2B5EF4-FFF2-40B4-BE49-F238E27FC236}">
              <a16:creationId xmlns:a16="http://schemas.microsoft.com/office/drawing/2014/main" id="{D1AD5F4B-1CB8-407D-8D46-82D33FE46EC0}"/>
            </a:ext>
          </a:extLst>
        </xdr:cNvPr>
        <xdr:cNvGrpSpPr/>
      </xdr:nvGrpSpPr>
      <xdr:grpSpPr>
        <a:xfrm>
          <a:off x="5439896" y="16054107"/>
          <a:ext cx="4048125" cy="962025"/>
          <a:chOff x="3321938" y="3298988"/>
          <a:chExt cx="4048125" cy="962025"/>
        </a:xfrm>
      </xdr:grpSpPr>
      <xdr:grpSp>
        <xdr:nvGrpSpPr>
          <xdr:cNvPr id="76" name="Shape 67">
            <a:extLst>
              <a:ext uri="{FF2B5EF4-FFF2-40B4-BE49-F238E27FC236}">
                <a16:creationId xmlns:a16="http://schemas.microsoft.com/office/drawing/2014/main" id="{D325A1F8-B5A1-2B87-BFF9-41116BE7AF32}"/>
              </a:ext>
            </a:extLst>
          </xdr:cNvPr>
          <xdr:cNvGrpSpPr/>
        </xdr:nvGrpSpPr>
        <xdr:grpSpPr>
          <a:xfrm>
            <a:off x="3321938" y="3298988"/>
            <a:ext cx="4048125" cy="962025"/>
            <a:chOff x="3321938" y="3298988"/>
            <a:chExt cx="4048125" cy="962025"/>
          </a:xfrm>
        </xdr:grpSpPr>
        <xdr:sp macro="" textlink="">
          <xdr:nvSpPr>
            <xdr:cNvPr id="77" name="Shape 4">
              <a:extLst>
                <a:ext uri="{FF2B5EF4-FFF2-40B4-BE49-F238E27FC236}">
                  <a16:creationId xmlns:a16="http://schemas.microsoft.com/office/drawing/2014/main" id="{111C72DE-BBD7-833E-61A0-C979C4A0993E}"/>
                </a:ext>
              </a:extLst>
            </xdr:cNvPr>
            <xdr:cNvSpPr/>
          </xdr:nvSpPr>
          <xdr:spPr>
            <a:xfrm>
              <a:off x="3321938" y="3298988"/>
              <a:ext cx="4048125" cy="9620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78" name="Shape 68">
              <a:extLst>
                <a:ext uri="{FF2B5EF4-FFF2-40B4-BE49-F238E27FC236}">
                  <a16:creationId xmlns:a16="http://schemas.microsoft.com/office/drawing/2014/main" id="{95CFC525-4D95-E5BC-15FF-F18EEEC55757}"/>
                </a:ext>
              </a:extLst>
            </xdr:cNvPr>
            <xdr:cNvGrpSpPr/>
          </xdr:nvGrpSpPr>
          <xdr:grpSpPr>
            <a:xfrm>
              <a:off x="3321938" y="3298988"/>
              <a:ext cx="4048125" cy="962025"/>
              <a:chOff x="3321938" y="3298988"/>
              <a:chExt cx="4048125" cy="962025"/>
            </a:xfrm>
          </xdr:grpSpPr>
          <xdr:sp macro="" textlink="">
            <xdr:nvSpPr>
              <xdr:cNvPr id="79" name="Shape 69">
                <a:extLst>
                  <a:ext uri="{FF2B5EF4-FFF2-40B4-BE49-F238E27FC236}">
                    <a16:creationId xmlns:a16="http://schemas.microsoft.com/office/drawing/2014/main" id="{132EA65D-68B8-25BA-626B-302F0B2CFD94}"/>
                  </a:ext>
                </a:extLst>
              </xdr:cNvPr>
              <xdr:cNvSpPr/>
            </xdr:nvSpPr>
            <xdr:spPr>
              <a:xfrm>
                <a:off x="3321938" y="3298988"/>
                <a:ext cx="4048125" cy="9620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80" name="Shape 70">
                <a:extLst>
                  <a:ext uri="{FF2B5EF4-FFF2-40B4-BE49-F238E27FC236}">
                    <a16:creationId xmlns:a16="http://schemas.microsoft.com/office/drawing/2014/main" id="{6A59FCB2-87D0-4095-2CC5-1F64D545D2B5}"/>
                  </a:ext>
                </a:extLst>
              </xdr:cNvPr>
              <xdr:cNvGrpSpPr/>
            </xdr:nvGrpSpPr>
            <xdr:grpSpPr>
              <a:xfrm>
                <a:off x="3321938" y="3298988"/>
                <a:ext cx="4048125" cy="962025"/>
                <a:chOff x="3340913" y="3317963"/>
                <a:chExt cx="4010100" cy="924000"/>
              </a:xfrm>
            </xdr:grpSpPr>
            <xdr:sp macro="" textlink="">
              <xdr:nvSpPr>
                <xdr:cNvPr id="81" name="Shape 71">
                  <a:extLst>
                    <a:ext uri="{FF2B5EF4-FFF2-40B4-BE49-F238E27FC236}">
                      <a16:creationId xmlns:a16="http://schemas.microsoft.com/office/drawing/2014/main" id="{BAE08DE6-702A-6F56-02C0-23855468DBA2}"/>
                    </a:ext>
                  </a:extLst>
                </xdr:cNvPr>
                <xdr:cNvSpPr/>
              </xdr:nvSpPr>
              <xdr:spPr>
                <a:xfrm>
                  <a:off x="3340913" y="3317963"/>
                  <a:ext cx="4010100" cy="924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82" name="Shape 72">
                  <a:extLst>
                    <a:ext uri="{FF2B5EF4-FFF2-40B4-BE49-F238E27FC236}">
                      <a16:creationId xmlns:a16="http://schemas.microsoft.com/office/drawing/2014/main" id="{45F28EC2-D66E-BE9C-5611-4259AF1BB656}"/>
                    </a:ext>
                  </a:extLst>
                </xdr:cNvPr>
                <xdr:cNvCxnSpPr>
                  <a:stCxn id="48" idx="2"/>
                </xdr:cNvCxnSpPr>
              </xdr:nvCxnSpPr>
              <xdr:spPr>
                <a:xfrm rot="10800000">
                  <a:off x="3340913" y="3317963"/>
                  <a:ext cx="4010100" cy="924000"/>
                </a:xfrm>
                <a:prstGeom prst="straightConnector1">
                  <a:avLst/>
                </a:prstGeom>
                <a:noFill/>
                <a:ln w="38100" cap="flat" cmpd="sng">
                  <a:solidFill>
                    <a:schemeClr val="accent6"/>
                  </a:solidFill>
                  <a:prstDash val="solid"/>
                  <a:miter lim="800000"/>
                  <a:headEnd type="none" w="sm" len="sm"/>
                  <a:tailEnd type="triangle" w="med" len="med"/>
                </a:ln>
              </xdr:spPr>
            </xdr:cxnSp>
          </xdr:grpSp>
        </xdr:grpSp>
      </xdr:grpSp>
    </xdr:grpSp>
    <xdr:clientData fLocksWithSheet="0"/>
  </xdr:oneCellAnchor>
  <xdr:oneCellAnchor>
    <xdr:from>
      <xdr:col>12</xdr:col>
      <xdr:colOff>523875</xdr:colOff>
      <xdr:row>93</xdr:row>
      <xdr:rowOff>9525</xdr:rowOff>
    </xdr:from>
    <xdr:ext cx="1352550" cy="1752600"/>
    <xdr:sp macro="" textlink="">
      <xdr:nvSpPr>
        <xdr:cNvPr id="83" name="Shape 73">
          <a:extLst>
            <a:ext uri="{FF2B5EF4-FFF2-40B4-BE49-F238E27FC236}">
              <a16:creationId xmlns:a16="http://schemas.microsoft.com/office/drawing/2014/main" id="{D1EEBEDB-103F-47EA-BBE4-84BECA37F0D6}"/>
            </a:ext>
          </a:extLst>
        </xdr:cNvPr>
        <xdr:cNvSpPr/>
      </xdr:nvSpPr>
      <xdr:spPr>
        <a:xfrm>
          <a:off x="15389225" y="16557625"/>
          <a:ext cx="1352550" cy="1752600"/>
        </a:xfrm>
        <a:prstGeom prst="ellipse">
          <a:avLst/>
        </a:prstGeom>
        <a:noFill/>
        <a:ln w="38100" cap="flat" cmpd="sng">
          <a:solidFill>
            <a:schemeClr val="dk1"/>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76200</xdr:colOff>
      <xdr:row>94</xdr:row>
      <xdr:rowOff>76200</xdr:rowOff>
    </xdr:from>
    <xdr:ext cx="8162925" cy="647700"/>
    <xdr:grpSp>
      <xdr:nvGrpSpPr>
        <xdr:cNvPr id="84" name="Shape 2">
          <a:extLst>
            <a:ext uri="{FF2B5EF4-FFF2-40B4-BE49-F238E27FC236}">
              <a16:creationId xmlns:a16="http://schemas.microsoft.com/office/drawing/2014/main" id="{02CAE056-004C-479E-84E5-25E29DF66B07}"/>
            </a:ext>
          </a:extLst>
        </xdr:cNvPr>
        <xdr:cNvGrpSpPr/>
      </xdr:nvGrpSpPr>
      <xdr:grpSpPr>
        <a:xfrm>
          <a:off x="4973171" y="16941053"/>
          <a:ext cx="8162925" cy="647700"/>
          <a:chOff x="1264538" y="3456150"/>
          <a:chExt cx="8162925" cy="647700"/>
        </a:xfrm>
      </xdr:grpSpPr>
      <xdr:grpSp>
        <xdr:nvGrpSpPr>
          <xdr:cNvPr id="85" name="Shape 74">
            <a:extLst>
              <a:ext uri="{FF2B5EF4-FFF2-40B4-BE49-F238E27FC236}">
                <a16:creationId xmlns:a16="http://schemas.microsoft.com/office/drawing/2014/main" id="{8309F83E-D6B9-1CF4-F0D6-3E0DE314C547}"/>
              </a:ext>
            </a:extLst>
          </xdr:cNvPr>
          <xdr:cNvGrpSpPr/>
        </xdr:nvGrpSpPr>
        <xdr:grpSpPr>
          <a:xfrm>
            <a:off x="1264538" y="3456150"/>
            <a:ext cx="8162925" cy="647700"/>
            <a:chOff x="1264538" y="3456150"/>
            <a:chExt cx="8162925" cy="647700"/>
          </a:xfrm>
        </xdr:grpSpPr>
        <xdr:sp macro="" textlink="">
          <xdr:nvSpPr>
            <xdr:cNvPr id="86" name="Shape 4">
              <a:extLst>
                <a:ext uri="{FF2B5EF4-FFF2-40B4-BE49-F238E27FC236}">
                  <a16:creationId xmlns:a16="http://schemas.microsoft.com/office/drawing/2014/main" id="{AA503FC5-B02B-7124-7EBE-935D6C9B4676}"/>
                </a:ext>
              </a:extLst>
            </xdr:cNvPr>
            <xdr:cNvSpPr/>
          </xdr:nvSpPr>
          <xdr:spPr>
            <a:xfrm>
              <a:off x="1264538" y="3456150"/>
              <a:ext cx="8162925" cy="6477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87" name="Shape 75">
              <a:extLst>
                <a:ext uri="{FF2B5EF4-FFF2-40B4-BE49-F238E27FC236}">
                  <a16:creationId xmlns:a16="http://schemas.microsoft.com/office/drawing/2014/main" id="{7723603D-2337-DC4F-E6B4-097D1B9D7046}"/>
                </a:ext>
              </a:extLst>
            </xdr:cNvPr>
            <xdr:cNvGrpSpPr/>
          </xdr:nvGrpSpPr>
          <xdr:grpSpPr>
            <a:xfrm>
              <a:off x="1264538" y="3456150"/>
              <a:ext cx="8162925" cy="647700"/>
              <a:chOff x="1264538" y="3456150"/>
              <a:chExt cx="8162925" cy="647700"/>
            </a:xfrm>
          </xdr:grpSpPr>
          <xdr:sp macro="" textlink="">
            <xdr:nvSpPr>
              <xdr:cNvPr id="88" name="Shape 76">
                <a:extLst>
                  <a:ext uri="{FF2B5EF4-FFF2-40B4-BE49-F238E27FC236}">
                    <a16:creationId xmlns:a16="http://schemas.microsoft.com/office/drawing/2014/main" id="{D0D3BD17-AC7B-3C41-C24F-CE98BE3F8158}"/>
                  </a:ext>
                </a:extLst>
              </xdr:cNvPr>
              <xdr:cNvSpPr/>
            </xdr:nvSpPr>
            <xdr:spPr>
              <a:xfrm>
                <a:off x="1264538" y="3456150"/>
                <a:ext cx="8162925" cy="6477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89" name="Shape 77">
                <a:extLst>
                  <a:ext uri="{FF2B5EF4-FFF2-40B4-BE49-F238E27FC236}">
                    <a16:creationId xmlns:a16="http://schemas.microsoft.com/office/drawing/2014/main" id="{D6811BBD-91EC-09A6-CF23-F843549E944A}"/>
                  </a:ext>
                </a:extLst>
              </xdr:cNvPr>
              <xdr:cNvGrpSpPr/>
            </xdr:nvGrpSpPr>
            <xdr:grpSpPr>
              <a:xfrm>
                <a:off x="1264538" y="3456150"/>
                <a:ext cx="8162925" cy="647700"/>
                <a:chOff x="1283513" y="3475200"/>
                <a:chExt cx="8124900" cy="609600"/>
              </a:xfrm>
            </xdr:grpSpPr>
            <xdr:sp macro="" textlink="">
              <xdr:nvSpPr>
                <xdr:cNvPr id="90" name="Shape 78">
                  <a:extLst>
                    <a:ext uri="{FF2B5EF4-FFF2-40B4-BE49-F238E27FC236}">
                      <a16:creationId xmlns:a16="http://schemas.microsoft.com/office/drawing/2014/main" id="{9C07DA8A-F60D-A843-1923-479C05BF5977}"/>
                    </a:ext>
                  </a:extLst>
                </xdr:cNvPr>
                <xdr:cNvSpPr/>
              </xdr:nvSpPr>
              <xdr:spPr>
                <a:xfrm>
                  <a:off x="1283513" y="3475200"/>
                  <a:ext cx="8124900" cy="609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91" name="Shape 79">
                  <a:extLst>
                    <a:ext uri="{FF2B5EF4-FFF2-40B4-BE49-F238E27FC236}">
                      <a16:creationId xmlns:a16="http://schemas.microsoft.com/office/drawing/2014/main" id="{5BCC91FF-950E-6243-1661-D6E7459AAA16}"/>
                    </a:ext>
                  </a:extLst>
                </xdr:cNvPr>
                <xdr:cNvCxnSpPr>
                  <a:stCxn id="51" idx="2"/>
                </xdr:cNvCxnSpPr>
              </xdr:nvCxnSpPr>
              <xdr:spPr>
                <a:xfrm rot="10800000">
                  <a:off x="1283513" y="3475200"/>
                  <a:ext cx="8124900" cy="609600"/>
                </a:xfrm>
                <a:prstGeom prst="straightConnector1">
                  <a:avLst/>
                </a:prstGeom>
                <a:noFill/>
                <a:ln w="38100" cap="flat" cmpd="sng">
                  <a:solidFill>
                    <a:schemeClr val="dk1"/>
                  </a:solidFill>
                  <a:prstDash val="solid"/>
                  <a:miter lim="800000"/>
                  <a:headEnd type="none" w="sm" len="sm"/>
                  <a:tailEnd type="triangle" w="med" len="med"/>
                </a:ln>
              </xdr:spPr>
            </xdr:cxnSp>
          </xdr:grpSp>
        </xdr:grpSp>
      </xdr:grpSp>
    </xdr:grpSp>
    <xdr:clientData fLocksWithSheet="0"/>
  </xdr:oneCellAnchor>
  <xdr:oneCellAnchor>
    <xdr:from>
      <xdr:col>8</xdr:col>
      <xdr:colOff>76200</xdr:colOff>
      <xdr:row>121</xdr:row>
      <xdr:rowOff>76200</xdr:rowOff>
    </xdr:from>
    <xdr:ext cx="4010025" cy="704850"/>
    <xdr:sp macro="" textlink="">
      <xdr:nvSpPr>
        <xdr:cNvPr id="92" name="Shape 80">
          <a:extLst>
            <a:ext uri="{FF2B5EF4-FFF2-40B4-BE49-F238E27FC236}">
              <a16:creationId xmlns:a16="http://schemas.microsoft.com/office/drawing/2014/main" id="{C4344BCB-B736-4B83-88EB-85FD2660BEFF}"/>
            </a:ext>
          </a:extLst>
        </xdr:cNvPr>
        <xdr:cNvSpPr/>
      </xdr:nvSpPr>
      <xdr:spPr>
        <a:xfrm rot="10800000" flipH="1">
          <a:off x="10172700" y="21634450"/>
          <a:ext cx="4010025" cy="704850"/>
        </a:xfrm>
        <a:prstGeom prst="ellipse">
          <a:avLst/>
        </a:prstGeom>
        <a:noFill/>
        <a:ln w="38100" cap="flat" cmpd="sng">
          <a:solidFill>
            <a:srgbClr val="FF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xdr:col>
      <xdr:colOff>3028950</xdr:colOff>
      <xdr:row>121</xdr:row>
      <xdr:rowOff>95250</xdr:rowOff>
    </xdr:from>
    <xdr:ext cx="4933950" cy="352425"/>
    <xdr:grpSp>
      <xdr:nvGrpSpPr>
        <xdr:cNvPr id="93" name="Shape 2">
          <a:extLst>
            <a:ext uri="{FF2B5EF4-FFF2-40B4-BE49-F238E27FC236}">
              <a16:creationId xmlns:a16="http://schemas.microsoft.com/office/drawing/2014/main" id="{23A729EA-60C9-4BF8-8ECE-18C243B21F5C}"/>
            </a:ext>
          </a:extLst>
        </xdr:cNvPr>
        <xdr:cNvGrpSpPr/>
      </xdr:nvGrpSpPr>
      <xdr:grpSpPr>
        <a:xfrm>
          <a:off x="4003862" y="21823456"/>
          <a:ext cx="4933950" cy="352425"/>
          <a:chOff x="2879025" y="3603788"/>
          <a:chExt cx="4933950" cy="352425"/>
        </a:xfrm>
      </xdr:grpSpPr>
      <xdr:grpSp>
        <xdr:nvGrpSpPr>
          <xdr:cNvPr id="94" name="Shape 81">
            <a:extLst>
              <a:ext uri="{FF2B5EF4-FFF2-40B4-BE49-F238E27FC236}">
                <a16:creationId xmlns:a16="http://schemas.microsoft.com/office/drawing/2014/main" id="{8B6F5EB7-6A97-737C-E6EF-805F671DF5F8}"/>
              </a:ext>
            </a:extLst>
          </xdr:cNvPr>
          <xdr:cNvGrpSpPr/>
        </xdr:nvGrpSpPr>
        <xdr:grpSpPr>
          <a:xfrm>
            <a:off x="2879025" y="3603788"/>
            <a:ext cx="4933950" cy="352425"/>
            <a:chOff x="2879025" y="3603788"/>
            <a:chExt cx="4933950" cy="352425"/>
          </a:xfrm>
        </xdr:grpSpPr>
        <xdr:sp macro="" textlink="">
          <xdr:nvSpPr>
            <xdr:cNvPr id="95" name="Shape 4">
              <a:extLst>
                <a:ext uri="{FF2B5EF4-FFF2-40B4-BE49-F238E27FC236}">
                  <a16:creationId xmlns:a16="http://schemas.microsoft.com/office/drawing/2014/main" id="{7335B2F1-16AD-BDDB-A9DC-D65BBA6F9466}"/>
                </a:ext>
              </a:extLst>
            </xdr:cNvPr>
            <xdr:cNvSpPr/>
          </xdr:nvSpPr>
          <xdr:spPr>
            <a:xfrm>
              <a:off x="2879025" y="3603788"/>
              <a:ext cx="4933950" cy="3524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96" name="Shape 82">
              <a:extLst>
                <a:ext uri="{FF2B5EF4-FFF2-40B4-BE49-F238E27FC236}">
                  <a16:creationId xmlns:a16="http://schemas.microsoft.com/office/drawing/2014/main" id="{72E99D82-44A8-0248-D22D-99D0CB2ED551}"/>
                </a:ext>
              </a:extLst>
            </xdr:cNvPr>
            <xdr:cNvGrpSpPr/>
          </xdr:nvGrpSpPr>
          <xdr:grpSpPr>
            <a:xfrm>
              <a:off x="2879025" y="3603788"/>
              <a:ext cx="4933950" cy="352425"/>
              <a:chOff x="2879025" y="3603788"/>
              <a:chExt cx="4933950" cy="352425"/>
            </a:xfrm>
          </xdr:grpSpPr>
          <xdr:sp macro="" textlink="">
            <xdr:nvSpPr>
              <xdr:cNvPr id="97" name="Shape 83">
                <a:extLst>
                  <a:ext uri="{FF2B5EF4-FFF2-40B4-BE49-F238E27FC236}">
                    <a16:creationId xmlns:a16="http://schemas.microsoft.com/office/drawing/2014/main" id="{B0DC2C98-B28C-C3BD-A0DE-1BCA94E42FF0}"/>
                  </a:ext>
                </a:extLst>
              </xdr:cNvPr>
              <xdr:cNvSpPr/>
            </xdr:nvSpPr>
            <xdr:spPr>
              <a:xfrm>
                <a:off x="2879025" y="3603788"/>
                <a:ext cx="4933950" cy="3524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98" name="Shape 84">
                <a:extLst>
                  <a:ext uri="{FF2B5EF4-FFF2-40B4-BE49-F238E27FC236}">
                    <a16:creationId xmlns:a16="http://schemas.microsoft.com/office/drawing/2014/main" id="{972B9C9C-C4B2-F71E-0701-CAF184D837D0}"/>
                  </a:ext>
                </a:extLst>
              </xdr:cNvPr>
              <xdr:cNvGrpSpPr/>
            </xdr:nvGrpSpPr>
            <xdr:grpSpPr>
              <a:xfrm>
                <a:off x="2879025" y="3603788"/>
                <a:ext cx="4933950" cy="352425"/>
                <a:chOff x="2897925" y="3622763"/>
                <a:chExt cx="4896000" cy="314400"/>
              </a:xfrm>
            </xdr:grpSpPr>
            <xdr:sp macro="" textlink="">
              <xdr:nvSpPr>
                <xdr:cNvPr id="99" name="Shape 85">
                  <a:extLst>
                    <a:ext uri="{FF2B5EF4-FFF2-40B4-BE49-F238E27FC236}">
                      <a16:creationId xmlns:a16="http://schemas.microsoft.com/office/drawing/2014/main" id="{4CBB8BC3-EF61-9C4D-8CD5-CC3DCDB61CB0}"/>
                    </a:ext>
                  </a:extLst>
                </xdr:cNvPr>
                <xdr:cNvSpPr/>
              </xdr:nvSpPr>
              <xdr:spPr>
                <a:xfrm>
                  <a:off x="2897925" y="3622763"/>
                  <a:ext cx="4896000" cy="3144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100" name="Shape 86">
                  <a:extLst>
                    <a:ext uri="{FF2B5EF4-FFF2-40B4-BE49-F238E27FC236}">
                      <a16:creationId xmlns:a16="http://schemas.microsoft.com/office/drawing/2014/main" id="{345F9CA4-B715-4BEA-A6FD-DE57D7CF76A3}"/>
                    </a:ext>
                  </a:extLst>
                </xdr:cNvPr>
                <xdr:cNvCxnSpPr>
                  <a:stCxn id="55" idx="2"/>
                </xdr:cNvCxnSpPr>
              </xdr:nvCxnSpPr>
              <xdr:spPr>
                <a:xfrm rot="10800000">
                  <a:off x="2897925" y="3622763"/>
                  <a:ext cx="4896000" cy="314400"/>
                </a:xfrm>
                <a:prstGeom prst="straightConnector1">
                  <a:avLst/>
                </a:prstGeom>
                <a:noFill/>
                <a:ln w="38100" cap="flat" cmpd="sng">
                  <a:solidFill>
                    <a:srgbClr val="FF0000"/>
                  </a:solidFill>
                  <a:prstDash val="solid"/>
                  <a:miter lim="800000"/>
                  <a:headEnd type="none" w="sm" len="sm"/>
                  <a:tailEnd type="triangle" w="med" len="med"/>
                </a:ln>
              </xdr:spPr>
            </xdr:cxnSp>
          </xdr:grpSp>
        </xdr:grpSp>
      </xdr:grpSp>
    </xdr:grpSp>
    <xdr:clientData fLocksWithSheet="0"/>
  </xdr:oneCellAnchor>
  <xdr:oneCellAnchor>
    <xdr:from>
      <xdr:col>3</xdr:col>
      <xdr:colOff>457200</xdr:colOff>
      <xdr:row>127</xdr:row>
      <xdr:rowOff>57150</xdr:rowOff>
    </xdr:from>
    <xdr:ext cx="1352550" cy="876300"/>
    <xdr:sp macro="" textlink="">
      <xdr:nvSpPr>
        <xdr:cNvPr id="101" name="Shape 87">
          <a:extLst>
            <a:ext uri="{FF2B5EF4-FFF2-40B4-BE49-F238E27FC236}">
              <a16:creationId xmlns:a16="http://schemas.microsoft.com/office/drawing/2014/main" id="{2571A5AC-93DA-4D64-B93E-D1B2C796FD7A}"/>
            </a:ext>
          </a:extLst>
        </xdr:cNvPr>
        <xdr:cNvSpPr/>
      </xdr:nvSpPr>
      <xdr:spPr>
        <a:xfrm>
          <a:off x="6286500" y="22682200"/>
          <a:ext cx="1352550" cy="876300"/>
        </a:xfrm>
        <a:prstGeom prst="ellipse">
          <a:avLst/>
        </a:prstGeom>
        <a:noFill/>
        <a:ln w="38100" cap="flat" cmpd="sng">
          <a:solidFill>
            <a:schemeClr val="dk1"/>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xdr:col>
      <xdr:colOff>1038225</xdr:colOff>
      <xdr:row>123</xdr:row>
      <xdr:rowOff>47625</xdr:rowOff>
    </xdr:from>
    <xdr:ext cx="3562350" cy="1181100"/>
    <xdr:grpSp>
      <xdr:nvGrpSpPr>
        <xdr:cNvPr id="102" name="Shape 2">
          <a:extLst>
            <a:ext uri="{FF2B5EF4-FFF2-40B4-BE49-F238E27FC236}">
              <a16:creationId xmlns:a16="http://schemas.microsoft.com/office/drawing/2014/main" id="{C2F15387-8B65-4A7D-8D14-02017170D549}"/>
            </a:ext>
          </a:extLst>
        </xdr:cNvPr>
        <xdr:cNvGrpSpPr/>
      </xdr:nvGrpSpPr>
      <xdr:grpSpPr>
        <a:xfrm>
          <a:off x="2013137" y="22134419"/>
          <a:ext cx="3562350" cy="1181100"/>
          <a:chOff x="3564825" y="3189450"/>
          <a:chExt cx="3562350" cy="1181100"/>
        </a:xfrm>
      </xdr:grpSpPr>
      <xdr:grpSp>
        <xdr:nvGrpSpPr>
          <xdr:cNvPr id="103" name="Shape 88">
            <a:extLst>
              <a:ext uri="{FF2B5EF4-FFF2-40B4-BE49-F238E27FC236}">
                <a16:creationId xmlns:a16="http://schemas.microsoft.com/office/drawing/2014/main" id="{7DA794DF-5F4F-712D-BD6B-96648BFC4565}"/>
              </a:ext>
            </a:extLst>
          </xdr:cNvPr>
          <xdr:cNvGrpSpPr/>
        </xdr:nvGrpSpPr>
        <xdr:grpSpPr>
          <a:xfrm>
            <a:off x="3564825" y="3189450"/>
            <a:ext cx="3562350" cy="1181100"/>
            <a:chOff x="3564825" y="3189450"/>
            <a:chExt cx="3562350" cy="1181100"/>
          </a:xfrm>
        </xdr:grpSpPr>
        <xdr:sp macro="" textlink="">
          <xdr:nvSpPr>
            <xdr:cNvPr id="104" name="Shape 4">
              <a:extLst>
                <a:ext uri="{FF2B5EF4-FFF2-40B4-BE49-F238E27FC236}">
                  <a16:creationId xmlns:a16="http://schemas.microsoft.com/office/drawing/2014/main" id="{196809D5-C65E-583B-463B-52B20CCA380E}"/>
                </a:ext>
              </a:extLst>
            </xdr:cNvPr>
            <xdr:cNvSpPr/>
          </xdr:nvSpPr>
          <xdr:spPr>
            <a:xfrm>
              <a:off x="3564825" y="3189450"/>
              <a:ext cx="3562350" cy="1181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105" name="Shape 89">
              <a:extLst>
                <a:ext uri="{FF2B5EF4-FFF2-40B4-BE49-F238E27FC236}">
                  <a16:creationId xmlns:a16="http://schemas.microsoft.com/office/drawing/2014/main" id="{8F67F0F2-5C5C-7A3C-2667-B31E6CCB0531}"/>
                </a:ext>
              </a:extLst>
            </xdr:cNvPr>
            <xdr:cNvGrpSpPr/>
          </xdr:nvGrpSpPr>
          <xdr:grpSpPr>
            <a:xfrm>
              <a:off x="3564825" y="3189450"/>
              <a:ext cx="3562350" cy="1181100"/>
              <a:chOff x="3564825" y="3189450"/>
              <a:chExt cx="3562350" cy="1181100"/>
            </a:xfrm>
          </xdr:grpSpPr>
          <xdr:sp macro="" textlink="">
            <xdr:nvSpPr>
              <xdr:cNvPr id="106" name="Shape 90">
                <a:extLst>
                  <a:ext uri="{FF2B5EF4-FFF2-40B4-BE49-F238E27FC236}">
                    <a16:creationId xmlns:a16="http://schemas.microsoft.com/office/drawing/2014/main" id="{A32FC5F5-1D26-F0E0-238A-2C7489E8F7A1}"/>
                  </a:ext>
                </a:extLst>
              </xdr:cNvPr>
              <xdr:cNvSpPr/>
            </xdr:nvSpPr>
            <xdr:spPr>
              <a:xfrm>
                <a:off x="3564825" y="3189450"/>
                <a:ext cx="3562350" cy="1181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07" name="Shape 91">
                <a:extLst>
                  <a:ext uri="{FF2B5EF4-FFF2-40B4-BE49-F238E27FC236}">
                    <a16:creationId xmlns:a16="http://schemas.microsoft.com/office/drawing/2014/main" id="{131FA706-585C-0DFF-2A92-B6964901EEFF}"/>
                  </a:ext>
                </a:extLst>
              </xdr:cNvPr>
              <xdr:cNvGrpSpPr/>
            </xdr:nvGrpSpPr>
            <xdr:grpSpPr>
              <a:xfrm>
                <a:off x="3564825" y="3189450"/>
                <a:ext cx="3562350" cy="1181100"/>
                <a:chOff x="3584025" y="3208500"/>
                <a:chExt cx="3524100" cy="1143000"/>
              </a:xfrm>
            </xdr:grpSpPr>
            <xdr:sp macro="" textlink="">
              <xdr:nvSpPr>
                <xdr:cNvPr id="108" name="Shape 92">
                  <a:extLst>
                    <a:ext uri="{FF2B5EF4-FFF2-40B4-BE49-F238E27FC236}">
                      <a16:creationId xmlns:a16="http://schemas.microsoft.com/office/drawing/2014/main" id="{D4EF16E4-FF2C-D056-5DEB-0DCCCDB4C530}"/>
                    </a:ext>
                  </a:extLst>
                </xdr:cNvPr>
                <xdr:cNvSpPr/>
              </xdr:nvSpPr>
              <xdr:spPr>
                <a:xfrm>
                  <a:off x="3584025" y="3208500"/>
                  <a:ext cx="3524100" cy="1143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109" name="Shape 93">
                  <a:extLst>
                    <a:ext uri="{FF2B5EF4-FFF2-40B4-BE49-F238E27FC236}">
                      <a16:creationId xmlns:a16="http://schemas.microsoft.com/office/drawing/2014/main" id="{58059F00-BF01-4939-14A1-0D724C4E1BA9}"/>
                    </a:ext>
                  </a:extLst>
                </xdr:cNvPr>
                <xdr:cNvCxnSpPr>
                  <a:stCxn id="58" idx="2"/>
                </xdr:cNvCxnSpPr>
              </xdr:nvCxnSpPr>
              <xdr:spPr>
                <a:xfrm rot="10800000">
                  <a:off x="3584025" y="3208500"/>
                  <a:ext cx="3524100" cy="1143000"/>
                </a:xfrm>
                <a:prstGeom prst="straightConnector1">
                  <a:avLst/>
                </a:prstGeom>
                <a:noFill/>
                <a:ln w="38100" cap="flat" cmpd="sng">
                  <a:solidFill>
                    <a:schemeClr val="dk1"/>
                  </a:solidFill>
                  <a:prstDash val="solid"/>
                  <a:miter lim="800000"/>
                  <a:headEnd type="none" w="sm" len="sm"/>
                  <a:tailEnd type="triangle" w="med" len="med"/>
                </a:ln>
              </xdr:spPr>
            </xdr:cxnSp>
          </xdr:grpSp>
        </xdr:grpSp>
      </xdr:grpSp>
    </xdr:grpSp>
    <xdr:clientData fLocksWithSheet="0"/>
  </xdr:oneCellAnchor>
  <xdr:oneCellAnchor>
    <xdr:from>
      <xdr:col>6</xdr:col>
      <xdr:colOff>581025</xdr:colOff>
      <xdr:row>128</xdr:row>
      <xdr:rowOff>9525</xdr:rowOff>
    </xdr:from>
    <xdr:ext cx="552450" cy="657225"/>
    <xdr:sp macro="" textlink="">
      <xdr:nvSpPr>
        <xdr:cNvPr id="110" name="Shape 94">
          <a:extLst>
            <a:ext uri="{FF2B5EF4-FFF2-40B4-BE49-F238E27FC236}">
              <a16:creationId xmlns:a16="http://schemas.microsoft.com/office/drawing/2014/main" id="{5B03BE1C-EAF1-40AB-8187-A85800D7EF60}"/>
            </a:ext>
          </a:extLst>
        </xdr:cNvPr>
        <xdr:cNvSpPr/>
      </xdr:nvSpPr>
      <xdr:spPr>
        <a:xfrm>
          <a:off x="8537575" y="22812375"/>
          <a:ext cx="552450" cy="657225"/>
        </a:xfrm>
        <a:prstGeom prst="ellipse">
          <a:avLst/>
        </a:prstGeom>
        <a:noFill/>
        <a:ln w="38100" cap="flat" cmpd="sng">
          <a:solidFill>
            <a:srgbClr val="517E33"/>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342900</xdr:colOff>
      <xdr:row>125</xdr:row>
      <xdr:rowOff>95250</xdr:rowOff>
    </xdr:from>
    <xdr:ext cx="3152775" cy="800100"/>
    <xdr:grpSp>
      <xdr:nvGrpSpPr>
        <xdr:cNvPr id="111" name="Shape 2">
          <a:extLst>
            <a:ext uri="{FF2B5EF4-FFF2-40B4-BE49-F238E27FC236}">
              <a16:creationId xmlns:a16="http://schemas.microsoft.com/office/drawing/2014/main" id="{11E86B89-8621-4743-8152-71E07BD294AA}"/>
            </a:ext>
          </a:extLst>
        </xdr:cNvPr>
        <xdr:cNvGrpSpPr/>
      </xdr:nvGrpSpPr>
      <xdr:grpSpPr>
        <a:xfrm>
          <a:off x="5239871" y="22540632"/>
          <a:ext cx="3152775" cy="800100"/>
          <a:chOff x="3769613" y="3379950"/>
          <a:chExt cx="3152775" cy="800100"/>
        </a:xfrm>
      </xdr:grpSpPr>
      <xdr:grpSp>
        <xdr:nvGrpSpPr>
          <xdr:cNvPr id="112" name="Shape 95">
            <a:extLst>
              <a:ext uri="{FF2B5EF4-FFF2-40B4-BE49-F238E27FC236}">
                <a16:creationId xmlns:a16="http://schemas.microsoft.com/office/drawing/2014/main" id="{0D639519-174E-5A34-A9ED-203E596B9B9A}"/>
              </a:ext>
            </a:extLst>
          </xdr:cNvPr>
          <xdr:cNvGrpSpPr/>
        </xdr:nvGrpSpPr>
        <xdr:grpSpPr>
          <a:xfrm>
            <a:off x="3769613" y="3379950"/>
            <a:ext cx="3152775" cy="800100"/>
            <a:chOff x="3769613" y="3379950"/>
            <a:chExt cx="3152775" cy="800100"/>
          </a:xfrm>
        </xdr:grpSpPr>
        <xdr:sp macro="" textlink="">
          <xdr:nvSpPr>
            <xdr:cNvPr id="113" name="Shape 4">
              <a:extLst>
                <a:ext uri="{FF2B5EF4-FFF2-40B4-BE49-F238E27FC236}">
                  <a16:creationId xmlns:a16="http://schemas.microsoft.com/office/drawing/2014/main" id="{FBBC7A18-B09B-6902-59A7-A23BF91EBC93}"/>
                </a:ext>
              </a:extLst>
            </xdr:cNvPr>
            <xdr:cNvSpPr/>
          </xdr:nvSpPr>
          <xdr:spPr>
            <a:xfrm>
              <a:off x="3769613" y="3379950"/>
              <a:ext cx="3152775" cy="800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114" name="Shape 96">
              <a:extLst>
                <a:ext uri="{FF2B5EF4-FFF2-40B4-BE49-F238E27FC236}">
                  <a16:creationId xmlns:a16="http://schemas.microsoft.com/office/drawing/2014/main" id="{F4CE265F-55CF-5BA7-FE01-C3A4DF4C035A}"/>
                </a:ext>
              </a:extLst>
            </xdr:cNvPr>
            <xdr:cNvGrpSpPr/>
          </xdr:nvGrpSpPr>
          <xdr:grpSpPr>
            <a:xfrm>
              <a:off x="3769613" y="3379950"/>
              <a:ext cx="3152775" cy="800100"/>
              <a:chOff x="3769613" y="3379950"/>
              <a:chExt cx="3152775" cy="800100"/>
            </a:xfrm>
          </xdr:grpSpPr>
          <xdr:sp macro="" textlink="">
            <xdr:nvSpPr>
              <xdr:cNvPr id="115" name="Shape 97">
                <a:extLst>
                  <a:ext uri="{FF2B5EF4-FFF2-40B4-BE49-F238E27FC236}">
                    <a16:creationId xmlns:a16="http://schemas.microsoft.com/office/drawing/2014/main" id="{BFCF0272-D2F2-F7EB-AD9B-C253C312F660}"/>
                  </a:ext>
                </a:extLst>
              </xdr:cNvPr>
              <xdr:cNvSpPr/>
            </xdr:nvSpPr>
            <xdr:spPr>
              <a:xfrm>
                <a:off x="3769613" y="3379950"/>
                <a:ext cx="3152775" cy="800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16" name="Shape 98">
                <a:extLst>
                  <a:ext uri="{FF2B5EF4-FFF2-40B4-BE49-F238E27FC236}">
                    <a16:creationId xmlns:a16="http://schemas.microsoft.com/office/drawing/2014/main" id="{B78DF98F-23AD-4056-C83D-A3784F35B4B8}"/>
                  </a:ext>
                </a:extLst>
              </xdr:cNvPr>
              <xdr:cNvGrpSpPr/>
            </xdr:nvGrpSpPr>
            <xdr:grpSpPr>
              <a:xfrm>
                <a:off x="3769613" y="3379950"/>
                <a:ext cx="3152775" cy="800100"/>
                <a:chOff x="3788738" y="3399000"/>
                <a:chExt cx="3114600" cy="762000"/>
              </a:xfrm>
            </xdr:grpSpPr>
            <xdr:sp macro="" textlink="">
              <xdr:nvSpPr>
                <xdr:cNvPr id="117" name="Shape 99">
                  <a:extLst>
                    <a:ext uri="{FF2B5EF4-FFF2-40B4-BE49-F238E27FC236}">
                      <a16:creationId xmlns:a16="http://schemas.microsoft.com/office/drawing/2014/main" id="{96A28E41-08BA-EAC1-2053-CD5CB211C251}"/>
                    </a:ext>
                  </a:extLst>
                </xdr:cNvPr>
                <xdr:cNvSpPr/>
              </xdr:nvSpPr>
              <xdr:spPr>
                <a:xfrm>
                  <a:off x="3788738" y="3399000"/>
                  <a:ext cx="3114600" cy="762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118" name="Shape 100">
                  <a:extLst>
                    <a:ext uri="{FF2B5EF4-FFF2-40B4-BE49-F238E27FC236}">
                      <a16:creationId xmlns:a16="http://schemas.microsoft.com/office/drawing/2014/main" id="{70670FA3-5387-FD58-C6C4-964B33D6948B}"/>
                    </a:ext>
                  </a:extLst>
                </xdr:cNvPr>
                <xdr:cNvCxnSpPr>
                  <a:stCxn id="61" idx="2"/>
                </xdr:cNvCxnSpPr>
              </xdr:nvCxnSpPr>
              <xdr:spPr>
                <a:xfrm rot="10800000">
                  <a:off x="3788738" y="3399000"/>
                  <a:ext cx="3114600" cy="762000"/>
                </a:xfrm>
                <a:prstGeom prst="straightConnector1">
                  <a:avLst/>
                </a:prstGeom>
                <a:noFill/>
                <a:ln w="38100" cap="flat" cmpd="sng">
                  <a:solidFill>
                    <a:schemeClr val="accent6"/>
                  </a:solidFill>
                  <a:prstDash val="solid"/>
                  <a:miter lim="800000"/>
                  <a:headEnd type="none" w="sm" len="sm"/>
                  <a:tailEnd type="triangle" w="med" len="med"/>
                </a:ln>
              </xdr:spPr>
            </xdr:cxnSp>
          </xdr:grpSp>
        </xdr:grpSp>
      </xdr:grpSp>
    </xdr:grpSp>
    <xdr:clientData fLocksWithSheet="0"/>
  </xdr:oneCellAnchor>
  <xdr:oneCellAnchor>
    <xdr:from>
      <xdr:col>9</xdr:col>
      <xdr:colOff>95250</xdr:colOff>
      <xdr:row>128</xdr:row>
      <xdr:rowOff>0</xdr:rowOff>
    </xdr:from>
    <xdr:ext cx="600075" cy="638175"/>
    <xdr:sp macro="" textlink="">
      <xdr:nvSpPr>
        <xdr:cNvPr id="119" name="Shape 101">
          <a:extLst>
            <a:ext uri="{FF2B5EF4-FFF2-40B4-BE49-F238E27FC236}">
              <a16:creationId xmlns:a16="http://schemas.microsoft.com/office/drawing/2014/main" id="{F3171B03-C310-4EAC-BD3C-149831A19C7E}"/>
            </a:ext>
          </a:extLst>
        </xdr:cNvPr>
        <xdr:cNvSpPr/>
      </xdr:nvSpPr>
      <xdr:spPr>
        <a:xfrm rot="10800000" flipH="1">
          <a:off x="11398250" y="22802850"/>
          <a:ext cx="600075" cy="638175"/>
        </a:xfrm>
        <a:prstGeom prst="ellipse">
          <a:avLst/>
        </a:prstGeom>
        <a:noFill/>
        <a:ln w="38100" cap="flat" cmpd="sng">
          <a:solidFill>
            <a:srgbClr val="AC5B23"/>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xdr:col>
      <xdr:colOff>1638300</xdr:colOff>
      <xdr:row>127</xdr:row>
      <xdr:rowOff>38100</xdr:rowOff>
    </xdr:from>
    <xdr:ext cx="6972300" cy="476250"/>
    <xdr:grpSp>
      <xdr:nvGrpSpPr>
        <xdr:cNvPr id="120" name="Shape 2">
          <a:extLst>
            <a:ext uri="{FF2B5EF4-FFF2-40B4-BE49-F238E27FC236}">
              <a16:creationId xmlns:a16="http://schemas.microsoft.com/office/drawing/2014/main" id="{11AF8139-45F9-4ED5-A5E1-D96DF0A8FE16}"/>
            </a:ext>
          </a:extLst>
        </xdr:cNvPr>
        <xdr:cNvGrpSpPr/>
      </xdr:nvGrpSpPr>
      <xdr:grpSpPr>
        <a:xfrm>
          <a:off x="2613212" y="22842071"/>
          <a:ext cx="6972300" cy="476250"/>
          <a:chOff x="1859850" y="3541875"/>
          <a:chExt cx="6972300" cy="476250"/>
        </a:xfrm>
      </xdr:grpSpPr>
      <xdr:grpSp>
        <xdr:nvGrpSpPr>
          <xdr:cNvPr id="121" name="Shape 102">
            <a:extLst>
              <a:ext uri="{FF2B5EF4-FFF2-40B4-BE49-F238E27FC236}">
                <a16:creationId xmlns:a16="http://schemas.microsoft.com/office/drawing/2014/main" id="{D57DFE4C-F4F8-3A1B-8116-684239929480}"/>
              </a:ext>
            </a:extLst>
          </xdr:cNvPr>
          <xdr:cNvGrpSpPr/>
        </xdr:nvGrpSpPr>
        <xdr:grpSpPr>
          <a:xfrm>
            <a:off x="1859850" y="3541875"/>
            <a:ext cx="6972300" cy="476250"/>
            <a:chOff x="1859850" y="3541875"/>
            <a:chExt cx="6972300" cy="476250"/>
          </a:xfrm>
        </xdr:grpSpPr>
        <xdr:sp macro="" textlink="">
          <xdr:nvSpPr>
            <xdr:cNvPr id="122" name="Shape 4">
              <a:extLst>
                <a:ext uri="{FF2B5EF4-FFF2-40B4-BE49-F238E27FC236}">
                  <a16:creationId xmlns:a16="http://schemas.microsoft.com/office/drawing/2014/main" id="{EA58970C-99B5-6313-BECA-BD88AC0190A1}"/>
                </a:ext>
              </a:extLst>
            </xdr:cNvPr>
            <xdr:cNvSpPr/>
          </xdr:nvSpPr>
          <xdr:spPr>
            <a:xfrm>
              <a:off x="1859850" y="3541875"/>
              <a:ext cx="6972300" cy="4762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123" name="Shape 103">
              <a:extLst>
                <a:ext uri="{FF2B5EF4-FFF2-40B4-BE49-F238E27FC236}">
                  <a16:creationId xmlns:a16="http://schemas.microsoft.com/office/drawing/2014/main" id="{4433943F-B1DD-6D1A-F12D-CB7C13D337F2}"/>
                </a:ext>
              </a:extLst>
            </xdr:cNvPr>
            <xdr:cNvGrpSpPr/>
          </xdr:nvGrpSpPr>
          <xdr:grpSpPr>
            <a:xfrm>
              <a:off x="1859850" y="3541875"/>
              <a:ext cx="6972300" cy="476250"/>
              <a:chOff x="1859850" y="3541875"/>
              <a:chExt cx="6972300" cy="476250"/>
            </a:xfrm>
          </xdr:grpSpPr>
          <xdr:sp macro="" textlink="">
            <xdr:nvSpPr>
              <xdr:cNvPr id="124" name="Shape 104">
                <a:extLst>
                  <a:ext uri="{FF2B5EF4-FFF2-40B4-BE49-F238E27FC236}">
                    <a16:creationId xmlns:a16="http://schemas.microsoft.com/office/drawing/2014/main" id="{D8A51895-1566-0BB2-7FE2-4B18ABDA9C46}"/>
                  </a:ext>
                </a:extLst>
              </xdr:cNvPr>
              <xdr:cNvSpPr/>
            </xdr:nvSpPr>
            <xdr:spPr>
              <a:xfrm>
                <a:off x="1859850" y="3541875"/>
                <a:ext cx="6972300" cy="4762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25" name="Shape 105">
                <a:extLst>
                  <a:ext uri="{FF2B5EF4-FFF2-40B4-BE49-F238E27FC236}">
                    <a16:creationId xmlns:a16="http://schemas.microsoft.com/office/drawing/2014/main" id="{3FEEA1B5-2C1D-C5B3-9A18-FD8BD2B611DF}"/>
                  </a:ext>
                </a:extLst>
              </xdr:cNvPr>
              <xdr:cNvGrpSpPr/>
            </xdr:nvGrpSpPr>
            <xdr:grpSpPr>
              <a:xfrm>
                <a:off x="1859850" y="3541875"/>
                <a:ext cx="6972300" cy="476250"/>
                <a:chOff x="1878900" y="3560775"/>
                <a:chExt cx="6934200" cy="438300"/>
              </a:xfrm>
            </xdr:grpSpPr>
            <xdr:sp macro="" textlink="">
              <xdr:nvSpPr>
                <xdr:cNvPr id="126" name="Shape 106">
                  <a:extLst>
                    <a:ext uri="{FF2B5EF4-FFF2-40B4-BE49-F238E27FC236}">
                      <a16:creationId xmlns:a16="http://schemas.microsoft.com/office/drawing/2014/main" id="{A9AB5D93-8C57-1162-4A17-6AADC3CE4154}"/>
                    </a:ext>
                  </a:extLst>
                </xdr:cNvPr>
                <xdr:cNvSpPr/>
              </xdr:nvSpPr>
              <xdr:spPr>
                <a:xfrm>
                  <a:off x="1878900" y="3560775"/>
                  <a:ext cx="6934200" cy="4383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127" name="Shape 107">
                  <a:extLst>
                    <a:ext uri="{FF2B5EF4-FFF2-40B4-BE49-F238E27FC236}">
                      <a16:creationId xmlns:a16="http://schemas.microsoft.com/office/drawing/2014/main" id="{1969CE8C-4671-CCDC-6DAA-68748509F514}"/>
                    </a:ext>
                  </a:extLst>
                </xdr:cNvPr>
                <xdr:cNvCxnSpPr>
                  <a:stCxn id="65" idx="2"/>
                </xdr:cNvCxnSpPr>
              </xdr:nvCxnSpPr>
              <xdr:spPr>
                <a:xfrm rot="10800000">
                  <a:off x="1878900" y="3560775"/>
                  <a:ext cx="6934200" cy="438300"/>
                </a:xfrm>
                <a:prstGeom prst="straightConnector1">
                  <a:avLst/>
                </a:prstGeom>
                <a:noFill/>
                <a:ln w="38100" cap="flat" cmpd="sng">
                  <a:solidFill>
                    <a:schemeClr val="accent2"/>
                  </a:solidFill>
                  <a:prstDash val="solid"/>
                  <a:miter lim="800000"/>
                  <a:headEnd type="none" w="sm" len="sm"/>
                  <a:tailEnd type="triangle" w="med" len="med"/>
                </a:ln>
              </xdr:spPr>
            </xdr:cxnSp>
          </xdr:grpSp>
        </xdr:grpSp>
      </xdr:grpSp>
    </xdr:grpSp>
    <xdr:clientData fLocksWithSheet="0"/>
  </xdr:oneCellAnchor>
  <xdr:oneCellAnchor>
    <xdr:from>
      <xdr:col>30</xdr:col>
      <xdr:colOff>85725</xdr:colOff>
      <xdr:row>1</xdr:row>
      <xdr:rowOff>104775</xdr:rowOff>
    </xdr:from>
    <xdr:ext cx="4552950" cy="2286000"/>
    <xdr:pic>
      <xdr:nvPicPr>
        <xdr:cNvPr id="128" name="image2.png">
          <a:extLst>
            <a:ext uri="{FF2B5EF4-FFF2-40B4-BE49-F238E27FC236}">
              <a16:creationId xmlns:a16="http://schemas.microsoft.com/office/drawing/2014/main" id="{746D12FA-93CD-4B0B-A902-EAF5A91786CA}"/>
            </a:ext>
          </a:extLst>
        </xdr:cNvPr>
        <xdr:cNvPicPr preferRelativeResize="0"/>
      </xdr:nvPicPr>
      <xdr:blipFill>
        <a:blip xmlns:r="http://schemas.openxmlformats.org/officeDocument/2006/relationships" r:embed="rId1" cstate="print"/>
        <a:stretch>
          <a:fillRect/>
        </a:stretch>
      </xdr:blipFill>
      <xdr:spPr>
        <a:xfrm>
          <a:off x="31372175" y="282575"/>
          <a:ext cx="4552950" cy="2286000"/>
        </a:xfrm>
        <a:prstGeom prst="rect">
          <a:avLst/>
        </a:prstGeom>
        <a:noFill/>
      </xdr:spPr>
    </xdr:pic>
    <xdr:clientData fLocksWithSheet="0"/>
  </xdr:oneCellAnchor>
  <xdr:oneCellAnchor>
    <xdr:from>
      <xdr:col>19</xdr:col>
      <xdr:colOff>104775</xdr:colOff>
      <xdr:row>1</xdr:row>
      <xdr:rowOff>123825</xdr:rowOff>
    </xdr:from>
    <xdr:ext cx="5553075" cy="3000375"/>
    <xdr:pic>
      <xdr:nvPicPr>
        <xdr:cNvPr id="129" name="image3.png">
          <a:extLst>
            <a:ext uri="{FF2B5EF4-FFF2-40B4-BE49-F238E27FC236}">
              <a16:creationId xmlns:a16="http://schemas.microsoft.com/office/drawing/2014/main" id="{DF764BBC-BC46-4C16-B1C2-EEB6B80001E3}"/>
            </a:ext>
          </a:extLst>
        </xdr:cNvPr>
        <xdr:cNvPicPr preferRelativeResize="0"/>
      </xdr:nvPicPr>
      <xdr:blipFill>
        <a:blip xmlns:r="http://schemas.openxmlformats.org/officeDocument/2006/relationships" r:embed="rId2" cstate="print"/>
        <a:stretch>
          <a:fillRect/>
        </a:stretch>
      </xdr:blipFill>
      <xdr:spPr>
        <a:xfrm>
          <a:off x="25034875" y="301625"/>
          <a:ext cx="5553075" cy="3000375"/>
        </a:xfrm>
        <a:prstGeom prst="rect">
          <a:avLst/>
        </a:prstGeom>
        <a:noFill/>
      </xdr:spPr>
    </xdr:pic>
    <xdr:clientData fLocksWithSheet="0"/>
  </xdr:oneCellAnchor>
  <xdr:oneCellAnchor>
    <xdr:from>
      <xdr:col>19</xdr:col>
      <xdr:colOff>9525</xdr:colOff>
      <xdr:row>25</xdr:row>
      <xdr:rowOff>123825</xdr:rowOff>
    </xdr:from>
    <xdr:ext cx="5819775" cy="5095875"/>
    <xdr:pic>
      <xdr:nvPicPr>
        <xdr:cNvPr id="130" name="image7.png">
          <a:extLst>
            <a:ext uri="{FF2B5EF4-FFF2-40B4-BE49-F238E27FC236}">
              <a16:creationId xmlns:a16="http://schemas.microsoft.com/office/drawing/2014/main" id="{0BA6E257-F1A8-44C4-8DA9-0654ED627481}"/>
            </a:ext>
          </a:extLst>
        </xdr:cNvPr>
        <xdr:cNvPicPr preferRelativeResize="0"/>
      </xdr:nvPicPr>
      <xdr:blipFill>
        <a:blip xmlns:r="http://schemas.openxmlformats.org/officeDocument/2006/relationships" r:embed="rId3" cstate="print"/>
        <a:stretch>
          <a:fillRect/>
        </a:stretch>
      </xdr:blipFill>
      <xdr:spPr>
        <a:xfrm>
          <a:off x="24939625" y="4568825"/>
          <a:ext cx="5819775" cy="5095875"/>
        </a:xfrm>
        <a:prstGeom prst="rect">
          <a:avLst/>
        </a:prstGeom>
        <a:noFill/>
      </xdr:spPr>
    </xdr:pic>
    <xdr:clientData fLocksWithSheet="0"/>
  </xdr:oneCellAnchor>
  <xdr:oneCellAnchor>
    <xdr:from>
      <xdr:col>30</xdr:col>
      <xdr:colOff>85725</xdr:colOff>
      <xdr:row>25</xdr:row>
      <xdr:rowOff>104775</xdr:rowOff>
    </xdr:from>
    <xdr:ext cx="5743575" cy="3933825"/>
    <xdr:pic>
      <xdr:nvPicPr>
        <xdr:cNvPr id="131" name="image9.png">
          <a:extLst>
            <a:ext uri="{FF2B5EF4-FFF2-40B4-BE49-F238E27FC236}">
              <a16:creationId xmlns:a16="http://schemas.microsoft.com/office/drawing/2014/main" id="{EBE7451E-C1E2-4953-ACF2-67E04AF5ADF2}"/>
            </a:ext>
          </a:extLst>
        </xdr:cNvPr>
        <xdr:cNvPicPr preferRelativeResize="0"/>
      </xdr:nvPicPr>
      <xdr:blipFill>
        <a:blip xmlns:r="http://schemas.openxmlformats.org/officeDocument/2006/relationships" r:embed="rId4" cstate="print"/>
        <a:stretch>
          <a:fillRect/>
        </a:stretch>
      </xdr:blipFill>
      <xdr:spPr>
        <a:xfrm>
          <a:off x="31372175" y="4549775"/>
          <a:ext cx="5743575" cy="3933825"/>
        </a:xfrm>
        <a:prstGeom prst="rect">
          <a:avLst/>
        </a:prstGeom>
        <a:noFill/>
      </xdr:spPr>
    </xdr:pic>
    <xdr:clientData fLocksWithSheet="0"/>
  </xdr:oneCellAnchor>
  <xdr:oneCellAnchor>
    <xdr:from>
      <xdr:col>19</xdr:col>
      <xdr:colOff>533400</xdr:colOff>
      <xdr:row>67</xdr:row>
      <xdr:rowOff>104775</xdr:rowOff>
    </xdr:from>
    <xdr:ext cx="7038975" cy="2381250"/>
    <xdr:pic>
      <xdr:nvPicPr>
        <xdr:cNvPr id="132" name="image6.png">
          <a:extLst>
            <a:ext uri="{FF2B5EF4-FFF2-40B4-BE49-F238E27FC236}">
              <a16:creationId xmlns:a16="http://schemas.microsoft.com/office/drawing/2014/main" id="{1BA9688B-E64D-4A63-B874-34599947A02A}"/>
            </a:ext>
          </a:extLst>
        </xdr:cNvPr>
        <xdr:cNvPicPr preferRelativeResize="0"/>
      </xdr:nvPicPr>
      <xdr:blipFill>
        <a:blip xmlns:r="http://schemas.openxmlformats.org/officeDocument/2006/relationships" r:embed="rId5" cstate="print"/>
        <a:stretch>
          <a:fillRect/>
        </a:stretch>
      </xdr:blipFill>
      <xdr:spPr>
        <a:xfrm>
          <a:off x="25463500" y="12030075"/>
          <a:ext cx="7038975" cy="2381250"/>
        </a:xfrm>
        <a:prstGeom prst="rect">
          <a:avLst/>
        </a:prstGeom>
        <a:noFill/>
      </xdr:spPr>
    </xdr:pic>
    <xdr:clientData fLocksWithSheet="0"/>
  </xdr:oneCellAnchor>
  <xdr:oneCellAnchor>
    <xdr:from>
      <xdr:col>5</xdr:col>
      <xdr:colOff>333375</xdr:colOff>
      <xdr:row>45</xdr:row>
      <xdr:rowOff>171450</xdr:rowOff>
    </xdr:from>
    <xdr:ext cx="7391400" cy="5962650"/>
    <xdr:pic>
      <xdr:nvPicPr>
        <xdr:cNvPr id="133" name="image4.png">
          <a:extLst>
            <a:ext uri="{FF2B5EF4-FFF2-40B4-BE49-F238E27FC236}">
              <a16:creationId xmlns:a16="http://schemas.microsoft.com/office/drawing/2014/main" id="{B6A566D5-D388-4457-8757-A11B5119A438}"/>
            </a:ext>
          </a:extLst>
        </xdr:cNvPr>
        <xdr:cNvPicPr preferRelativeResize="0"/>
      </xdr:nvPicPr>
      <xdr:blipFill>
        <a:blip xmlns:r="http://schemas.openxmlformats.org/officeDocument/2006/relationships" r:embed="rId6" cstate="print"/>
        <a:stretch>
          <a:fillRect/>
        </a:stretch>
      </xdr:blipFill>
      <xdr:spPr>
        <a:xfrm>
          <a:off x="7451725" y="8172450"/>
          <a:ext cx="7391400" cy="5962650"/>
        </a:xfrm>
        <a:prstGeom prst="rect">
          <a:avLst/>
        </a:prstGeom>
        <a:noFill/>
      </xdr:spPr>
    </xdr:pic>
    <xdr:clientData fLocksWithSheet="0"/>
  </xdr:oneCellAnchor>
  <xdr:oneCellAnchor>
    <xdr:from>
      <xdr:col>5</xdr:col>
      <xdr:colOff>323850</xdr:colOff>
      <xdr:row>85</xdr:row>
      <xdr:rowOff>38100</xdr:rowOff>
    </xdr:from>
    <xdr:ext cx="7029450" cy="5372100"/>
    <xdr:pic>
      <xdr:nvPicPr>
        <xdr:cNvPr id="134" name="image8.png">
          <a:extLst>
            <a:ext uri="{FF2B5EF4-FFF2-40B4-BE49-F238E27FC236}">
              <a16:creationId xmlns:a16="http://schemas.microsoft.com/office/drawing/2014/main" id="{BCA962B1-3330-4713-BBD8-3561FAD635DE}"/>
            </a:ext>
          </a:extLst>
        </xdr:cNvPr>
        <xdr:cNvPicPr preferRelativeResize="0"/>
      </xdr:nvPicPr>
      <xdr:blipFill>
        <a:blip xmlns:r="http://schemas.openxmlformats.org/officeDocument/2006/relationships" r:embed="rId7" cstate="print"/>
        <a:stretch>
          <a:fillRect/>
        </a:stretch>
      </xdr:blipFill>
      <xdr:spPr>
        <a:xfrm>
          <a:off x="7442200" y="15163800"/>
          <a:ext cx="7029450" cy="5372100"/>
        </a:xfrm>
        <a:prstGeom prst="rect">
          <a:avLst/>
        </a:prstGeom>
        <a:noFill/>
      </xdr:spPr>
    </xdr:pic>
    <xdr:clientData fLocksWithSheet="0"/>
  </xdr:oneCellAnchor>
  <xdr:oneCellAnchor>
    <xdr:from>
      <xdr:col>3</xdr:col>
      <xdr:colOff>533400</xdr:colOff>
      <xdr:row>121</xdr:row>
      <xdr:rowOff>0</xdr:rowOff>
    </xdr:from>
    <xdr:ext cx="7010400" cy="3076575"/>
    <xdr:pic>
      <xdr:nvPicPr>
        <xdr:cNvPr id="135" name="image5.png">
          <a:extLst>
            <a:ext uri="{FF2B5EF4-FFF2-40B4-BE49-F238E27FC236}">
              <a16:creationId xmlns:a16="http://schemas.microsoft.com/office/drawing/2014/main" id="{379E5F1B-2401-4566-8F0B-2A2F82FFF5B5}"/>
            </a:ext>
          </a:extLst>
        </xdr:cNvPr>
        <xdr:cNvPicPr preferRelativeResize="0"/>
      </xdr:nvPicPr>
      <xdr:blipFill>
        <a:blip xmlns:r="http://schemas.openxmlformats.org/officeDocument/2006/relationships" r:embed="rId8" cstate="print"/>
        <a:stretch>
          <a:fillRect/>
        </a:stretch>
      </xdr:blipFill>
      <xdr:spPr>
        <a:xfrm>
          <a:off x="6362700" y="21558250"/>
          <a:ext cx="7010400" cy="3076575"/>
        </a:xfrm>
        <a:prstGeom prst="rect">
          <a:avLst/>
        </a:prstGeom>
        <a:noFill/>
      </xdr:spPr>
    </xdr:pic>
    <xdr:clientData fLocksWithSheet="0"/>
  </xdr:oneCellAnchor>
  <xdr:twoCellAnchor editAs="oneCell">
    <xdr:from>
      <xdr:col>12</xdr:col>
      <xdr:colOff>1484415</xdr:colOff>
      <xdr:row>53</xdr:row>
      <xdr:rowOff>164935</xdr:rowOff>
    </xdr:from>
    <xdr:to>
      <xdr:col>14</xdr:col>
      <xdr:colOff>671537</xdr:colOff>
      <xdr:row>59</xdr:row>
      <xdr:rowOff>115736</xdr:rowOff>
    </xdr:to>
    <xdr:pic>
      <xdr:nvPicPr>
        <xdr:cNvPr id="136" name="Picture 135">
          <a:extLst>
            <a:ext uri="{FF2B5EF4-FFF2-40B4-BE49-F238E27FC236}">
              <a16:creationId xmlns:a16="http://schemas.microsoft.com/office/drawing/2014/main" id="{EC45008A-D338-4A12-9FB2-FB000106A25E}"/>
            </a:ext>
          </a:extLst>
        </xdr:cNvPr>
        <xdr:cNvPicPr>
          <a:picLocks noChangeAspect="1"/>
        </xdr:cNvPicPr>
      </xdr:nvPicPr>
      <xdr:blipFill>
        <a:blip xmlns:r="http://schemas.openxmlformats.org/officeDocument/2006/relationships" r:embed="rId9"/>
        <a:stretch>
          <a:fillRect/>
        </a:stretch>
      </xdr:blipFill>
      <xdr:spPr>
        <a:xfrm>
          <a:off x="16349765" y="9588335"/>
          <a:ext cx="2603422" cy="1030301"/>
        </a:xfrm>
        <a:prstGeom prst="rect">
          <a:avLst/>
        </a:prstGeom>
      </xdr:spPr>
    </xdr:pic>
    <xdr:clientData/>
  </xdr:twoCellAnchor>
  <xdr:twoCellAnchor editAs="oneCell">
    <xdr:from>
      <xdr:col>14</xdr:col>
      <xdr:colOff>1122202</xdr:colOff>
      <xdr:row>44</xdr:row>
      <xdr:rowOff>156688</xdr:rowOff>
    </xdr:from>
    <xdr:to>
      <xdr:col>18</xdr:col>
      <xdr:colOff>365628</xdr:colOff>
      <xdr:row>59</xdr:row>
      <xdr:rowOff>4264</xdr:rowOff>
    </xdr:to>
    <xdr:pic>
      <xdr:nvPicPr>
        <xdr:cNvPr id="137" name="Picture 136">
          <a:extLst>
            <a:ext uri="{FF2B5EF4-FFF2-40B4-BE49-F238E27FC236}">
              <a16:creationId xmlns:a16="http://schemas.microsoft.com/office/drawing/2014/main" id="{7C95DBD7-BA55-42EC-ABF2-DDADB146500F}"/>
            </a:ext>
          </a:extLst>
        </xdr:cNvPr>
        <xdr:cNvPicPr>
          <a:picLocks noChangeAspect="1"/>
        </xdr:cNvPicPr>
      </xdr:nvPicPr>
      <xdr:blipFill>
        <a:blip xmlns:r="http://schemas.openxmlformats.org/officeDocument/2006/relationships" r:embed="rId10"/>
        <a:stretch>
          <a:fillRect/>
        </a:stretch>
      </xdr:blipFill>
      <xdr:spPr>
        <a:xfrm>
          <a:off x="19403852" y="7979888"/>
          <a:ext cx="4666326" cy="2527276"/>
        </a:xfrm>
        <a:prstGeom prst="rect">
          <a:avLst/>
        </a:prstGeom>
      </xdr:spPr>
    </xdr:pic>
    <xdr:clientData/>
  </xdr:twoCellAnchor>
  <xdr:twoCellAnchor editAs="oneCell">
    <xdr:from>
      <xdr:col>13</xdr:col>
      <xdr:colOff>57727</xdr:colOff>
      <xdr:row>60</xdr:row>
      <xdr:rowOff>101188</xdr:rowOff>
    </xdr:from>
    <xdr:to>
      <xdr:col>17</xdr:col>
      <xdr:colOff>927554</xdr:colOff>
      <xdr:row>76</xdr:row>
      <xdr:rowOff>61299</xdr:rowOff>
    </xdr:to>
    <xdr:pic>
      <xdr:nvPicPr>
        <xdr:cNvPr id="138" name="Picture 137">
          <a:extLst>
            <a:ext uri="{FF2B5EF4-FFF2-40B4-BE49-F238E27FC236}">
              <a16:creationId xmlns:a16="http://schemas.microsoft.com/office/drawing/2014/main" id="{E4909AD2-6816-4CB5-AF4C-6E7773961B38}"/>
            </a:ext>
          </a:extLst>
        </xdr:cNvPr>
        <xdr:cNvPicPr>
          <a:picLocks noChangeAspect="1"/>
        </xdr:cNvPicPr>
      </xdr:nvPicPr>
      <xdr:blipFill>
        <a:blip xmlns:r="http://schemas.openxmlformats.org/officeDocument/2006/relationships" r:embed="rId11"/>
        <a:stretch>
          <a:fillRect/>
        </a:stretch>
      </xdr:blipFill>
      <xdr:spPr>
        <a:xfrm>
          <a:off x="16751877" y="10781888"/>
          <a:ext cx="6692777" cy="2804911"/>
        </a:xfrm>
        <a:prstGeom prst="rect">
          <a:avLst/>
        </a:prstGeom>
      </xdr:spPr>
    </xdr:pic>
    <xdr:clientData/>
  </xdr:twoCellAnchor>
  <xdr:twoCellAnchor editAs="oneCell">
    <xdr:from>
      <xdr:col>12</xdr:col>
      <xdr:colOff>1665844</xdr:colOff>
      <xdr:row>78</xdr:row>
      <xdr:rowOff>142311</xdr:rowOff>
    </xdr:from>
    <xdr:to>
      <xdr:col>18</xdr:col>
      <xdr:colOff>704785</xdr:colOff>
      <xdr:row>85</xdr:row>
      <xdr:rowOff>2826</xdr:rowOff>
    </xdr:to>
    <xdr:pic>
      <xdr:nvPicPr>
        <xdr:cNvPr id="139" name="Picture 138">
          <a:extLst>
            <a:ext uri="{FF2B5EF4-FFF2-40B4-BE49-F238E27FC236}">
              <a16:creationId xmlns:a16="http://schemas.microsoft.com/office/drawing/2014/main" id="{89CA0108-F79F-4DAF-9AF4-9C79B5E14835}"/>
            </a:ext>
          </a:extLst>
        </xdr:cNvPr>
        <xdr:cNvPicPr>
          <a:picLocks noChangeAspect="1"/>
        </xdr:cNvPicPr>
      </xdr:nvPicPr>
      <xdr:blipFill>
        <a:blip xmlns:r="http://schemas.openxmlformats.org/officeDocument/2006/relationships" r:embed="rId12"/>
        <a:stretch>
          <a:fillRect/>
        </a:stretch>
      </xdr:blipFill>
      <xdr:spPr>
        <a:xfrm>
          <a:off x="16531194" y="14023411"/>
          <a:ext cx="7878141" cy="1105115"/>
        </a:xfrm>
        <a:prstGeom prst="rect">
          <a:avLst/>
        </a:prstGeom>
      </xdr:spPr>
    </xdr:pic>
    <xdr:clientData/>
  </xdr:twoCellAnchor>
  <xdr:twoCellAnchor editAs="oneCell">
    <xdr:from>
      <xdr:col>14</xdr:col>
      <xdr:colOff>0</xdr:colOff>
      <xdr:row>90</xdr:row>
      <xdr:rowOff>0</xdr:rowOff>
    </xdr:from>
    <xdr:to>
      <xdr:col>32</xdr:col>
      <xdr:colOff>426257</xdr:colOff>
      <xdr:row>116</xdr:row>
      <xdr:rowOff>64565</xdr:rowOff>
    </xdr:to>
    <xdr:pic>
      <xdr:nvPicPr>
        <xdr:cNvPr id="140" name="Picture 139">
          <a:extLst>
            <a:ext uri="{FF2B5EF4-FFF2-40B4-BE49-F238E27FC236}">
              <a16:creationId xmlns:a16="http://schemas.microsoft.com/office/drawing/2014/main" id="{AC0C181A-47EB-4114-8F14-88F54AE92443}"/>
            </a:ext>
          </a:extLst>
        </xdr:cNvPr>
        <xdr:cNvPicPr>
          <a:picLocks noChangeAspect="1"/>
        </xdr:cNvPicPr>
      </xdr:nvPicPr>
      <xdr:blipFill>
        <a:blip xmlns:r="http://schemas.openxmlformats.org/officeDocument/2006/relationships" r:embed="rId13"/>
        <a:stretch>
          <a:fillRect/>
        </a:stretch>
      </xdr:blipFill>
      <xdr:spPr>
        <a:xfrm>
          <a:off x="18281650" y="16014700"/>
          <a:ext cx="14586757" cy="468736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itbdsti.sharepoint.com/sites/PPST4-2026/Shared%20Documents/Modul%201/LRP%20Modul%201%20Part%20Make%20Asisten%20PPST%20IV.xlsx" TargetMode="External"/><Relationship Id="rId1" Type="http://schemas.openxmlformats.org/officeDocument/2006/relationships/externalLinkPath" Target="https://itbdsti.sharepoint.com/sites/PPST4-2026/Shared%20Documents/Modul%201/LRP%20Modul%201%20Part%20Make%20Asisten%20PPST%20IV.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ormat LRP"/>
      <sheetName val="Perhitungan LRP"/>
      <sheetName val="LRP Bottom Base 1"/>
      <sheetName val="Perhitungan LRP Bottom Base 1"/>
      <sheetName val="LRP Bottom Base 2"/>
      <sheetName val="Perhitungan LRP Bottom Base 2"/>
      <sheetName val="LRP Guide Female"/>
      <sheetName val="Perhitungan LRP Guide Female"/>
      <sheetName val="LRP Pan"/>
      <sheetName val="Perhitungan LRP Pan"/>
      <sheetName val="LRP Pivot"/>
      <sheetName val="Perhitungan LRP Pivot"/>
      <sheetName val="LRP Tilt"/>
      <sheetName val="Perhitungan LRP Tilt"/>
      <sheetName val="LRP Leg"/>
      <sheetName val="Perhitungan LRP Leg"/>
      <sheetName val="LRP Guide Male"/>
      <sheetName val="Perhitungan LRP Guide Male"/>
      <sheetName val="LRP Rib"/>
      <sheetName val="Perhitungan LRP Rib"/>
      <sheetName val="LRP Bush"/>
      <sheetName val="Perhitungan LRP Bush"/>
    </sheetNames>
    <sheetDataSet>
      <sheetData sheetId="0"/>
      <sheetData sheetId="1"/>
      <sheetData sheetId="2"/>
      <sheetData sheetId="3">
        <row r="7">
          <cell r="L7">
            <v>1.9714285714285713</v>
          </cell>
        </row>
        <row r="8">
          <cell r="L8">
            <v>1.8977772886244559</v>
          </cell>
        </row>
        <row r="9">
          <cell r="L9">
            <v>1.2</v>
          </cell>
        </row>
        <row r="10">
          <cell r="L10">
            <v>1.2</v>
          </cell>
        </row>
        <row r="14">
          <cell r="M14">
            <v>25.643333333333334</v>
          </cell>
        </row>
        <row r="15">
          <cell r="M15">
            <v>14.287000000000001</v>
          </cell>
        </row>
        <row r="16">
          <cell r="M16">
            <v>13.470599999999999</v>
          </cell>
        </row>
        <row r="17">
          <cell r="M17">
            <v>12.654199999999999</v>
          </cell>
        </row>
        <row r="18">
          <cell r="M18">
            <v>3.1399999999999997</v>
          </cell>
        </row>
        <row r="22">
          <cell r="J22">
            <v>23.55</v>
          </cell>
        </row>
        <row r="23">
          <cell r="J23">
            <v>8.6175555555555561E-2</v>
          </cell>
        </row>
        <row r="24">
          <cell r="J24">
            <v>20.017499999999998</v>
          </cell>
        </row>
        <row r="25">
          <cell r="J25">
            <v>23.55</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persons/person.xml><?xml version="1.0" encoding="utf-8"?>
<personList xmlns="http://schemas.microsoft.com/office/spreadsheetml/2018/threadedcomments" xmlns:x="http://schemas.openxmlformats.org/spreadsheetml/2006/main">
  <person displayName="Mohammad Ghani Syahputra" id="{C46CF16C-F3E6-4AB2-AD22-2BBBC660FCAE}" userId="S::13422064@mahasiswa.itb.ac.id::378ca3d6-1b3c-42bd-8c2b-e0211812cfda" providerId="AD"/>
  <person displayName="Faiz Jauhar Azzam" id="{BFB1390B-A3D0-4420-B85C-03E5C78D5412}" userId="S::13422121@mahasiswa.itb.ac.id::f274b7e4-a98d-465f-9c08-91057147caa9" providerId="AD"/>
  <person displayName="Aryaputra Roseno" id="{4EE8DA67-C9E5-4DEE-B29B-C2FC131B5325}" userId="S::13422129@mahasiswa.itb.ac.id::40469ef0-4aed-4dc0-ad52-bce3f7e3110c" providerId="AD"/>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13" dT="2026-02-24T17:23:19.84" personId="{4EE8DA67-C9E5-4DEE-B29B-C2FC131B5325}" id="{2F2D8D20-D7C5-4694-8519-14F87864D1DD}">
    <text>Pembentukan fitur setengah lingkaran pada bagian bawah part</text>
  </threadedComment>
  <threadedComment ref="B14" dT="2026-02-24T16:19:10.98" personId="{4EE8DA67-C9E5-4DEE-B29B-C2FC131B5325}" id="{C70015EC-B53B-4253-BFAF-3378C520E685}">
    <text>Membentuk fitur rongga di tengah part</text>
  </threadedComment>
  <threadedComment ref="B17" dT="2026-02-24T16:19:10.98" personId="{4EE8DA67-C9E5-4DEE-B29B-C2FC131B5325}" id="{824C34DB-38BF-41D6-96B2-0BE62C748175}">
    <text>Proses pembentukan lingkaran pada bagian bawah part</text>
  </threadedComment>
  <threadedComment ref="B18" dT="2026-02-24T16:19:10.98" personId="{4EE8DA67-C9E5-4DEE-B29B-C2FC131B5325}" id="{CE0C8F84-4838-44BD-9340-39FAF0A2591F}">
    <text>Proses pembentukan lingkaran pada bagian bawah part</text>
  </threadedComment>
  <threadedComment ref="B19" dT="2026-02-24T16:19:10.98" personId="{4EE8DA67-C9E5-4DEE-B29B-C2FC131B5325}" id="{99F13EAE-41A6-4D6D-8F4A-73D22DAA1A6A}">
    <text>Melakukan roughing pada bagian kanan part untuk membentuk fitur segitiga</text>
  </threadedComment>
  <threadedComment ref="B21" dT="2026-02-24T16:19:10.98" personId="{4EE8DA67-C9E5-4DEE-B29B-C2FC131B5325}" id="{BA6E4EF1-6A1F-46FB-9243-4574576443A3}">
    <text>Melakukan roughing pada bagian kiri part untuk membentuk fitur segitiga</text>
  </threadedComment>
  <threadedComment ref="B23" dT="2026-02-24T16:19:10.98" personId="{4EE8DA67-C9E5-4DEE-B29B-C2FC131B5325}" id="{01E19635-0446-4917-8FCC-C6D68B878BE7}">
    <text>Melakukan roughing pada bagian dekat lingkaran part untuk membentuk fitur garis lurus</text>
  </threadedComment>
  <threadedComment ref="B25" dT="2026-02-24T16:57:44.67" personId="{4EE8DA67-C9E5-4DEE-B29B-C2FC131B5325}" id="{45858FCD-AD8D-40B1-9E59-477C414BA8EF}">
    <text>Membentuk fitur murr pada bagian kanan part</text>
  </threadedComment>
  <threadedComment ref="B27" dT="2026-02-24T16:19:10.98" personId="{4EE8DA67-C9E5-4DEE-B29B-C2FC131B5325}" id="{82FB2F22-13C1-4B73-9B19-DB5616B1A444}">
    <text>Melakukan roughing pada sisi kanan part</text>
  </threadedComment>
  <threadedComment ref="B33" dT="2026-02-24T16:19:10.98" personId="{4EE8DA67-C9E5-4DEE-B29B-C2FC131B5325}" id="{05D92197-4AC4-4B8B-9EE6-69F76B601933}">
    <text>Melakukan roughing pada sisi kiri part</text>
  </threadedComment>
  <threadedComment ref="B39" dT="2026-02-24T16:19:10.98" personId="{4EE8DA67-C9E5-4DEE-B29B-C2FC131B5325}" id="{59849A25-967F-45DE-9282-2E6B2F271ADB}">
    <text>Membentuk fitur melengkung pada sisi kanan part</text>
  </threadedComment>
  <threadedComment ref="B41" dT="2026-02-24T16:19:10.98" personId="{4EE8DA67-C9E5-4DEE-B29B-C2FC131B5325}" id="{2CFD53FF-E7F1-4307-A9BF-81EF8D34F7CF}">
    <text>Membentuk fitur melengkung pada sisi kiri part</text>
  </threadedComment>
  <threadedComment ref="B43" dT="2026-02-24T17:25:19.75" personId="{4EE8DA67-C9E5-4DEE-B29B-C2FC131B5325}" id="{CB763BC5-06D2-48E6-8EA6-F88A405022F7}">
    <text>Pembuatan fitur lubang pada sisi kanan part</text>
  </threadedComment>
  <threadedComment ref="B45" dT="2026-02-24T17:25:38.83" personId="{4EE8DA67-C9E5-4DEE-B29B-C2FC131B5325}" id="{37023677-D12A-4E15-B271-9A5EFD24441E}">
    <text>Pembentukan fitur lubang pada sisi kiri part</text>
  </threadedComment>
</ThreadedComments>
</file>

<file path=xl/threadedComments/threadedComment2.xml><?xml version="1.0" encoding="utf-8"?>
<ThreadedComments xmlns="http://schemas.microsoft.com/office/spreadsheetml/2018/threadedcomments" xmlns:x="http://schemas.openxmlformats.org/spreadsheetml/2006/main">
  <threadedComment ref="B16" dT="2024-10-06T08:23:37.45" personId="{BFB1390B-A3D0-4420-B85C-03E5C78D5412}" id="{699FCEF3-26CA-4CF3-8B4E-098A59762AF0}">
    <text>Feed bagian kanan dari lingkaran 42mm</text>
  </threadedComment>
  <threadedComment ref="B17" dT="2024-10-06T08:23:37.45" personId="{BFB1390B-A3D0-4420-B85C-03E5C78D5412}" id="{EC14BF7B-1E7D-46BC-A956-ADC371EEFE4A}">
    <text>Feed bagian kanan dari lingkaran 42mm</text>
  </threadedComment>
  <threadedComment ref="B22" dT="2024-10-06T08:28:16.71" personId="{BFB1390B-A3D0-4420-B85C-03E5C78D5412}" id="{04B84129-6907-414F-86D4-9761CCFCD10E}">
    <text>feed bagian luar lingkaran</text>
  </threadedComment>
  <threadedComment ref="B24" dT="2024-10-06T08:29:50.32" personId="{BFB1390B-A3D0-4420-B85C-03E5C78D5412}" id="{87D226DC-AB58-43BF-A52A-3AD773314DA1}">
    <text>feed sebelah kiri lingkaran</text>
  </threadedComment>
  <threadedComment ref="B25" dT="2024-10-06T08:29:50.32" personId="{BFB1390B-A3D0-4420-B85C-03E5C78D5412}" id="{9A51B348-64B8-4B10-B4ED-E03B963046DC}">
    <text>feed sebelah kiri lingkaran</text>
  </threadedComment>
  <threadedComment ref="B30" dT="2024-10-06T08:30:30.62" personId="{BFB1390B-A3D0-4420-B85C-03E5C78D5412}" id="{F3936492-611B-4C50-8E94-458C64A1516F}">
    <text>feed bagian luar ketebalan 4mm</text>
  </threadedComment>
  <threadedComment ref="B32" dT="2024-10-06T08:32:20.72" personId="{BFB1390B-A3D0-4420-B85C-03E5C78D5412}" id="{2227F8DA-F194-4D28-A102-9587AC7D2213}">
    <text>feed bagian luar lebar 4mm</text>
  </threadedComment>
  <threadedComment ref="B33" dT="2024-10-06T08:32:20.72" personId="{BFB1390B-A3D0-4420-B85C-03E5C78D5412}" id="{F03F3B41-8B97-4BB2-A7ED-DA7970D5F0B2}">
    <text>feed bagian luar lebar 4mm</text>
  </threadedComment>
  <threadedComment ref="B35" dT="2024-10-06T08:31:50.69" personId="{BFB1390B-A3D0-4420-B85C-03E5C78D5412}" id="{890B1B23-A2FE-4194-B9A3-99A950584CFD}">
    <text>feed bagian luar lebar 10mm</text>
  </threadedComment>
  <threadedComment ref="B37" dT="2024-10-06T08:34:43.80" personId="{BFB1390B-A3D0-4420-B85C-03E5C78D5412}" id="{838F7707-AD20-4E10-B88D-9E21D7A1D850}">
    <text>feed sebelah kiri habis lebar 10mm</text>
  </threadedComment>
  <threadedComment ref="B38" dT="2024-10-06T08:34:43.80" personId="{BFB1390B-A3D0-4420-B85C-03E5C78D5412}" id="{67AC6F1D-00CA-4A21-A0F8-DDB3DD9E358A}">
    <text>feed sebelah kiri habis lebar 10mm</text>
  </threadedComment>
</ThreadedComments>
</file>

<file path=xl/threadedComments/threadedComment3.xml><?xml version="1.0" encoding="utf-8"?>
<ThreadedComments xmlns="http://schemas.microsoft.com/office/spreadsheetml/2018/threadedcomments" xmlns:x="http://schemas.openxmlformats.org/spreadsheetml/2006/main">
  <threadedComment ref="B10" dT="2024-10-06T08:23:37.45" personId="{BFB1390B-A3D0-4420-B85C-03E5C78D5412}" id="{58A96880-83DC-47EE-8031-5BCF7400AB08}">
    <text>Feed bagian kanan dari lingkaran 42mm</text>
  </threadedComment>
  <threadedComment ref="B11" dT="2024-10-06T08:23:37.45" personId="{BFB1390B-A3D0-4420-B85C-03E5C78D5412}" id="{A8D35700-FE50-418D-A963-169468687481}">
    <text>Feed bagian kanan dari lingkaran 42mm</text>
  </threadedComment>
  <threadedComment ref="B16" dT="2024-10-06T08:28:16.71" personId="{BFB1390B-A3D0-4420-B85C-03E5C78D5412}" id="{D033CB37-E238-4BA0-94D0-499A14B64917}">
    <text>feed bagian luar lingkaran</text>
  </threadedComment>
  <threadedComment ref="B18" dT="2024-10-06T08:29:50.32" personId="{BFB1390B-A3D0-4420-B85C-03E5C78D5412}" id="{A20E7B80-2E1D-41F9-877F-5342AD95B7DA}">
    <text>feed sebelah kiri lingkaran</text>
  </threadedComment>
  <threadedComment ref="B19" dT="2024-10-06T08:29:50.32" personId="{BFB1390B-A3D0-4420-B85C-03E5C78D5412}" id="{EF724F2B-6B25-496E-AC7A-DE5D69ED0F5D}">
    <text>feed sebelah kiri lingkaran</text>
  </threadedComment>
  <threadedComment ref="B24" dT="2024-10-06T08:30:30.62" personId="{BFB1390B-A3D0-4420-B85C-03E5C78D5412}" id="{33B20506-B4D5-4497-9D9D-BB05D95AE9F7}">
    <text>feed bagian luar ketebalan 4mm</text>
  </threadedComment>
  <threadedComment ref="B26" dT="2024-10-06T08:32:20.72" personId="{BFB1390B-A3D0-4420-B85C-03E5C78D5412}" id="{5549594F-9396-4E67-9C5A-AD506BE58624}">
    <text>feed bagian luar lebar 4mm</text>
  </threadedComment>
  <threadedComment ref="B27" dT="2024-10-06T08:32:20.72" personId="{BFB1390B-A3D0-4420-B85C-03E5C78D5412}" id="{AD8FDDF6-9A4B-4991-B247-D4473A06D92D}">
    <text>feed bagian luar lebar 4mm</text>
  </threadedComment>
  <threadedComment ref="B29" dT="2024-10-06T08:31:50.69" personId="{BFB1390B-A3D0-4420-B85C-03E5C78D5412}" id="{46612517-7323-4D7C-AABD-C29CD6B1BF45}">
    <text>feed bagian luar lebar 10mm</text>
  </threadedComment>
  <threadedComment ref="B31" dT="2024-10-06T08:34:43.80" personId="{BFB1390B-A3D0-4420-B85C-03E5C78D5412}" id="{41DD0E09-9253-4760-B758-384A1B83E875}">
    <text>feed sebelah kiri habis lebar 10mm</text>
  </threadedComment>
  <threadedComment ref="B32" dT="2024-10-06T08:34:43.80" personId="{BFB1390B-A3D0-4420-B85C-03E5C78D5412}" id="{8651EF9D-6950-40B0-9614-6A2854C2AA49}">
    <text>feed sebelah kiri habis lebar 10mm</text>
  </threadedComment>
</ThreadedComments>
</file>

<file path=xl/threadedComments/threadedComment4.xml><?xml version="1.0" encoding="utf-8"?>
<ThreadedComments xmlns="http://schemas.microsoft.com/office/spreadsheetml/2018/threadedcomments" xmlns:x="http://schemas.openxmlformats.org/spreadsheetml/2006/main">
  <threadedComment ref="C39" dT="2025-03-14T06:46:18.69" personId="{C46CF16C-F3E6-4AB2-AD22-2BBBC660FCAE}" id="{336DC22F-F2DB-438A-9ED6-4B620DA4589A}">
    <text>Volume Produk yang akan dicetak</text>
  </threadedComment>
  <threadedComment ref="E39" dT="2025-03-14T06:47:31.71" personId="{C46CF16C-F3E6-4AB2-AD22-2BBBC660FCAE}" id="{4FBDE0FE-A7F8-4958-AF77-E1C96916FE12}">
    <text>Daya listrik yang dibutuhkan untuk melakukan injection molding</text>
  </threadedComment>
  <threadedComment ref="F39" dT="2025-03-14T06:48:54.18" personId="{C46CF16C-F3E6-4AB2-AD22-2BBBC660FCAE}" id="{999740DC-D0DB-4770-BB1C-EACCD16EB3CF}">
    <text>Tekanan menginjeksi, diasumsikan dari tabel bahwa PLA merupakan PLA dasar / base dan diambil yang paling tinggi sebesar 100 MPa</text>
  </threadedComment>
  <threadedComment ref="G39" dT="2025-03-14T06:49:30.67" personId="{C46CF16C-F3E6-4AB2-AD22-2BBBC660FCAE}" id="{F5742BE7-1637-49A1-80EA-9C9A19E06BE6}">
    <text>Ketebalan maksimal dari part yang paling lama untuk mengering</text>
  </threadedComment>
  <threadedComment ref="H39" dT="2025-03-14T06:49:59.93" personId="{C46CF16C-F3E6-4AB2-AD22-2BBBC660FCAE}" id="{D8A62AD9-6247-4B5C-A603-1A9CDCDFEFE0}">
    <text>Thermal Diffusvity Coefficent buat material PLA</text>
  </threadedComment>
  <threadedComment ref="I39" dT="2025-03-14T06:50:52.16" personId="{C46CF16C-F3E6-4AB2-AD22-2BBBC660FCAE}" id="{D29D5966-0DF8-4D92-817B-B3C03AFBD9BC}">
    <text>Temperatur Injeksi diasumsikan dengan temperatur leleh</text>
  </threadedComment>
  <threadedComment ref="J39" dT="2025-03-14T06:51:41.22" personId="{C46CF16C-F3E6-4AB2-AD22-2BBBC660FCAE}" id="{6C8BA42E-512B-4459-ADFA-635EEC5B8B75}">
    <text>Temperatur part ejection diasumsikan temperatur kering</text>
  </threadedComment>
</ThreadedComments>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drawing" Target="../drawings/drawing14.xml"/></Relationships>
</file>

<file path=xl/worksheets/_rels/sheet16.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drawing" Target="../drawings/drawing15.xml"/></Relationships>
</file>

<file path=xl/worksheets/_rels/sheet17.xml.rels><?xml version="1.0" encoding="UTF-8" standalone="yes"?>
<Relationships xmlns="http://schemas.openxmlformats.org/package/2006/relationships"><Relationship Id="rId3" Type="http://schemas.openxmlformats.org/officeDocument/2006/relationships/comments" Target="../comments17.xml"/><Relationship Id="rId2" Type="http://schemas.openxmlformats.org/officeDocument/2006/relationships/vmlDrawing" Target="../drawings/vmlDrawing17.vml"/><Relationship Id="rId1" Type="http://schemas.openxmlformats.org/officeDocument/2006/relationships/drawing" Target="../drawings/drawing16.xml"/><Relationship Id="rId4" Type="http://schemas.microsoft.com/office/2017/10/relationships/threadedComment" Target="../threadedComments/threadedComment1.xml"/></Relationships>
</file>

<file path=xl/worksheets/_rels/sheet18.xml.rels><?xml version="1.0" encoding="UTF-8" standalone="yes"?>
<Relationships xmlns="http://schemas.openxmlformats.org/package/2006/relationships"><Relationship Id="rId3" Type="http://schemas.openxmlformats.org/officeDocument/2006/relationships/comments" Target="../comments18.xml"/><Relationship Id="rId2" Type="http://schemas.openxmlformats.org/officeDocument/2006/relationships/vmlDrawing" Target="../drawings/vmlDrawing18.vml"/><Relationship Id="rId1" Type="http://schemas.openxmlformats.org/officeDocument/2006/relationships/drawing" Target="../drawings/drawing17.xml"/></Relationships>
</file>

<file path=xl/worksheets/_rels/sheet19.xml.rels><?xml version="1.0" encoding="UTF-8" standalone="yes"?>
<Relationships xmlns="http://schemas.openxmlformats.org/package/2006/relationships"><Relationship Id="rId3" Type="http://schemas.openxmlformats.org/officeDocument/2006/relationships/comments" Target="../comments19.xml"/><Relationship Id="rId2" Type="http://schemas.openxmlformats.org/officeDocument/2006/relationships/vmlDrawing" Target="../drawings/vmlDrawing19.vml"/><Relationship Id="rId1" Type="http://schemas.openxmlformats.org/officeDocument/2006/relationships/drawing" Target="../drawings/drawing18.xml"/><Relationship Id="rId4" Type="http://schemas.microsoft.com/office/2017/10/relationships/threadedComment" Target="../threadedComments/threadedComment2.xml"/></Relationships>
</file>

<file path=xl/worksheets/_rels/sheet20.xml.rels><?xml version="1.0" encoding="UTF-8" standalone="yes"?>
<Relationships xmlns="http://schemas.openxmlformats.org/package/2006/relationships"><Relationship Id="rId3" Type="http://schemas.openxmlformats.org/officeDocument/2006/relationships/comments" Target="../comments20.xml"/><Relationship Id="rId2" Type="http://schemas.openxmlformats.org/officeDocument/2006/relationships/vmlDrawing" Target="../drawings/vmlDrawing20.vml"/><Relationship Id="rId1" Type="http://schemas.openxmlformats.org/officeDocument/2006/relationships/drawing" Target="../drawings/drawing19.xml"/><Relationship Id="rId4" Type="http://schemas.microsoft.com/office/2017/10/relationships/threadedComment" Target="../threadedComments/threadedComment3.xml"/></Relationships>
</file>

<file path=xl/worksheets/_rels/sheet21.xml.rels><?xml version="1.0" encoding="UTF-8" standalone="yes"?>
<Relationships xmlns="http://schemas.openxmlformats.org/package/2006/relationships"><Relationship Id="rId3" Type="http://schemas.openxmlformats.org/officeDocument/2006/relationships/comments" Target="../comments21.xml"/><Relationship Id="rId2" Type="http://schemas.openxmlformats.org/officeDocument/2006/relationships/vmlDrawing" Target="../drawings/vmlDrawing21.vml"/><Relationship Id="rId1" Type="http://schemas.openxmlformats.org/officeDocument/2006/relationships/drawing" Target="../drawings/drawing20.xml"/></Relationships>
</file>

<file path=xl/worksheets/_rels/sheet22.xml.rels><?xml version="1.0" encoding="UTF-8" standalone="yes"?>
<Relationships xmlns="http://schemas.openxmlformats.org/package/2006/relationships"><Relationship Id="rId3" Type="http://schemas.openxmlformats.org/officeDocument/2006/relationships/comments" Target="../comments22.xml"/><Relationship Id="rId2" Type="http://schemas.openxmlformats.org/officeDocument/2006/relationships/vmlDrawing" Target="../drawings/vmlDrawing22.vml"/><Relationship Id="rId1" Type="http://schemas.openxmlformats.org/officeDocument/2006/relationships/drawing" Target="../drawings/drawing21.xml"/><Relationship Id="rId4" Type="http://schemas.microsoft.com/office/2017/10/relationships/threadedComment" Target="../threadedComments/threadedComment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N1000"/>
  <sheetViews>
    <sheetView zoomScale="82" workbookViewId="0">
      <selection activeCell="M6" sqref="M6"/>
    </sheetView>
  </sheetViews>
  <sheetFormatPr defaultColWidth="14.44140625" defaultRowHeight="15" customHeight="1" x14ac:dyDescent="0.3"/>
  <cols>
    <col min="1" max="1" width="8.77734375" customWidth="1"/>
    <col min="2" max="2" width="32.21875" customWidth="1"/>
    <col min="3" max="3" width="9.77734375" customWidth="1"/>
    <col min="4" max="4" width="8.77734375" customWidth="1"/>
    <col min="5" max="5" width="9.44140625" customWidth="1"/>
    <col min="6" max="6" width="12.21875" customWidth="1"/>
    <col min="7" max="14" width="8.77734375" customWidth="1"/>
  </cols>
  <sheetData>
    <row r="1" spans="1:14" ht="14.25" customHeight="1" x14ac:dyDescent="0.3">
      <c r="A1" s="48" t="s">
        <v>0</v>
      </c>
      <c r="B1" s="49"/>
      <c r="C1" s="49"/>
      <c r="D1" s="49"/>
      <c r="E1" s="49"/>
      <c r="F1" s="49"/>
      <c r="G1" s="49"/>
      <c r="H1" s="49"/>
      <c r="I1" s="50"/>
      <c r="K1" s="230" t="s">
        <v>1</v>
      </c>
      <c r="L1" s="224"/>
      <c r="M1" s="224"/>
      <c r="N1" s="219"/>
    </row>
    <row r="2" spans="1:14" ht="14.25" customHeight="1" x14ac:dyDescent="0.3">
      <c r="A2" s="227"/>
      <c r="B2" s="224"/>
      <c r="C2" s="224"/>
      <c r="D2" s="224"/>
      <c r="E2" s="224"/>
      <c r="F2" s="224"/>
      <c r="G2" s="224"/>
      <c r="H2" s="224"/>
      <c r="I2" s="219"/>
      <c r="K2" s="1"/>
      <c r="L2" s="2"/>
      <c r="M2" s="2"/>
      <c r="N2" s="3"/>
    </row>
    <row r="3" spans="1:14" ht="14.25" customHeight="1" x14ac:dyDescent="0.3">
      <c r="A3" s="4" t="s">
        <v>2</v>
      </c>
      <c r="B3" s="231"/>
      <c r="C3" s="224"/>
      <c r="D3" s="219"/>
      <c r="E3" s="40" t="s">
        <v>3</v>
      </c>
      <c r="F3" s="231"/>
      <c r="G3" s="224"/>
      <c r="H3" s="224"/>
      <c r="I3" s="219"/>
      <c r="K3" s="1"/>
      <c r="L3" s="2"/>
      <c r="M3" s="2"/>
      <c r="N3" s="3"/>
    </row>
    <row r="4" spans="1:14" ht="14.25" customHeight="1" x14ac:dyDescent="0.3">
      <c r="A4" s="4" t="s">
        <v>4</v>
      </c>
      <c r="B4" s="231"/>
      <c r="C4" s="224"/>
      <c r="D4" s="219"/>
      <c r="E4" s="40" t="s">
        <v>5</v>
      </c>
      <c r="F4" s="223"/>
      <c r="G4" s="224"/>
      <c r="H4" s="224"/>
      <c r="I4" s="219"/>
      <c r="K4" s="1"/>
      <c r="L4" s="2"/>
      <c r="M4" s="2"/>
      <c r="N4" s="3"/>
    </row>
    <row r="5" spans="1:14" ht="14.25" customHeight="1" x14ac:dyDescent="0.3">
      <c r="A5" s="4" t="s">
        <v>6</v>
      </c>
      <c r="B5" s="223"/>
      <c r="C5" s="224"/>
      <c r="D5" s="219"/>
      <c r="E5" s="40" t="s">
        <v>7</v>
      </c>
      <c r="F5" s="223"/>
      <c r="G5" s="224"/>
      <c r="H5" s="224"/>
      <c r="I5" s="219"/>
      <c r="K5" s="1"/>
      <c r="L5" s="2"/>
      <c r="M5" s="2"/>
      <c r="N5" s="3"/>
    </row>
    <row r="6" spans="1:14" ht="14.25" customHeight="1" x14ac:dyDescent="0.3">
      <c r="A6" s="223"/>
      <c r="B6" s="224"/>
      <c r="C6" s="224"/>
      <c r="D6" s="219"/>
      <c r="E6" s="225" t="s">
        <v>8</v>
      </c>
      <c r="F6" s="41" t="s">
        <v>9</v>
      </c>
      <c r="G6" s="227"/>
      <c r="H6" s="224"/>
      <c r="I6" s="5" t="s">
        <v>10</v>
      </c>
      <c r="K6" s="1"/>
      <c r="L6" s="2"/>
      <c r="M6" s="2"/>
      <c r="N6" s="3"/>
    </row>
    <row r="7" spans="1:14" ht="14.25" customHeight="1" x14ac:dyDescent="0.3">
      <c r="A7" s="4" t="s">
        <v>11</v>
      </c>
      <c r="B7" s="223"/>
      <c r="C7" s="224"/>
      <c r="D7" s="219"/>
      <c r="E7" s="226"/>
      <c r="F7" s="41" t="s">
        <v>12</v>
      </c>
      <c r="G7" s="227"/>
      <c r="H7" s="224"/>
      <c r="I7" s="5" t="s">
        <v>10</v>
      </c>
      <c r="K7" s="1"/>
      <c r="L7" s="2"/>
      <c r="M7" s="2"/>
      <c r="N7" s="3"/>
    </row>
    <row r="8" spans="1:14" ht="14.25" customHeight="1" x14ac:dyDescent="0.3">
      <c r="A8" s="4" t="s">
        <v>13</v>
      </c>
      <c r="B8" s="228"/>
      <c r="C8" s="224"/>
      <c r="D8" s="219"/>
      <c r="E8" s="221"/>
      <c r="F8" s="41" t="s">
        <v>14</v>
      </c>
      <c r="G8" s="227"/>
      <c r="H8" s="224"/>
      <c r="I8" s="5" t="s">
        <v>10</v>
      </c>
      <c r="K8" s="6"/>
      <c r="L8" s="7"/>
      <c r="M8" s="7"/>
      <c r="N8" s="42"/>
    </row>
    <row r="9" spans="1:14" ht="14.25" customHeight="1" x14ac:dyDescent="0.3">
      <c r="A9" s="227"/>
      <c r="B9" s="224"/>
      <c r="C9" s="224"/>
      <c r="D9" s="224"/>
      <c r="E9" s="224"/>
      <c r="F9" s="224"/>
      <c r="G9" s="224"/>
      <c r="H9" s="224"/>
      <c r="I9" s="219"/>
    </row>
    <row r="10" spans="1:14" ht="14.25" customHeight="1" x14ac:dyDescent="0.3">
      <c r="A10" s="229" t="s">
        <v>15</v>
      </c>
      <c r="B10" s="225" t="s">
        <v>16</v>
      </c>
      <c r="C10" s="225" t="s">
        <v>17</v>
      </c>
      <c r="D10" s="218" t="s">
        <v>18</v>
      </c>
      <c r="E10" s="219"/>
      <c r="F10" s="220" t="s">
        <v>19</v>
      </c>
      <c r="G10" s="222" t="s">
        <v>20</v>
      </c>
      <c r="H10" s="222" t="s">
        <v>21</v>
      </c>
      <c r="I10" s="222" t="s">
        <v>22</v>
      </c>
    </row>
    <row r="11" spans="1:14" ht="14.25" customHeight="1" x14ac:dyDescent="0.3">
      <c r="A11" s="221"/>
      <c r="B11" s="221"/>
      <c r="C11" s="221"/>
      <c r="D11" s="40" t="s">
        <v>23</v>
      </c>
      <c r="E11" s="40" t="s">
        <v>24</v>
      </c>
      <c r="F11" s="221"/>
      <c r="G11" s="221"/>
      <c r="H11" s="221"/>
      <c r="I11" s="221"/>
      <c r="K11" t="s">
        <v>25</v>
      </c>
    </row>
    <row r="12" spans="1:14" ht="14.25" customHeight="1" x14ac:dyDescent="0.3">
      <c r="A12" s="8">
        <v>1</v>
      </c>
      <c r="B12" s="41"/>
      <c r="C12" s="40"/>
      <c r="D12" s="40"/>
      <c r="E12" s="40"/>
      <c r="F12" s="43"/>
      <c r="G12" s="44"/>
      <c r="H12" s="45"/>
      <c r="I12" s="45"/>
      <c r="K12" t="s">
        <v>26</v>
      </c>
    </row>
    <row r="13" spans="1:14" ht="14.25" customHeight="1" x14ac:dyDescent="0.3">
      <c r="A13" s="8">
        <v>2</v>
      </c>
      <c r="B13" s="41"/>
      <c r="C13" s="46"/>
      <c r="D13" s="40"/>
      <c r="E13" s="40"/>
      <c r="F13" s="40"/>
      <c r="G13" s="44"/>
      <c r="H13" s="45"/>
      <c r="I13" s="45"/>
    </row>
    <row r="14" spans="1:14" ht="14.25" customHeight="1" x14ac:dyDescent="0.3">
      <c r="A14" s="8"/>
      <c r="B14" s="41"/>
      <c r="C14" s="46"/>
      <c r="D14" s="40"/>
      <c r="E14" s="40"/>
      <c r="F14" s="40"/>
      <c r="G14" s="44"/>
      <c r="H14" s="45"/>
      <c r="I14" s="45"/>
    </row>
    <row r="15" spans="1:14" ht="14.25" customHeight="1" x14ac:dyDescent="0.3">
      <c r="A15" s="8"/>
      <c r="B15" s="41"/>
      <c r="C15" s="46"/>
      <c r="D15" s="40"/>
      <c r="E15" s="40"/>
      <c r="F15" s="40"/>
      <c r="G15" s="44"/>
      <c r="H15" s="45"/>
      <c r="I15" s="45"/>
    </row>
    <row r="16" spans="1:14" ht="14.25" customHeight="1" x14ac:dyDescent="0.3">
      <c r="A16" s="8"/>
      <c r="B16" s="41"/>
      <c r="C16" s="46"/>
      <c r="D16" s="40"/>
      <c r="E16" s="40"/>
      <c r="F16" s="40"/>
      <c r="G16" s="9"/>
      <c r="H16" s="10"/>
      <c r="I16" s="45"/>
    </row>
    <row r="17" spans="1:9" ht="14.25" customHeight="1" x14ac:dyDescent="0.3">
      <c r="A17" s="8"/>
      <c r="B17" s="11"/>
      <c r="C17" s="46"/>
      <c r="D17" s="40"/>
      <c r="E17" s="40"/>
      <c r="F17" s="40"/>
      <c r="G17" s="9"/>
      <c r="H17" s="47"/>
      <c r="I17" s="45"/>
    </row>
    <row r="18" spans="1:9" ht="14.25" customHeight="1" x14ac:dyDescent="0.3">
      <c r="A18" s="8"/>
      <c r="B18" s="11"/>
      <c r="C18" s="46"/>
      <c r="D18" s="40"/>
      <c r="E18" s="40"/>
      <c r="F18" s="40"/>
      <c r="G18" s="9"/>
      <c r="H18" s="10"/>
      <c r="I18" s="45"/>
    </row>
    <row r="19" spans="1:9" ht="14.25" customHeight="1" x14ac:dyDescent="0.3">
      <c r="A19" s="8"/>
      <c r="B19" s="12"/>
      <c r="C19" s="46"/>
      <c r="D19" s="40"/>
      <c r="E19" s="40"/>
      <c r="F19" s="40"/>
      <c r="G19" s="9"/>
      <c r="H19" s="47"/>
      <c r="I19" s="45"/>
    </row>
    <row r="20" spans="1:9" ht="14.25" customHeight="1" x14ac:dyDescent="0.3">
      <c r="A20" s="8"/>
      <c r="B20" s="41"/>
      <c r="C20" s="40"/>
      <c r="D20" s="40"/>
      <c r="E20" s="40"/>
      <c r="F20" s="40"/>
      <c r="G20" s="44"/>
      <c r="H20" s="45"/>
      <c r="I20" s="45"/>
    </row>
    <row r="21" spans="1:9" ht="14.25" customHeight="1" x14ac:dyDescent="0.3">
      <c r="A21" s="8"/>
      <c r="B21" s="13"/>
      <c r="C21" s="13"/>
      <c r="D21" s="13"/>
      <c r="E21" s="13"/>
      <c r="F21" s="13"/>
      <c r="G21" s="14"/>
      <c r="H21" s="14"/>
      <c r="I21" s="14"/>
    </row>
    <row r="22" spans="1:9" ht="14.25" customHeight="1" x14ac:dyDescent="0.3">
      <c r="A22" s="8"/>
      <c r="B22" s="15"/>
      <c r="C22" s="8"/>
      <c r="D22" s="8"/>
      <c r="E22" s="8"/>
      <c r="F22" s="8"/>
      <c r="G22" s="16"/>
      <c r="H22" s="16"/>
      <c r="I22" s="16"/>
    </row>
    <row r="23" spans="1:9" ht="14.25" customHeight="1" x14ac:dyDescent="0.3">
      <c r="A23" s="8"/>
      <c r="B23" s="13"/>
      <c r="C23" s="8"/>
      <c r="D23" s="8"/>
      <c r="E23" s="8"/>
      <c r="F23" s="8"/>
      <c r="G23" s="16"/>
      <c r="H23" s="16"/>
      <c r="I23" s="16"/>
    </row>
    <row r="24" spans="1:9" ht="14.25" customHeight="1" x14ac:dyDescent="0.3">
      <c r="A24" s="8"/>
      <c r="B24" s="8"/>
      <c r="C24" s="8"/>
      <c r="D24" s="8"/>
      <c r="E24" s="8"/>
      <c r="F24" s="8"/>
      <c r="G24" s="16"/>
      <c r="H24" s="16"/>
      <c r="I24" s="16"/>
    </row>
    <row r="25" spans="1:9" ht="14.25" customHeight="1" x14ac:dyDescent="0.3">
      <c r="A25" s="8"/>
      <c r="B25" s="8"/>
      <c r="C25" s="8"/>
      <c r="D25" s="8"/>
      <c r="E25" s="8"/>
      <c r="F25" s="8"/>
      <c r="G25" s="16"/>
      <c r="H25" s="16"/>
      <c r="I25" s="16"/>
    </row>
    <row r="26" spans="1:9" ht="14.25" customHeight="1" x14ac:dyDescent="0.3">
      <c r="A26" s="8"/>
      <c r="B26" s="8"/>
      <c r="C26" s="8"/>
      <c r="D26" s="8"/>
      <c r="E26" s="8"/>
      <c r="F26" s="8"/>
      <c r="G26" s="16"/>
      <c r="H26" s="16"/>
      <c r="I26" s="16"/>
    </row>
    <row r="27" spans="1:9" ht="14.25" customHeight="1" x14ac:dyDescent="0.3">
      <c r="A27" s="8"/>
      <c r="B27" s="8"/>
      <c r="C27" s="8"/>
      <c r="D27" s="8"/>
      <c r="E27" s="8"/>
      <c r="F27" s="8"/>
      <c r="G27" s="16"/>
      <c r="H27" s="16"/>
      <c r="I27" s="16"/>
    </row>
    <row r="28" spans="1:9" ht="14.25" customHeight="1" x14ac:dyDescent="0.3">
      <c r="A28" s="8"/>
      <c r="B28" s="8"/>
      <c r="C28" s="8"/>
      <c r="D28" s="8"/>
      <c r="E28" s="8"/>
      <c r="F28" s="8"/>
      <c r="G28" s="16"/>
      <c r="H28" s="16"/>
      <c r="I28" s="16"/>
    </row>
    <row r="29" spans="1:9" ht="14.25" customHeight="1" x14ac:dyDescent="0.3">
      <c r="A29" s="8"/>
      <c r="B29" s="8"/>
      <c r="C29" s="8"/>
      <c r="D29" s="8"/>
      <c r="E29" s="8"/>
      <c r="F29" s="8"/>
      <c r="G29" s="16"/>
      <c r="H29" s="16"/>
      <c r="I29" s="16"/>
    </row>
    <row r="30" spans="1:9" ht="14.25" customHeight="1" x14ac:dyDescent="0.3">
      <c r="A30" s="8"/>
      <c r="B30" s="8"/>
      <c r="C30" s="8"/>
      <c r="D30" s="8"/>
      <c r="E30" s="8"/>
      <c r="F30" s="8"/>
      <c r="G30" s="16"/>
      <c r="H30" s="16"/>
      <c r="I30" s="16"/>
    </row>
    <row r="31" spans="1:9" ht="14.25" customHeight="1" x14ac:dyDescent="0.3">
      <c r="A31" s="8"/>
      <c r="B31" s="8"/>
      <c r="C31" s="8"/>
      <c r="D31" s="8"/>
      <c r="E31" s="8"/>
      <c r="F31" s="8"/>
      <c r="G31" s="16"/>
      <c r="H31" s="16"/>
      <c r="I31" s="16"/>
    </row>
    <row r="32" spans="1:9" ht="14.25" customHeight="1" x14ac:dyDescent="0.3">
      <c r="H32" s="16" t="s">
        <v>27</v>
      </c>
      <c r="I32" s="16"/>
    </row>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24">
    <mergeCell ref="K1:N1"/>
    <mergeCell ref="A2:I2"/>
    <mergeCell ref="B3:D3"/>
    <mergeCell ref="F3:I3"/>
    <mergeCell ref="A6:D6"/>
    <mergeCell ref="G6:H6"/>
    <mergeCell ref="B4:D4"/>
    <mergeCell ref="B5:D5"/>
    <mergeCell ref="D10:E10"/>
    <mergeCell ref="F10:F11"/>
    <mergeCell ref="G10:G11"/>
    <mergeCell ref="F4:I4"/>
    <mergeCell ref="F5:I5"/>
    <mergeCell ref="E6:E8"/>
    <mergeCell ref="G7:H7"/>
    <mergeCell ref="G8:H8"/>
    <mergeCell ref="H10:H11"/>
    <mergeCell ref="B7:D7"/>
    <mergeCell ref="B8:D8"/>
    <mergeCell ref="A9:I9"/>
    <mergeCell ref="A10:A11"/>
    <mergeCell ref="B10:B11"/>
    <mergeCell ref="C10:C11"/>
    <mergeCell ref="I10:I11"/>
  </mergeCells>
  <pageMargins left="0.7" right="0.7" top="0.75" bottom="0.75" header="0" footer="0"/>
  <pageSetup orientation="landscape"/>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N1017"/>
  <sheetViews>
    <sheetView tabSelected="1" zoomScale="81" zoomScaleNormal="70" workbookViewId="0">
      <selection activeCell="A12" sqref="A12"/>
    </sheetView>
  </sheetViews>
  <sheetFormatPr defaultColWidth="14.44140625" defaultRowHeight="15" customHeight="1" x14ac:dyDescent="0.3"/>
  <cols>
    <col min="1" max="1" width="15" customWidth="1"/>
    <col min="2" max="2" width="60.5546875" customWidth="1"/>
    <col min="3" max="3" width="10.21875" customWidth="1"/>
    <col min="4" max="4" width="9" customWidth="1"/>
    <col min="5" max="5" width="10.44140625" customWidth="1"/>
    <col min="6" max="7" width="12.5546875" customWidth="1"/>
    <col min="8" max="8" width="11.5546875" customWidth="1"/>
    <col min="9" max="9" width="9.44140625" customWidth="1"/>
    <col min="10" max="10" width="11.77734375" customWidth="1"/>
    <col min="12" max="12" width="12.21875" customWidth="1"/>
    <col min="14" max="14" width="14.77734375" customWidth="1"/>
    <col min="15" max="15" width="17.77734375" customWidth="1"/>
    <col min="16" max="16" width="15.21875" customWidth="1"/>
    <col min="17" max="17" width="18.44140625" customWidth="1"/>
    <col min="18" max="18" width="17.77734375" customWidth="1"/>
    <col min="19" max="19" width="18.44140625" customWidth="1"/>
    <col min="20" max="20" width="20.21875" customWidth="1"/>
    <col min="21" max="40" width="8.77734375" customWidth="1"/>
  </cols>
  <sheetData>
    <row r="1" spans="1:38" ht="14.25" customHeight="1" x14ac:dyDescent="0.3">
      <c r="A1" s="235" t="s">
        <v>28</v>
      </c>
      <c r="B1" s="236"/>
      <c r="C1" s="236"/>
      <c r="D1" s="236"/>
      <c r="E1" s="236"/>
      <c r="F1" s="236"/>
      <c r="G1" s="236"/>
      <c r="H1" s="236"/>
      <c r="I1" s="236"/>
      <c r="J1" s="236"/>
      <c r="K1" s="236"/>
      <c r="L1" s="236"/>
      <c r="M1" s="236"/>
      <c r="N1" s="236"/>
      <c r="O1" s="236"/>
      <c r="P1" s="236"/>
      <c r="Q1" s="236"/>
      <c r="R1" s="237"/>
      <c r="T1" s="234" t="s">
        <v>29</v>
      </c>
      <c r="U1" s="233"/>
      <c r="V1" s="233"/>
      <c r="W1" s="233"/>
      <c r="X1" s="233"/>
      <c r="Y1" s="233"/>
      <c r="Z1" s="233"/>
      <c r="AA1" s="233"/>
      <c r="AB1" s="233"/>
      <c r="AC1" s="233"/>
      <c r="AE1" s="234" t="s">
        <v>30</v>
      </c>
      <c r="AF1" s="233"/>
      <c r="AG1" s="233"/>
      <c r="AH1" s="233"/>
      <c r="AI1" s="233"/>
      <c r="AJ1" s="233"/>
      <c r="AK1" s="233"/>
      <c r="AL1" s="233"/>
    </row>
    <row r="2" spans="1:38" ht="14.25" customHeight="1" x14ac:dyDescent="0.3">
      <c r="A2" s="238"/>
      <c r="B2" s="239"/>
      <c r="C2" s="239"/>
      <c r="D2" s="239"/>
      <c r="E2" s="239"/>
      <c r="F2" s="239"/>
      <c r="G2" s="239"/>
      <c r="H2" s="239"/>
      <c r="I2" s="239"/>
      <c r="J2" s="239"/>
      <c r="K2" s="239"/>
      <c r="L2" s="239"/>
      <c r="M2" s="239"/>
      <c r="N2" s="239"/>
      <c r="O2" s="239"/>
      <c r="P2" s="239"/>
      <c r="Q2" s="239"/>
      <c r="R2" s="240"/>
      <c r="T2" s="233"/>
      <c r="U2" s="233"/>
      <c r="V2" s="233"/>
      <c r="W2" s="233"/>
      <c r="X2" s="233"/>
      <c r="Y2" s="233"/>
      <c r="Z2" s="233"/>
      <c r="AA2" s="233"/>
      <c r="AB2" s="233"/>
      <c r="AC2" s="233"/>
      <c r="AE2" s="233"/>
      <c r="AF2" s="233"/>
      <c r="AG2" s="233"/>
      <c r="AH2" s="233"/>
      <c r="AI2" s="233"/>
      <c r="AJ2" s="233"/>
      <c r="AK2" s="233"/>
      <c r="AL2" s="233"/>
    </row>
    <row r="3" spans="1:38" ht="14.25" customHeight="1" x14ac:dyDescent="0.3"/>
    <row r="4" spans="1:38" ht="14.25" customHeight="1" x14ac:dyDescent="0.3"/>
    <row r="5" spans="1:38" ht="14.25" customHeight="1" x14ac:dyDescent="0.3">
      <c r="A5" s="241" t="s">
        <v>31</v>
      </c>
      <c r="B5" s="242"/>
    </row>
    <row r="6" spans="1:38" ht="14.25" customHeight="1" x14ac:dyDescent="0.3">
      <c r="A6" s="20" t="s">
        <v>15</v>
      </c>
      <c r="B6" s="20" t="s">
        <v>32</v>
      </c>
      <c r="C6" s="21" t="s">
        <v>33</v>
      </c>
      <c r="D6" s="21" t="s">
        <v>34</v>
      </c>
      <c r="E6" s="21" t="s">
        <v>35</v>
      </c>
      <c r="F6" s="21" t="s">
        <v>36</v>
      </c>
      <c r="G6" s="21" t="s">
        <v>37</v>
      </c>
      <c r="H6" s="21" t="s">
        <v>38</v>
      </c>
      <c r="I6" s="21" t="s">
        <v>39</v>
      </c>
      <c r="J6" s="21" t="s">
        <v>40</v>
      </c>
      <c r="K6" s="21" t="s">
        <v>41</v>
      </c>
      <c r="L6" s="21" t="s">
        <v>42</v>
      </c>
      <c r="M6" s="21" t="s">
        <v>43</v>
      </c>
      <c r="N6" s="21" t="s">
        <v>44</v>
      </c>
      <c r="O6" s="21" t="s">
        <v>45</v>
      </c>
      <c r="P6" s="21" t="s">
        <v>46</v>
      </c>
      <c r="Q6" s="21" t="s">
        <v>47</v>
      </c>
    </row>
    <row r="7" spans="1:38" ht="14.25" customHeight="1" x14ac:dyDescent="0.3">
      <c r="A7" s="22">
        <v>1</v>
      </c>
      <c r="B7" s="22" t="s">
        <v>48</v>
      </c>
      <c r="C7" s="22"/>
      <c r="D7" s="23">
        <v>5</v>
      </c>
      <c r="E7" s="23">
        <v>5</v>
      </c>
      <c r="F7" s="22"/>
      <c r="G7" s="22"/>
      <c r="H7" s="22"/>
      <c r="I7" s="22"/>
      <c r="J7" s="22"/>
      <c r="K7" s="22"/>
      <c r="L7" s="22"/>
      <c r="M7" s="22"/>
      <c r="N7" s="22"/>
      <c r="O7" s="22"/>
      <c r="P7" s="22"/>
      <c r="Q7" s="22"/>
    </row>
    <row r="8" spans="1:38" ht="14.25" customHeight="1" x14ac:dyDescent="0.3">
      <c r="A8" s="22">
        <v>3</v>
      </c>
      <c r="B8" s="22"/>
      <c r="C8" s="22"/>
      <c r="D8" s="22"/>
      <c r="E8" s="22"/>
      <c r="F8" s="22"/>
      <c r="G8" s="22"/>
      <c r="H8" s="22"/>
      <c r="I8" s="22"/>
      <c r="J8" s="22"/>
      <c r="K8" s="22"/>
      <c r="L8" s="22"/>
      <c r="M8" s="22"/>
      <c r="N8" s="22"/>
      <c r="O8" s="22"/>
      <c r="P8" s="22"/>
      <c r="Q8" s="22"/>
    </row>
    <row r="9" spans="1:38" ht="14.25" customHeight="1" x14ac:dyDescent="0.3">
      <c r="B9" s="24"/>
      <c r="C9" s="25"/>
      <c r="D9" s="25"/>
      <c r="E9" s="25"/>
      <c r="F9" s="25"/>
      <c r="G9" s="25"/>
      <c r="H9" s="25"/>
      <c r="I9" s="25"/>
      <c r="J9" s="25"/>
      <c r="K9" s="25"/>
      <c r="L9" s="25"/>
      <c r="M9" s="25"/>
      <c r="N9" s="25"/>
      <c r="O9" s="25"/>
      <c r="P9" s="25"/>
      <c r="Q9" s="25"/>
      <c r="R9" s="25"/>
    </row>
    <row r="10" spans="1:38" ht="14.25" customHeight="1" x14ac:dyDescent="0.3"/>
    <row r="11" spans="1:38" ht="14.25" customHeight="1" x14ac:dyDescent="0.3">
      <c r="A11" s="241" t="s">
        <v>30</v>
      </c>
      <c r="B11" s="242"/>
    </row>
    <row r="12" spans="1:38" ht="14.25" customHeight="1" x14ac:dyDescent="0.3">
      <c r="A12" s="20" t="s">
        <v>15</v>
      </c>
      <c r="B12" s="20" t="s">
        <v>32</v>
      </c>
      <c r="C12" s="21" t="s">
        <v>49</v>
      </c>
      <c r="D12" s="21" t="s">
        <v>50</v>
      </c>
      <c r="E12" s="21" t="s">
        <v>34</v>
      </c>
      <c r="F12" s="21" t="s">
        <v>51</v>
      </c>
      <c r="G12" s="21" t="s">
        <v>35</v>
      </c>
      <c r="H12" s="21" t="s">
        <v>52</v>
      </c>
      <c r="I12" s="21" t="s">
        <v>36</v>
      </c>
      <c r="J12" s="21" t="s">
        <v>37</v>
      </c>
      <c r="K12" s="21" t="s">
        <v>38</v>
      </c>
      <c r="L12" s="21" t="s">
        <v>41</v>
      </c>
      <c r="M12" s="21" t="s">
        <v>42</v>
      </c>
      <c r="N12" s="21" t="s">
        <v>53</v>
      </c>
      <c r="O12" s="21" t="s">
        <v>44</v>
      </c>
      <c r="P12" s="21" t="s">
        <v>45</v>
      </c>
      <c r="Q12" s="21" t="s">
        <v>54</v>
      </c>
      <c r="R12" s="21" t="s">
        <v>47</v>
      </c>
    </row>
    <row r="13" spans="1:38" ht="14.25" customHeight="1" x14ac:dyDescent="0.3">
      <c r="A13" s="22"/>
      <c r="B13" s="22"/>
      <c r="C13" s="27"/>
      <c r="D13" s="27"/>
      <c r="E13" s="27"/>
      <c r="F13" s="27"/>
      <c r="G13" s="27"/>
      <c r="H13" s="27"/>
      <c r="I13" s="27"/>
      <c r="J13" s="27"/>
      <c r="K13" s="27"/>
      <c r="L13" s="27"/>
      <c r="M13" s="27"/>
      <c r="N13" s="27"/>
      <c r="O13" s="27"/>
      <c r="P13" s="27"/>
      <c r="Q13" s="27"/>
      <c r="R13" s="27"/>
    </row>
    <row r="14" spans="1:38" ht="14.25" customHeight="1" x14ac:dyDescent="0.3">
      <c r="A14" s="22"/>
      <c r="B14" s="22"/>
      <c r="C14" s="27"/>
      <c r="D14" s="27"/>
      <c r="E14" s="27"/>
      <c r="F14" s="27"/>
      <c r="G14" s="27"/>
      <c r="H14" s="27"/>
      <c r="I14" s="27"/>
      <c r="J14" s="27"/>
      <c r="K14" s="27"/>
      <c r="L14" s="27"/>
      <c r="M14" s="27"/>
      <c r="N14" s="27"/>
      <c r="O14" s="27"/>
      <c r="P14" s="27"/>
      <c r="Q14" s="27"/>
      <c r="R14" s="27"/>
    </row>
    <row r="15" spans="1:38" ht="14.25" customHeight="1" x14ac:dyDescent="0.3">
      <c r="A15" s="22"/>
      <c r="B15" s="22"/>
      <c r="C15" s="27"/>
      <c r="D15" s="27"/>
      <c r="E15" s="27"/>
      <c r="F15" s="27"/>
      <c r="G15" s="27"/>
      <c r="H15" s="27"/>
      <c r="I15" s="27"/>
      <c r="J15" s="27"/>
      <c r="K15" s="27"/>
      <c r="L15" s="27"/>
      <c r="M15" s="27"/>
      <c r="N15" s="27"/>
      <c r="O15" s="27"/>
      <c r="P15" s="27"/>
      <c r="Q15" s="27"/>
      <c r="R15" s="27"/>
    </row>
    <row r="16" spans="1:38" ht="14.25" customHeight="1" x14ac:dyDescent="0.3">
      <c r="A16" s="22"/>
      <c r="B16" s="22"/>
      <c r="C16" s="27"/>
      <c r="D16" s="27"/>
      <c r="E16" s="27"/>
      <c r="F16" s="27"/>
      <c r="G16" s="27"/>
      <c r="H16" s="27"/>
      <c r="I16" s="27"/>
      <c r="J16" s="27"/>
      <c r="K16" s="27"/>
      <c r="L16" s="27"/>
      <c r="M16" s="27"/>
      <c r="N16" s="27"/>
      <c r="O16" s="27"/>
      <c r="P16" s="27"/>
      <c r="Q16" s="27"/>
      <c r="R16" s="27"/>
    </row>
    <row r="17" spans="1:18" ht="14.25" customHeight="1" x14ac:dyDescent="0.3">
      <c r="A17" s="51"/>
      <c r="B17" s="51"/>
      <c r="C17" s="52"/>
      <c r="D17" s="52"/>
      <c r="E17" s="52"/>
      <c r="F17" s="52"/>
      <c r="G17" s="52"/>
      <c r="H17" s="52"/>
      <c r="I17" s="52"/>
      <c r="J17" s="52"/>
      <c r="K17" s="52"/>
      <c r="L17" s="52"/>
      <c r="M17" s="52"/>
      <c r="N17" s="52"/>
      <c r="O17" s="52"/>
      <c r="P17" s="52"/>
      <c r="Q17" s="52"/>
      <c r="R17" s="27"/>
    </row>
    <row r="18" spans="1:18" ht="14.25" customHeight="1" x14ac:dyDescent="0.3">
      <c r="A18" s="54"/>
      <c r="B18" s="54"/>
      <c r="C18" s="55"/>
      <c r="D18" s="55"/>
      <c r="E18" s="55"/>
      <c r="F18" s="55"/>
      <c r="G18" s="55"/>
      <c r="H18" s="55"/>
      <c r="I18" s="52"/>
      <c r="J18" s="52"/>
      <c r="K18" s="52"/>
      <c r="L18" s="52"/>
      <c r="M18" s="52"/>
      <c r="N18" s="52"/>
      <c r="O18" s="52"/>
      <c r="P18" s="55"/>
      <c r="Q18" s="55"/>
      <c r="R18" s="52"/>
    </row>
    <row r="19" spans="1:18" ht="14.25" customHeight="1" x14ac:dyDescent="0.3">
      <c r="A19" s="54"/>
      <c r="B19" s="54"/>
      <c r="C19" s="55"/>
      <c r="D19" s="55"/>
      <c r="E19" s="55"/>
      <c r="F19" s="55"/>
      <c r="G19" s="55"/>
      <c r="H19" s="55"/>
      <c r="I19" s="52"/>
      <c r="J19" s="52"/>
      <c r="K19" s="52"/>
      <c r="L19" s="52"/>
      <c r="M19" s="52"/>
      <c r="N19" s="52"/>
      <c r="O19" s="55"/>
      <c r="P19" s="55"/>
      <c r="Q19" s="55"/>
      <c r="R19" s="55"/>
    </row>
    <row r="20" spans="1:18" ht="14.25" customHeight="1" x14ac:dyDescent="0.3">
      <c r="A20" s="54"/>
      <c r="B20" s="54"/>
      <c r="C20" s="55"/>
      <c r="D20" s="55"/>
      <c r="E20" s="55"/>
      <c r="F20" s="55"/>
      <c r="G20" s="55"/>
      <c r="H20" s="55"/>
      <c r="I20" s="52"/>
      <c r="J20" s="52"/>
      <c r="K20" s="52"/>
      <c r="L20" s="52"/>
      <c r="M20" s="52"/>
      <c r="N20" s="55"/>
      <c r="O20" s="55"/>
      <c r="P20" s="55"/>
      <c r="Q20" s="55"/>
      <c r="R20" s="55"/>
    </row>
    <row r="21" spans="1:18" ht="14.25" customHeight="1" x14ac:dyDescent="0.3">
      <c r="A21" s="54"/>
      <c r="B21" s="54"/>
      <c r="C21" s="55"/>
      <c r="D21" s="55"/>
      <c r="E21" s="55"/>
      <c r="F21" s="55"/>
      <c r="G21" s="55"/>
      <c r="H21" s="55"/>
      <c r="I21" s="55"/>
      <c r="J21" s="55"/>
      <c r="K21" s="55"/>
      <c r="L21" s="55"/>
      <c r="M21" s="55"/>
      <c r="N21" s="55"/>
      <c r="O21" s="55"/>
      <c r="P21" s="55"/>
      <c r="Q21" s="55"/>
      <c r="R21" s="55"/>
    </row>
    <row r="22" spans="1:18" ht="14.25" customHeight="1" x14ac:dyDescent="0.3">
      <c r="A22" s="54"/>
      <c r="B22" s="54"/>
      <c r="C22" s="55"/>
      <c r="D22" s="55"/>
      <c r="E22" s="55"/>
      <c r="F22" s="55"/>
      <c r="G22" s="55"/>
      <c r="H22" s="55"/>
      <c r="I22" s="55"/>
      <c r="J22" s="55"/>
      <c r="K22" s="55"/>
      <c r="L22" s="55"/>
      <c r="M22" s="55"/>
      <c r="N22" s="55"/>
      <c r="O22" s="55"/>
      <c r="P22" s="55"/>
      <c r="Q22" s="55"/>
      <c r="R22" s="55"/>
    </row>
    <row r="23" spans="1:18" ht="14.25" customHeight="1" x14ac:dyDescent="0.3">
      <c r="A23" s="54"/>
      <c r="B23" s="54"/>
      <c r="C23" s="55"/>
      <c r="D23" s="55"/>
      <c r="E23" s="55"/>
      <c r="F23" s="55"/>
      <c r="G23" s="55"/>
      <c r="H23" s="55"/>
      <c r="I23" s="55"/>
      <c r="J23" s="55"/>
      <c r="K23" s="55"/>
      <c r="L23" s="55"/>
      <c r="M23" s="55"/>
      <c r="N23" s="55"/>
      <c r="O23" s="55"/>
      <c r="P23" s="55"/>
      <c r="Q23" s="55"/>
      <c r="R23" s="55"/>
    </row>
    <row r="24" spans="1:18" ht="14.25" customHeight="1" x14ac:dyDescent="0.3">
      <c r="A24" s="54"/>
      <c r="B24" s="54"/>
      <c r="C24" s="55"/>
      <c r="D24" s="55"/>
      <c r="E24" s="55"/>
      <c r="F24" s="55"/>
      <c r="G24" s="55"/>
      <c r="H24" s="55"/>
      <c r="I24" s="55"/>
      <c r="J24" s="55"/>
      <c r="K24" s="55"/>
      <c r="L24" s="55"/>
      <c r="M24" s="55"/>
      <c r="N24" s="55"/>
      <c r="O24" s="55"/>
      <c r="P24" s="55"/>
      <c r="Q24" s="55"/>
      <c r="R24" s="55"/>
    </row>
    <row r="25" spans="1:18" ht="14.25" customHeight="1" x14ac:dyDescent="0.3">
      <c r="A25" s="54"/>
      <c r="B25" s="54"/>
      <c r="C25" s="55"/>
      <c r="D25" s="55"/>
      <c r="E25" s="55"/>
      <c r="F25" s="55"/>
      <c r="G25" s="55"/>
      <c r="H25" s="55"/>
      <c r="I25" s="55"/>
      <c r="J25" s="55"/>
      <c r="K25" s="55"/>
      <c r="L25" s="55"/>
      <c r="M25" s="55"/>
      <c r="N25" s="55"/>
      <c r="O25" s="55"/>
      <c r="P25" s="55"/>
      <c r="Q25" s="55"/>
      <c r="R25" s="55"/>
    </row>
    <row r="26" spans="1:18" ht="14.25" customHeight="1" x14ac:dyDescent="0.3">
      <c r="A26" s="54"/>
      <c r="B26" s="54"/>
      <c r="C26" s="55"/>
      <c r="D26" s="55"/>
      <c r="E26" s="55"/>
      <c r="F26" s="55"/>
      <c r="G26" s="55"/>
      <c r="H26" s="55"/>
      <c r="I26" s="55"/>
      <c r="J26" s="55"/>
      <c r="K26" s="55"/>
      <c r="L26" s="55"/>
      <c r="M26" s="55"/>
      <c r="N26" s="55"/>
      <c r="O26" s="55"/>
      <c r="P26" s="55"/>
      <c r="Q26" s="55"/>
      <c r="R26" s="55"/>
    </row>
    <row r="27" spans="1:18" ht="14.25" customHeight="1" x14ac:dyDescent="0.3">
      <c r="A27" s="54"/>
      <c r="B27" s="54"/>
      <c r="C27" s="55"/>
      <c r="D27" s="55"/>
      <c r="E27" s="55"/>
      <c r="F27" s="55"/>
      <c r="G27" s="55"/>
      <c r="H27" s="55"/>
      <c r="I27" s="55"/>
      <c r="J27" s="55"/>
      <c r="K27" s="55"/>
      <c r="L27" s="55"/>
      <c r="M27" s="55"/>
      <c r="N27" s="55"/>
      <c r="O27" s="55"/>
      <c r="P27" s="55"/>
      <c r="Q27" s="55"/>
      <c r="R27" s="55"/>
    </row>
    <row r="28" spans="1:18" ht="14.25" customHeight="1" x14ac:dyDescent="0.3">
      <c r="A28" s="54"/>
      <c r="B28" s="54"/>
      <c r="C28" s="55"/>
      <c r="D28" s="55"/>
      <c r="E28" s="55"/>
      <c r="F28" s="55"/>
      <c r="G28" s="55"/>
      <c r="H28" s="55"/>
      <c r="I28" s="55"/>
      <c r="J28" s="55"/>
      <c r="K28" s="55"/>
      <c r="L28" s="55"/>
      <c r="M28" s="55"/>
      <c r="N28" s="55"/>
      <c r="O28" s="55"/>
      <c r="P28" s="55"/>
      <c r="Q28" s="55"/>
      <c r="R28" s="55"/>
    </row>
    <row r="29" spans="1:18" ht="14.25" customHeight="1" x14ac:dyDescent="0.3">
      <c r="A29" s="54"/>
      <c r="B29" s="54"/>
      <c r="C29" s="55"/>
      <c r="D29" s="55"/>
      <c r="E29" s="55"/>
      <c r="F29" s="55"/>
      <c r="G29" s="55"/>
      <c r="H29" s="55"/>
      <c r="I29" s="55"/>
      <c r="J29" s="55"/>
      <c r="K29" s="55"/>
      <c r="L29" s="55"/>
      <c r="M29" s="55"/>
      <c r="N29" s="55"/>
      <c r="O29" s="55"/>
      <c r="P29" s="55"/>
      <c r="Q29" s="55"/>
      <c r="R29" s="55"/>
    </row>
    <row r="30" spans="1:18" ht="14.25" customHeight="1" x14ac:dyDescent="0.3">
      <c r="A30" s="54"/>
      <c r="B30" s="54"/>
      <c r="C30" s="55"/>
      <c r="D30" s="55"/>
      <c r="E30" s="55"/>
      <c r="F30" s="55"/>
      <c r="G30" s="55"/>
      <c r="H30" s="55"/>
      <c r="I30" s="55"/>
      <c r="J30" s="55"/>
      <c r="K30" s="55"/>
      <c r="L30" s="55"/>
      <c r="M30" s="55"/>
      <c r="N30" s="55"/>
      <c r="O30" s="55"/>
      <c r="P30" s="55"/>
      <c r="Q30" s="55"/>
      <c r="R30" s="55"/>
    </row>
    <row r="31" spans="1:18" ht="14.25" customHeight="1" x14ac:dyDescent="0.3">
      <c r="A31" s="54"/>
      <c r="B31" s="54"/>
      <c r="C31" s="55"/>
      <c r="D31" s="55"/>
      <c r="E31" s="55"/>
      <c r="F31" s="55"/>
      <c r="G31" s="55"/>
      <c r="H31" s="55"/>
      <c r="I31" s="55"/>
      <c r="J31" s="55"/>
      <c r="K31" s="55"/>
      <c r="L31" s="55"/>
      <c r="M31" s="55"/>
      <c r="N31" s="55"/>
      <c r="O31" s="55"/>
      <c r="P31" s="55"/>
      <c r="Q31" s="55"/>
      <c r="R31" s="55"/>
    </row>
    <row r="32" spans="1:18" ht="14.25" customHeight="1" x14ac:dyDescent="0.3">
      <c r="A32" s="56"/>
      <c r="B32" s="56"/>
      <c r="C32" s="56"/>
      <c r="D32" s="56"/>
      <c r="E32" s="194" t="s">
        <v>55</v>
      </c>
      <c r="F32" s="56"/>
      <c r="G32" s="56"/>
      <c r="H32" s="56"/>
      <c r="I32" s="56"/>
      <c r="J32" s="56"/>
      <c r="K32" s="56"/>
      <c r="L32" s="56"/>
      <c r="M32" s="56"/>
      <c r="N32" s="56"/>
      <c r="O32" s="56"/>
      <c r="P32" s="56"/>
      <c r="Q32" s="56"/>
      <c r="R32" s="56"/>
    </row>
    <row r="33" spans="1:40" ht="14.25" customHeight="1" x14ac:dyDescent="0.3">
      <c r="A33" s="56"/>
      <c r="B33" s="56"/>
      <c r="C33" s="56"/>
      <c r="D33" s="56"/>
      <c r="E33" s="56"/>
      <c r="F33" s="56"/>
      <c r="G33" s="56"/>
      <c r="H33" s="56"/>
      <c r="I33" s="56"/>
      <c r="J33" s="56"/>
      <c r="K33" s="56"/>
      <c r="L33" s="56"/>
      <c r="M33" s="56"/>
      <c r="N33" s="56"/>
      <c r="O33" s="56"/>
      <c r="P33" s="56"/>
      <c r="Q33" s="56"/>
      <c r="R33" s="56"/>
    </row>
    <row r="34" spans="1:40" ht="14.25" customHeight="1" x14ac:dyDescent="0.3">
      <c r="A34" s="243" t="s">
        <v>56</v>
      </c>
      <c r="B34" s="240"/>
      <c r="C34" s="53"/>
      <c r="D34" s="53"/>
      <c r="E34" s="53"/>
      <c r="F34" s="53"/>
      <c r="G34" s="53"/>
      <c r="H34" s="53"/>
      <c r="I34" s="53"/>
      <c r="J34" s="53"/>
      <c r="K34" s="53"/>
      <c r="L34" s="53"/>
      <c r="M34" s="53"/>
      <c r="N34" s="53"/>
      <c r="O34" s="53"/>
      <c r="P34" s="53"/>
      <c r="Q34" s="53"/>
      <c r="R34" s="53"/>
    </row>
    <row r="35" spans="1:40" ht="14.25" customHeight="1" x14ac:dyDescent="0.3">
      <c r="A35" s="20" t="s">
        <v>15</v>
      </c>
      <c r="B35" s="20" t="s">
        <v>32</v>
      </c>
      <c r="C35" s="21" t="s">
        <v>33</v>
      </c>
      <c r="D35" s="21" t="s">
        <v>34</v>
      </c>
      <c r="E35" s="21" t="s">
        <v>52</v>
      </c>
      <c r="F35" s="21" t="s">
        <v>57</v>
      </c>
      <c r="G35" s="21" t="s">
        <v>37</v>
      </c>
      <c r="H35" s="21" t="s">
        <v>38</v>
      </c>
      <c r="I35" s="21" t="s">
        <v>41</v>
      </c>
      <c r="J35" s="21" t="s">
        <v>42</v>
      </c>
      <c r="K35" s="21" t="s">
        <v>43</v>
      </c>
      <c r="L35" s="21" t="s">
        <v>44</v>
      </c>
      <c r="M35" s="21" t="s">
        <v>45</v>
      </c>
      <c r="N35" s="21" t="s">
        <v>54</v>
      </c>
      <c r="O35" s="21" t="s">
        <v>47</v>
      </c>
    </row>
    <row r="36" spans="1:40" ht="14.25" customHeight="1" x14ac:dyDescent="0.3">
      <c r="A36" s="22"/>
      <c r="B36" s="26"/>
      <c r="C36" s="27"/>
      <c r="D36" s="27"/>
      <c r="E36" s="27"/>
      <c r="F36" s="27"/>
      <c r="G36" s="27"/>
      <c r="H36" s="27"/>
      <c r="I36" s="27"/>
      <c r="J36" s="27"/>
      <c r="K36" s="27"/>
      <c r="L36" s="27"/>
      <c r="M36" s="27"/>
      <c r="N36" s="27"/>
      <c r="O36" s="27"/>
    </row>
    <row r="37" spans="1:40" ht="14.25" customHeight="1" x14ac:dyDescent="0.3">
      <c r="A37" s="22"/>
      <c r="B37" s="26"/>
      <c r="C37" s="27"/>
      <c r="D37" s="27"/>
      <c r="E37" s="27"/>
      <c r="F37" s="27"/>
      <c r="G37" s="27"/>
      <c r="H37" s="27"/>
      <c r="I37" s="27"/>
      <c r="J37" s="27"/>
      <c r="K37" s="27"/>
      <c r="L37" s="27"/>
      <c r="M37" s="27"/>
      <c r="N37" s="27"/>
      <c r="O37" s="27"/>
    </row>
    <row r="38" spans="1:40" ht="14.25" customHeight="1" x14ac:dyDescent="0.3"/>
    <row r="39" spans="1:40" ht="14.25" customHeight="1" x14ac:dyDescent="0.3"/>
    <row r="40" spans="1:40" ht="14.25" customHeight="1" x14ac:dyDescent="0.3">
      <c r="A40" s="244" t="s">
        <v>58</v>
      </c>
      <c r="B40" s="242"/>
    </row>
    <row r="41" spans="1:40" ht="14.25" customHeight="1" x14ac:dyDescent="0.3">
      <c r="A41" s="20" t="s">
        <v>15</v>
      </c>
      <c r="B41" s="20" t="s">
        <v>32</v>
      </c>
      <c r="C41" s="21" t="s">
        <v>59</v>
      </c>
      <c r="D41" s="21" t="s">
        <v>60</v>
      </c>
      <c r="E41" s="21" t="s">
        <v>35</v>
      </c>
      <c r="F41" s="21" t="s">
        <v>44</v>
      </c>
      <c r="G41" s="21" t="s">
        <v>61</v>
      </c>
      <c r="H41" s="21" t="s">
        <v>41</v>
      </c>
      <c r="I41" s="21" t="s">
        <v>62</v>
      </c>
      <c r="J41" s="21" t="s">
        <v>45</v>
      </c>
      <c r="K41" s="21" t="s">
        <v>46</v>
      </c>
      <c r="L41" s="21" t="s">
        <v>47</v>
      </c>
    </row>
    <row r="42" spans="1:40" ht="14.25" customHeight="1" x14ac:dyDescent="0.3">
      <c r="A42" s="17">
        <v>2</v>
      </c>
      <c r="B42" s="28" t="s">
        <v>63</v>
      </c>
      <c r="C42" s="29"/>
      <c r="D42" s="27"/>
      <c r="E42" s="27"/>
      <c r="F42" s="27"/>
      <c r="G42" s="27"/>
      <c r="H42" s="27"/>
      <c r="I42" s="27"/>
      <c r="J42" s="27"/>
      <c r="K42" s="30"/>
      <c r="L42" s="27"/>
      <c r="T42" s="234" t="s">
        <v>31</v>
      </c>
      <c r="U42" s="233"/>
      <c r="V42" s="233"/>
      <c r="W42" s="233"/>
      <c r="X42" s="233"/>
      <c r="Y42" s="233"/>
      <c r="Z42" s="233"/>
      <c r="AA42" s="233"/>
      <c r="AB42" s="233"/>
      <c r="AC42" s="233"/>
      <c r="AE42" s="234" t="s">
        <v>64</v>
      </c>
      <c r="AF42" s="233"/>
      <c r="AG42" s="233"/>
      <c r="AH42" s="233"/>
      <c r="AI42" s="233"/>
      <c r="AJ42" s="233"/>
      <c r="AK42" s="233"/>
      <c r="AL42" s="233"/>
      <c r="AM42" s="233"/>
      <c r="AN42" s="233"/>
    </row>
    <row r="43" spans="1:40" ht="14.25" customHeight="1" x14ac:dyDescent="0.3">
      <c r="A43" s="31"/>
      <c r="B43" s="32"/>
      <c r="C43" s="27"/>
      <c r="D43" s="27"/>
      <c r="E43" s="27"/>
      <c r="F43" s="27"/>
      <c r="G43" s="27"/>
      <c r="H43" s="27"/>
      <c r="I43" s="27"/>
      <c r="J43" s="27"/>
      <c r="K43" s="27"/>
      <c r="L43" s="27"/>
      <c r="T43" s="233"/>
      <c r="U43" s="233"/>
      <c r="V43" s="233"/>
      <c r="W43" s="233"/>
      <c r="X43" s="233"/>
      <c r="Y43" s="233"/>
      <c r="Z43" s="233"/>
      <c r="AA43" s="233"/>
      <c r="AB43" s="233"/>
      <c r="AC43" s="233"/>
      <c r="AE43" s="233"/>
      <c r="AF43" s="233"/>
      <c r="AG43" s="233"/>
      <c r="AH43" s="233"/>
      <c r="AI43" s="233"/>
      <c r="AJ43" s="233"/>
      <c r="AK43" s="233"/>
      <c r="AL43" s="233"/>
      <c r="AM43" s="233"/>
      <c r="AN43" s="233"/>
    </row>
    <row r="44" spans="1:40" ht="14.25" customHeight="1" x14ac:dyDescent="0.3">
      <c r="P44">
        <f>POWER(3,2)</f>
        <v>9</v>
      </c>
    </row>
    <row r="45" spans="1:40" ht="14.25" customHeight="1" x14ac:dyDescent="0.3"/>
    <row r="46" spans="1:40" ht="14.25" customHeight="1" x14ac:dyDescent="0.3">
      <c r="A46" s="244" t="s">
        <v>65</v>
      </c>
      <c r="B46" s="242"/>
    </row>
    <row r="47" spans="1:40" ht="14.25" customHeight="1" x14ac:dyDescent="0.3">
      <c r="A47" s="20" t="s">
        <v>15</v>
      </c>
      <c r="B47" s="20" t="s">
        <v>32</v>
      </c>
      <c r="C47" s="21" t="s">
        <v>66</v>
      </c>
      <c r="D47" s="21" t="s">
        <v>39</v>
      </c>
      <c r="E47" s="21" t="s">
        <v>67</v>
      </c>
      <c r="F47" s="21" t="s">
        <v>60</v>
      </c>
      <c r="G47" s="21" t="s">
        <v>33</v>
      </c>
      <c r="H47" s="21" t="s">
        <v>68</v>
      </c>
      <c r="I47" s="21" t="s">
        <v>61</v>
      </c>
      <c r="J47" s="21" t="s">
        <v>41</v>
      </c>
      <c r="K47" s="21" t="s">
        <v>62</v>
      </c>
      <c r="L47" s="21" t="s">
        <v>69</v>
      </c>
    </row>
    <row r="48" spans="1:40" ht="14.25" customHeight="1" x14ac:dyDescent="0.3">
      <c r="A48" s="22"/>
      <c r="B48" s="26"/>
      <c r="C48" s="27"/>
      <c r="D48" s="27"/>
      <c r="E48" s="27"/>
      <c r="F48" s="27"/>
      <c r="G48" s="27"/>
      <c r="H48" s="27"/>
      <c r="I48" s="27"/>
      <c r="J48" s="27"/>
      <c r="K48" s="27"/>
      <c r="L48" s="27"/>
    </row>
    <row r="49" spans="1:14" ht="14.25" customHeight="1" x14ac:dyDescent="0.3">
      <c r="A49" s="22"/>
      <c r="B49" s="26"/>
      <c r="C49" s="27"/>
      <c r="D49" s="27"/>
      <c r="E49" s="27"/>
      <c r="F49" s="27"/>
      <c r="G49" s="27"/>
      <c r="H49" s="27"/>
      <c r="I49" s="27"/>
      <c r="J49" s="27"/>
      <c r="K49" s="27"/>
      <c r="L49" s="27"/>
    </row>
    <row r="50" spans="1:14" ht="14.25" customHeight="1" x14ac:dyDescent="0.3"/>
    <row r="51" spans="1:14" ht="14.25" customHeight="1" x14ac:dyDescent="0.3">
      <c r="A51" s="244" t="s">
        <v>70</v>
      </c>
      <c r="B51" s="242"/>
    </row>
    <row r="52" spans="1:14" ht="14.25" customHeight="1" x14ac:dyDescent="0.3">
      <c r="A52" s="20" t="s">
        <v>15</v>
      </c>
      <c r="B52" s="20" t="s">
        <v>32</v>
      </c>
      <c r="C52" s="21" t="s">
        <v>40</v>
      </c>
      <c r="D52" s="21" t="s">
        <v>60</v>
      </c>
      <c r="E52" s="21" t="s">
        <v>71</v>
      </c>
      <c r="F52" s="21" t="s">
        <v>72</v>
      </c>
      <c r="G52" s="21" t="s">
        <v>45</v>
      </c>
      <c r="H52" s="21" t="s">
        <v>54</v>
      </c>
      <c r="I52" s="21" t="s">
        <v>47</v>
      </c>
    </row>
    <row r="53" spans="1:14" ht="14.25" customHeight="1" x14ac:dyDescent="0.3">
      <c r="A53" s="17">
        <v>5</v>
      </c>
      <c r="B53" s="18" t="s">
        <v>73</v>
      </c>
      <c r="C53" s="29"/>
      <c r="D53" s="27"/>
      <c r="E53" s="27"/>
      <c r="F53" s="27"/>
      <c r="G53" s="27"/>
      <c r="H53" s="30"/>
      <c r="I53" s="27"/>
    </row>
    <row r="54" spans="1:14" ht="14.25" customHeight="1" x14ac:dyDescent="0.3">
      <c r="A54" s="33"/>
      <c r="B54" s="34"/>
      <c r="C54" s="35"/>
      <c r="D54" s="35"/>
      <c r="E54" s="35"/>
      <c r="F54" s="35"/>
      <c r="G54" s="35"/>
      <c r="H54" s="36"/>
      <c r="I54" s="35"/>
    </row>
    <row r="55" spans="1:14" ht="14.25" customHeight="1" x14ac:dyDescent="0.3">
      <c r="A55" s="33"/>
      <c r="B55" s="34"/>
      <c r="C55" s="35"/>
      <c r="D55" s="35"/>
      <c r="E55" s="35"/>
      <c r="F55" s="35"/>
      <c r="G55" s="35"/>
      <c r="H55" s="36"/>
      <c r="I55" s="35"/>
    </row>
    <row r="56" spans="1:14" ht="14.25" customHeight="1" x14ac:dyDescent="0.3"/>
    <row r="57" spans="1:14" ht="19.5" customHeight="1" x14ac:dyDescent="0.3">
      <c r="A57" s="234" t="s">
        <v>74</v>
      </c>
      <c r="B57" s="233"/>
      <c r="C57" s="233"/>
      <c r="D57" s="233"/>
      <c r="E57" s="233"/>
      <c r="F57" s="233"/>
      <c r="G57" s="233"/>
      <c r="H57" s="233"/>
      <c r="I57" s="233"/>
      <c r="J57" s="233"/>
      <c r="K57" s="233"/>
      <c r="L57" s="233"/>
      <c r="M57" s="233"/>
      <c r="N57" s="233"/>
    </row>
    <row r="58" spans="1:14" ht="14.25" customHeight="1" x14ac:dyDescent="0.3">
      <c r="A58" s="19"/>
      <c r="B58" s="19"/>
      <c r="C58" s="19"/>
      <c r="D58" s="19"/>
      <c r="E58" s="19"/>
      <c r="F58" s="19"/>
      <c r="G58" s="19"/>
      <c r="H58" s="19"/>
    </row>
    <row r="59" spans="1:14" ht="14.25" customHeight="1" x14ac:dyDescent="0.3"/>
    <row r="60" spans="1:14" ht="14.25" customHeight="1" x14ac:dyDescent="0.3">
      <c r="A60" s="2" t="s">
        <v>75</v>
      </c>
    </row>
    <row r="61" spans="1:14" ht="14.25" customHeight="1" x14ac:dyDescent="0.3"/>
    <row r="62" spans="1:14" ht="14.25" customHeight="1" x14ac:dyDescent="0.3">
      <c r="A62" s="2" t="s">
        <v>76</v>
      </c>
    </row>
    <row r="63" spans="1:14" ht="14.25" customHeight="1" x14ac:dyDescent="0.3"/>
    <row r="64" spans="1:14" ht="14.25" customHeight="1" x14ac:dyDescent="0.3">
      <c r="A64" s="2" t="s">
        <v>77</v>
      </c>
    </row>
    <row r="65" spans="1:32" ht="14.25" customHeight="1" x14ac:dyDescent="0.3"/>
    <row r="66" spans="1:32" ht="14.25" customHeight="1" x14ac:dyDescent="0.3">
      <c r="A66" s="2" t="s">
        <v>78</v>
      </c>
    </row>
    <row r="67" spans="1:32" ht="14.25" customHeight="1" x14ac:dyDescent="0.3"/>
    <row r="68" spans="1:32" ht="14.25" customHeight="1" x14ac:dyDescent="0.3">
      <c r="A68" s="2" t="s">
        <v>79</v>
      </c>
    </row>
    <row r="69" spans="1:32" ht="15.75" customHeight="1" x14ac:dyDescent="0.3"/>
    <row r="70" spans="1:32" ht="14.25" customHeight="1" x14ac:dyDescent="0.3">
      <c r="A70" s="2" t="s">
        <v>80</v>
      </c>
    </row>
    <row r="71" spans="1:32" ht="14.25" customHeight="1" x14ac:dyDescent="0.3"/>
    <row r="72" spans="1:32" ht="14.25" customHeight="1" x14ac:dyDescent="0.3">
      <c r="B72" s="37"/>
    </row>
    <row r="73" spans="1:32" ht="14.25" customHeight="1" x14ac:dyDescent="0.3"/>
    <row r="74" spans="1:32" ht="14.25" customHeight="1" x14ac:dyDescent="0.3"/>
    <row r="75" spans="1:32" ht="14.25" customHeight="1" x14ac:dyDescent="0.3"/>
    <row r="76" spans="1:32" ht="14.25" customHeight="1" x14ac:dyDescent="0.3"/>
    <row r="77" spans="1:32" ht="14.25" customHeight="1" x14ac:dyDescent="0.3"/>
    <row r="78" spans="1:32" ht="14.25" customHeight="1" x14ac:dyDescent="0.3"/>
    <row r="79" spans="1:32" ht="14.25" customHeight="1" x14ac:dyDescent="0.3">
      <c r="U79" s="232" t="s">
        <v>81</v>
      </c>
      <c r="V79" s="233"/>
      <c r="W79" s="233"/>
      <c r="X79" s="233"/>
      <c r="Y79" s="233"/>
      <c r="Z79" s="233"/>
      <c r="AA79" s="233"/>
      <c r="AB79" s="233"/>
      <c r="AC79" s="233"/>
      <c r="AD79" s="233"/>
      <c r="AE79" s="233"/>
      <c r="AF79" s="233"/>
    </row>
    <row r="80" spans="1:32" ht="14.25" customHeight="1" x14ac:dyDescent="0.3">
      <c r="U80" s="233"/>
      <c r="V80" s="233"/>
      <c r="W80" s="233"/>
      <c r="X80" s="233"/>
      <c r="Y80" s="233"/>
      <c r="Z80" s="233"/>
      <c r="AA80" s="233"/>
      <c r="AB80" s="233"/>
      <c r="AC80" s="233"/>
      <c r="AD80" s="233"/>
      <c r="AE80" s="233"/>
      <c r="AF80" s="233"/>
    </row>
    <row r="81" spans="1:14" ht="14.25" customHeight="1" x14ac:dyDescent="0.3"/>
    <row r="82" spans="1:14" ht="14.25" customHeight="1" x14ac:dyDescent="0.3"/>
    <row r="83" spans="1:14" ht="14.25" customHeight="1" x14ac:dyDescent="0.3"/>
    <row r="84" spans="1:14" ht="14.25" customHeight="1" x14ac:dyDescent="0.3"/>
    <row r="85" spans="1:14" ht="14.25" customHeight="1" x14ac:dyDescent="0.3"/>
    <row r="86" spans="1:14" ht="14.25" customHeight="1" x14ac:dyDescent="0.3">
      <c r="B86" s="37"/>
    </row>
    <row r="87" spans="1:14" ht="14.25" customHeight="1" x14ac:dyDescent="0.3"/>
    <row r="88" spans="1:14" ht="14.25" customHeight="1" x14ac:dyDescent="0.3"/>
    <row r="89" spans="1:14" ht="14.25" customHeight="1" x14ac:dyDescent="0.3">
      <c r="B89" s="37"/>
    </row>
    <row r="90" spans="1:14" ht="14.25" customHeight="1" x14ac:dyDescent="0.3">
      <c r="B90" s="37"/>
    </row>
    <row r="91" spans="1:14" ht="14.25" customHeight="1" x14ac:dyDescent="0.3"/>
    <row r="92" spans="1:14" ht="14.25" customHeight="1" x14ac:dyDescent="0.3"/>
    <row r="93" spans="1:14" ht="14.25" customHeight="1" x14ac:dyDescent="0.3">
      <c r="J93" s="19"/>
      <c r="K93" s="19"/>
      <c r="L93" s="19"/>
      <c r="M93" s="19"/>
      <c r="N93" s="19"/>
    </row>
    <row r="94" spans="1:14" ht="14.25" customHeight="1" x14ac:dyDescent="0.3"/>
    <row r="95" spans="1:14" ht="14.25" customHeight="1" x14ac:dyDescent="0.3">
      <c r="B95" s="37"/>
    </row>
    <row r="96" spans="1:14" ht="21.75" customHeight="1" x14ac:dyDescent="0.3">
      <c r="A96" s="234" t="s">
        <v>82</v>
      </c>
      <c r="B96" s="233"/>
      <c r="C96" s="233"/>
      <c r="D96" s="233"/>
      <c r="E96" s="233"/>
      <c r="F96" s="233"/>
      <c r="G96" s="233"/>
      <c r="H96" s="233"/>
      <c r="I96" s="233"/>
      <c r="J96" s="233"/>
      <c r="K96" s="233"/>
      <c r="L96" s="233"/>
      <c r="M96" s="233"/>
      <c r="N96" s="233"/>
    </row>
    <row r="97" spans="1:2" ht="14.25" customHeight="1" x14ac:dyDescent="0.3"/>
    <row r="98" spans="1:2" ht="14.25" customHeight="1" x14ac:dyDescent="0.3">
      <c r="A98" s="2" t="s">
        <v>83</v>
      </c>
      <c r="B98" s="37"/>
    </row>
    <row r="99" spans="1:2" ht="14.25" customHeight="1" x14ac:dyDescent="0.3">
      <c r="B99" s="37"/>
    </row>
    <row r="100" spans="1:2" ht="14.25" customHeight="1" x14ac:dyDescent="0.3">
      <c r="A100" s="2" t="s">
        <v>84</v>
      </c>
    </row>
    <row r="101" spans="1:2" ht="14.25" customHeight="1" x14ac:dyDescent="0.3"/>
    <row r="102" spans="1:2" ht="14.25" customHeight="1" x14ac:dyDescent="0.3">
      <c r="A102" s="2" t="s">
        <v>85</v>
      </c>
      <c r="B102" s="37"/>
    </row>
    <row r="103" spans="1:2" ht="14.25" customHeight="1" x14ac:dyDescent="0.3">
      <c r="A103" s="2" t="s">
        <v>86</v>
      </c>
      <c r="B103" s="37"/>
    </row>
    <row r="104" spans="1:2" ht="14.25" customHeight="1" x14ac:dyDescent="0.3"/>
    <row r="105" spans="1:2" ht="14.25" customHeight="1" x14ac:dyDescent="0.3">
      <c r="A105" s="2" t="s">
        <v>87</v>
      </c>
    </row>
    <row r="106" spans="1:2" ht="14.25" customHeight="1" x14ac:dyDescent="0.3">
      <c r="B106" s="37"/>
    </row>
    <row r="107" spans="1:2" ht="14.25" customHeight="1" x14ac:dyDescent="0.3">
      <c r="A107" s="2" t="s">
        <v>88</v>
      </c>
      <c r="B107" s="37"/>
    </row>
    <row r="108" spans="1:2" ht="14.25" customHeight="1" x14ac:dyDescent="0.3"/>
    <row r="109" spans="1:2" ht="14.25" customHeight="1" x14ac:dyDescent="0.3"/>
    <row r="110" spans="1:2" ht="14.25" customHeight="1" x14ac:dyDescent="0.3"/>
    <row r="111" spans="1:2" ht="14.25" customHeight="1" x14ac:dyDescent="0.3"/>
    <row r="112" spans="1:2" ht="14.25" customHeight="1" x14ac:dyDescent="0.3"/>
    <row r="113" spans="2:2" ht="14.25" customHeight="1" x14ac:dyDescent="0.3"/>
    <row r="114" spans="2:2" ht="14.25" customHeight="1" x14ac:dyDescent="0.3"/>
    <row r="115" spans="2:2" ht="14.25" customHeight="1" x14ac:dyDescent="0.3"/>
    <row r="116" spans="2:2" ht="14.25" customHeight="1" x14ac:dyDescent="0.3"/>
    <row r="117" spans="2:2" ht="14.25" customHeight="1" x14ac:dyDescent="0.3"/>
    <row r="118" spans="2:2" ht="14.25" customHeight="1" x14ac:dyDescent="0.3">
      <c r="B118" s="38"/>
    </row>
    <row r="119" spans="2:2" ht="14.25" customHeight="1" x14ac:dyDescent="0.3"/>
    <row r="120" spans="2:2" ht="14.25" customHeight="1" x14ac:dyDescent="0.3"/>
    <row r="121" spans="2:2" ht="14.25" customHeight="1" x14ac:dyDescent="0.3"/>
    <row r="122" spans="2:2" ht="14.25" customHeight="1" x14ac:dyDescent="0.3"/>
    <row r="123" spans="2:2" ht="14.25" customHeight="1" x14ac:dyDescent="0.3"/>
    <row r="124" spans="2:2" ht="14.25" customHeight="1" x14ac:dyDescent="0.3"/>
    <row r="125" spans="2:2" ht="14.25" customHeight="1" x14ac:dyDescent="0.3"/>
    <row r="126" spans="2:2" ht="14.25" customHeight="1" x14ac:dyDescent="0.3"/>
    <row r="127" spans="2:2" ht="14.25" customHeight="1" x14ac:dyDescent="0.3"/>
    <row r="128" spans="2:2" ht="14.25" customHeight="1" x14ac:dyDescent="0.3"/>
    <row r="129" spans="1:14" ht="16.5" customHeight="1" x14ac:dyDescent="0.3">
      <c r="J129" s="39"/>
      <c r="K129" s="39"/>
      <c r="L129" s="39"/>
      <c r="M129" s="39"/>
      <c r="N129" s="39"/>
    </row>
    <row r="130" spans="1:14" ht="14.25" customHeight="1" x14ac:dyDescent="0.3">
      <c r="J130" s="19"/>
      <c r="K130" s="19"/>
      <c r="L130" s="19"/>
      <c r="M130" s="19"/>
      <c r="N130" s="19"/>
    </row>
    <row r="131" spans="1:14" ht="14.25" customHeight="1" x14ac:dyDescent="0.3"/>
    <row r="132" spans="1:14" ht="14.25" customHeight="1" x14ac:dyDescent="0.3">
      <c r="A132" s="39"/>
      <c r="B132" s="39"/>
      <c r="C132" s="39"/>
      <c r="D132" s="39"/>
      <c r="E132" s="39"/>
      <c r="F132" s="39"/>
      <c r="G132" s="39"/>
      <c r="H132" s="39"/>
      <c r="I132" s="39"/>
    </row>
    <row r="133" spans="1:14" ht="30" customHeight="1" x14ac:dyDescent="0.3">
      <c r="A133" s="234" t="s">
        <v>89</v>
      </c>
      <c r="B133" s="233"/>
      <c r="C133" s="233"/>
      <c r="D133" s="233"/>
      <c r="E133" s="233"/>
      <c r="F133" s="233"/>
      <c r="G133" s="233"/>
      <c r="H133" s="233"/>
      <c r="I133" s="233"/>
      <c r="J133" s="233"/>
      <c r="K133" s="233"/>
      <c r="L133" s="233"/>
      <c r="M133" s="233"/>
      <c r="N133" s="233"/>
    </row>
    <row r="134" spans="1:14" ht="14.25" customHeight="1" x14ac:dyDescent="0.3">
      <c r="A134" s="2" t="s">
        <v>90</v>
      </c>
    </row>
    <row r="135" spans="1:14" ht="14.25" customHeight="1" x14ac:dyDescent="0.3"/>
    <row r="136" spans="1:14" ht="14.25" customHeight="1" x14ac:dyDescent="0.3">
      <c r="A136" s="2" t="s">
        <v>84</v>
      </c>
    </row>
    <row r="137" spans="1:14" ht="14.25" customHeight="1" x14ac:dyDescent="0.3"/>
    <row r="138" spans="1:14" ht="14.25" customHeight="1" x14ac:dyDescent="0.3">
      <c r="A138" s="2" t="s">
        <v>91</v>
      </c>
    </row>
    <row r="139" spans="1:14" ht="14.25" customHeight="1" x14ac:dyDescent="0.3"/>
    <row r="140" spans="1:14" ht="14.25" customHeight="1" x14ac:dyDescent="0.3">
      <c r="A140" s="2" t="s">
        <v>92</v>
      </c>
    </row>
    <row r="141" spans="1:14" ht="14.25" customHeight="1" x14ac:dyDescent="0.3"/>
    <row r="142" spans="1:14" ht="14.25" customHeight="1" x14ac:dyDescent="0.3"/>
    <row r="143" spans="1:14" ht="14.25" customHeight="1" x14ac:dyDescent="0.3"/>
    <row r="144" spans="1:1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row r="1001" ht="15.75" customHeight="1" x14ac:dyDescent="0.3"/>
    <row r="1002" ht="15.75" customHeight="1" x14ac:dyDescent="0.3"/>
    <row r="1003" ht="15.75" customHeight="1" x14ac:dyDescent="0.3"/>
    <row r="1004" ht="15.75" customHeight="1" x14ac:dyDescent="0.3"/>
    <row r="1005" ht="15.75" customHeight="1" x14ac:dyDescent="0.3"/>
    <row r="1006" ht="15.75" customHeight="1" x14ac:dyDescent="0.3"/>
    <row r="1007" ht="15.75" customHeight="1" x14ac:dyDescent="0.3"/>
    <row r="1008" ht="15.75" customHeight="1" x14ac:dyDescent="0.3"/>
    <row r="1009" ht="15.75" customHeight="1" x14ac:dyDescent="0.3"/>
    <row r="1010" ht="15.75" customHeight="1" x14ac:dyDescent="0.3"/>
    <row r="1011" ht="15.75" customHeight="1" x14ac:dyDescent="0.3"/>
    <row r="1012" ht="15.75" customHeight="1" x14ac:dyDescent="0.3"/>
    <row r="1013" ht="15.75" customHeight="1" x14ac:dyDescent="0.3"/>
    <row r="1014" ht="15.75" customHeight="1" x14ac:dyDescent="0.3"/>
    <row r="1015" ht="15.75" customHeight="1" x14ac:dyDescent="0.3"/>
    <row r="1016" ht="15.75" customHeight="1" x14ac:dyDescent="0.3"/>
    <row r="1017" ht="15.75" customHeight="1" x14ac:dyDescent="0.3"/>
  </sheetData>
  <mergeCells count="15">
    <mergeCell ref="U79:AF80"/>
    <mergeCell ref="A96:N96"/>
    <mergeCell ref="A133:N133"/>
    <mergeCell ref="A1:R2"/>
    <mergeCell ref="T1:AC2"/>
    <mergeCell ref="AE1:AL2"/>
    <mergeCell ref="A5:B5"/>
    <mergeCell ref="A11:B11"/>
    <mergeCell ref="A34:B34"/>
    <mergeCell ref="A40:B40"/>
    <mergeCell ref="T42:AC43"/>
    <mergeCell ref="AE42:AN43"/>
    <mergeCell ref="A46:B46"/>
    <mergeCell ref="A51:B51"/>
    <mergeCell ref="A57:N57"/>
  </mergeCells>
  <pageMargins left="0.7" right="0.7" top="0.75" bottom="0.75" header="0" footer="0"/>
  <pageSetup orientation="landscape"/>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2D1C2-F1C4-40CC-98A4-A4B3332BC675}">
  <dimension ref="A1:AL989"/>
  <sheetViews>
    <sheetView topLeftCell="I8" zoomScale="54" zoomScaleNormal="70" workbookViewId="0">
      <selection activeCell="M14" sqref="M14"/>
    </sheetView>
  </sheetViews>
  <sheetFormatPr defaultColWidth="14.44140625" defaultRowHeight="15" customHeight="1" x14ac:dyDescent="0.3"/>
  <cols>
    <col min="1" max="1" width="15" style="338" customWidth="1"/>
    <col min="2" max="2" width="60.5546875" style="338" customWidth="1"/>
    <col min="3" max="3" width="10.109375" style="338" customWidth="1"/>
    <col min="4" max="4" width="9" style="338" customWidth="1"/>
    <col min="5" max="5" width="10.44140625" style="338" customWidth="1"/>
    <col min="6" max="7" width="12.5546875" style="338" customWidth="1"/>
    <col min="8" max="8" width="11.5546875" style="338" customWidth="1"/>
    <col min="9" max="9" width="9.44140625" style="338" customWidth="1"/>
    <col min="10" max="10" width="11.88671875" style="338" customWidth="1"/>
    <col min="11" max="11" width="14.44140625" style="338"/>
    <col min="12" max="12" width="17.33203125" style="338" bestFit="1" customWidth="1"/>
    <col min="13" max="13" width="14.44140625" style="338"/>
    <col min="14" max="14" width="17.33203125" style="338" bestFit="1" customWidth="1"/>
    <col min="15" max="15" width="17.88671875" style="338" customWidth="1"/>
    <col min="16" max="16" width="15.109375" style="338" customWidth="1"/>
    <col min="17" max="17" width="18.44140625" style="338" customWidth="1"/>
    <col min="18" max="18" width="17.88671875" style="338" customWidth="1"/>
    <col min="19" max="19" width="18.44140625" style="338" customWidth="1"/>
    <col min="20" max="20" width="20.109375" style="338" customWidth="1"/>
    <col min="21" max="40" width="8.88671875" style="338" customWidth="1"/>
    <col min="41" max="16384" width="14.44140625" style="338"/>
  </cols>
  <sheetData>
    <row r="1" spans="1:38" ht="14.25" customHeight="1" x14ac:dyDescent="0.3">
      <c r="A1" s="335" t="s">
        <v>28</v>
      </c>
      <c r="B1" s="336"/>
      <c r="C1" s="336"/>
      <c r="D1" s="336"/>
      <c r="E1" s="336"/>
      <c r="F1" s="336"/>
      <c r="G1" s="336"/>
      <c r="H1" s="336"/>
      <c r="I1" s="336"/>
      <c r="J1" s="336"/>
      <c r="K1" s="336"/>
      <c r="L1" s="336"/>
      <c r="M1" s="336"/>
      <c r="N1" s="336"/>
      <c r="O1" s="336"/>
      <c r="P1" s="336"/>
      <c r="Q1" s="336"/>
      <c r="R1" s="337"/>
      <c r="T1" s="339" t="s">
        <v>29</v>
      </c>
      <c r="U1" s="340"/>
      <c r="V1" s="340"/>
      <c r="W1" s="340"/>
      <c r="X1" s="340"/>
      <c r="Y1" s="340"/>
      <c r="Z1" s="340"/>
      <c r="AA1" s="340"/>
      <c r="AB1" s="340"/>
      <c r="AC1" s="340"/>
      <c r="AE1" s="339" t="s">
        <v>30</v>
      </c>
      <c r="AF1" s="340"/>
      <c r="AG1" s="340"/>
      <c r="AH1" s="340"/>
      <c r="AI1" s="340"/>
      <c r="AJ1" s="340"/>
      <c r="AK1" s="340"/>
      <c r="AL1" s="340"/>
    </row>
    <row r="2" spans="1:38" ht="14.25" customHeight="1" x14ac:dyDescent="0.3">
      <c r="A2" s="341"/>
      <c r="B2" s="342"/>
      <c r="C2" s="342"/>
      <c r="D2" s="342"/>
      <c r="E2" s="342"/>
      <c r="F2" s="342"/>
      <c r="G2" s="342"/>
      <c r="H2" s="342"/>
      <c r="I2" s="342"/>
      <c r="J2" s="342"/>
      <c r="K2" s="342"/>
      <c r="L2" s="342"/>
      <c r="M2" s="342"/>
      <c r="N2" s="342"/>
      <c r="O2" s="342"/>
      <c r="P2" s="342"/>
      <c r="Q2" s="342"/>
      <c r="R2" s="343"/>
      <c r="T2" s="340"/>
      <c r="U2" s="340"/>
      <c r="V2" s="340"/>
      <c r="W2" s="340"/>
      <c r="X2" s="340"/>
      <c r="Y2" s="340"/>
      <c r="Z2" s="340"/>
      <c r="AA2" s="340"/>
      <c r="AB2" s="340"/>
      <c r="AC2" s="340"/>
      <c r="AE2" s="340"/>
      <c r="AF2" s="340"/>
      <c r="AG2" s="340"/>
      <c r="AH2" s="340"/>
      <c r="AI2" s="340"/>
      <c r="AJ2" s="340"/>
      <c r="AK2" s="340"/>
      <c r="AL2" s="340"/>
    </row>
    <row r="3" spans="1:38" ht="14.25" customHeight="1" x14ac:dyDescent="0.3"/>
    <row r="4" spans="1:38" ht="14.25" customHeight="1" x14ac:dyDescent="0.3"/>
    <row r="5" spans="1:38" ht="14.25" customHeight="1" x14ac:dyDescent="0.3">
      <c r="A5" s="344" t="s">
        <v>31</v>
      </c>
      <c r="B5" s="345"/>
    </row>
    <row r="6" spans="1:38" ht="14.25" customHeight="1" x14ac:dyDescent="0.3">
      <c r="A6" s="346" t="s">
        <v>15</v>
      </c>
      <c r="B6" s="346" t="s">
        <v>32</v>
      </c>
      <c r="C6" s="347" t="s">
        <v>33</v>
      </c>
      <c r="D6" s="347" t="s">
        <v>34</v>
      </c>
      <c r="E6" s="347" t="s">
        <v>35</v>
      </c>
      <c r="F6" s="347" t="s">
        <v>36</v>
      </c>
      <c r="G6" s="347" t="s">
        <v>37</v>
      </c>
      <c r="H6" s="347" t="s">
        <v>38</v>
      </c>
      <c r="I6" s="347" t="s">
        <v>39</v>
      </c>
      <c r="J6" s="347" t="s">
        <v>40</v>
      </c>
      <c r="K6" s="347" t="s">
        <v>41</v>
      </c>
      <c r="L6" s="347" t="s">
        <v>42</v>
      </c>
      <c r="M6" s="347" t="s">
        <v>43</v>
      </c>
      <c r="N6" s="347" t="s">
        <v>44</v>
      </c>
      <c r="O6" s="347" t="s">
        <v>45</v>
      </c>
      <c r="P6" s="347" t="s">
        <v>46</v>
      </c>
      <c r="Q6" s="347" t="s">
        <v>47</v>
      </c>
    </row>
    <row r="7" spans="1:38" ht="14.25" customHeight="1" thickBot="1" x14ac:dyDescent="0.35">
      <c r="A7" s="332">
        <v>23</v>
      </c>
      <c r="B7" s="348" t="s">
        <v>380</v>
      </c>
      <c r="C7" s="349">
        <v>17</v>
      </c>
      <c r="D7" s="350">
        <v>5</v>
      </c>
      <c r="E7" s="350">
        <v>26</v>
      </c>
      <c r="F7" s="349">
        <v>8500</v>
      </c>
      <c r="G7" s="349">
        <f>F7/(3.14*C7)</f>
        <v>159.2356687898089</v>
      </c>
      <c r="H7" s="349">
        <v>1050</v>
      </c>
      <c r="I7" s="349">
        <v>17</v>
      </c>
      <c r="J7" s="349">
        <f>C7/2</f>
        <v>8.5</v>
      </c>
      <c r="K7" s="349">
        <f>(E7+J7)/H7</f>
        <v>3.2857142857142856E-2</v>
      </c>
      <c r="L7" s="349">
        <f>K7*60</f>
        <v>1.9714285714285713</v>
      </c>
      <c r="M7" s="349">
        <f>H7*I7*D7</f>
        <v>89250</v>
      </c>
      <c r="N7" s="349">
        <f>O25</f>
        <v>183118.71625</v>
      </c>
      <c r="O7" s="349">
        <f>(E7*I7*D7)*3</f>
        <v>6630</v>
      </c>
      <c r="P7" s="351">
        <f>(O7/N7)*100</f>
        <v>3.6206020530137919</v>
      </c>
      <c r="Q7" s="349">
        <f>N7-O7</f>
        <v>176488.71625</v>
      </c>
    </row>
    <row r="8" spans="1:38" ht="13.2" customHeight="1" thickBot="1" x14ac:dyDescent="0.35">
      <c r="A8" s="332">
        <v>28</v>
      </c>
      <c r="B8" s="348" t="s">
        <v>382</v>
      </c>
      <c r="C8" s="349">
        <v>17</v>
      </c>
      <c r="D8" s="349">
        <v>1</v>
      </c>
      <c r="E8" s="349">
        <v>26</v>
      </c>
      <c r="F8" s="349">
        <v>8500</v>
      </c>
      <c r="G8" s="349">
        <f t="shared" ref="G8:G10" si="0">F8/(3.14*C8)</f>
        <v>159.2356687898089</v>
      </c>
      <c r="H8" s="349">
        <v>1050</v>
      </c>
      <c r="I8" s="349">
        <v>13</v>
      </c>
      <c r="J8" s="349">
        <f>SQRT(I8*(C8-I8))</f>
        <v>7.2111025509279782</v>
      </c>
      <c r="K8" s="349">
        <f t="shared" ref="K8:K10" si="1">(E8+J8)/H8</f>
        <v>3.1629621477074266E-2</v>
      </c>
      <c r="L8" s="349">
        <f t="shared" ref="L8:L10" si="2">K8*60</f>
        <v>1.8977772886244559</v>
      </c>
      <c r="M8" s="349">
        <f t="shared" ref="M8:M10" si="3">H8*I8*D8</f>
        <v>13650</v>
      </c>
      <c r="N8" s="349">
        <f>Q7</f>
        <v>176488.71625</v>
      </c>
      <c r="O8" s="349">
        <f t="shared" ref="O8:O10" si="4">(E8*I8*D8)*3</f>
        <v>1014</v>
      </c>
      <c r="P8" s="351">
        <f t="shared" ref="P8:P10" si="5">(O8/N8)*100</f>
        <v>0.57454098003843357</v>
      </c>
      <c r="Q8" s="349">
        <f t="shared" ref="Q8:Q10" si="6">N8-O8</f>
        <v>175474.71625</v>
      </c>
    </row>
    <row r="9" spans="1:38" ht="13.2" customHeight="1" thickBot="1" x14ac:dyDescent="0.35">
      <c r="A9" s="332">
        <v>29</v>
      </c>
      <c r="B9" s="348" t="s">
        <v>383</v>
      </c>
      <c r="C9" s="349">
        <v>8</v>
      </c>
      <c r="D9" s="350">
        <v>4</v>
      </c>
      <c r="E9" s="350">
        <v>17</v>
      </c>
      <c r="F9" s="349">
        <v>8500</v>
      </c>
      <c r="G9" s="349">
        <f t="shared" si="0"/>
        <v>338.37579617834393</v>
      </c>
      <c r="H9" s="349">
        <v>1050</v>
      </c>
      <c r="I9" s="349">
        <v>8</v>
      </c>
      <c r="J9" s="349">
        <f>C9/2</f>
        <v>4</v>
      </c>
      <c r="K9" s="349">
        <f t="shared" si="1"/>
        <v>0.02</v>
      </c>
      <c r="L9" s="349">
        <f t="shared" si="2"/>
        <v>1.2</v>
      </c>
      <c r="M9" s="349">
        <f t="shared" si="3"/>
        <v>33600</v>
      </c>
      <c r="N9" s="349">
        <f t="shared" ref="N9:N10" si="7">Q8</f>
        <v>175474.71625</v>
      </c>
      <c r="O9" s="349">
        <f t="shared" si="4"/>
        <v>1632</v>
      </c>
      <c r="P9" s="351">
        <f t="shared" si="5"/>
        <v>0.93004851916949605</v>
      </c>
      <c r="Q9" s="349">
        <f t="shared" si="6"/>
        <v>173842.71625</v>
      </c>
    </row>
    <row r="10" spans="1:38" ht="13.2" customHeight="1" thickBot="1" x14ac:dyDescent="0.35">
      <c r="A10" s="332">
        <v>38</v>
      </c>
      <c r="B10" s="348" t="s">
        <v>385</v>
      </c>
      <c r="C10" s="349">
        <v>8</v>
      </c>
      <c r="D10" s="349">
        <v>0.5</v>
      </c>
      <c r="E10" s="349">
        <v>17</v>
      </c>
      <c r="F10" s="349">
        <v>8500</v>
      </c>
      <c r="G10" s="349">
        <f t="shared" si="0"/>
        <v>338.37579617834393</v>
      </c>
      <c r="H10" s="349">
        <v>1050</v>
      </c>
      <c r="I10" s="349">
        <v>8</v>
      </c>
      <c r="J10" s="349">
        <f>C10/2</f>
        <v>4</v>
      </c>
      <c r="K10" s="349">
        <f t="shared" si="1"/>
        <v>0.02</v>
      </c>
      <c r="L10" s="349">
        <f t="shared" si="2"/>
        <v>1.2</v>
      </c>
      <c r="M10" s="349">
        <f t="shared" si="3"/>
        <v>4200</v>
      </c>
      <c r="N10" s="349">
        <f t="shared" si="7"/>
        <v>173842.71625</v>
      </c>
      <c r="O10" s="349">
        <f t="shared" si="4"/>
        <v>204</v>
      </c>
      <c r="P10" s="351">
        <f t="shared" si="5"/>
        <v>0.11734745314645877</v>
      </c>
      <c r="Q10" s="349">
        <f t="shared" si="6"/>
        <v>173638.71625</v>
      </c>
    </row>
    <row r="11" spans="1:38" ht="14.25" customHeight="1" x14ac:dyDescent="0.3"/>
    <row r="12" spans="1:38" ht="14.25" customHeight="1" x14ac:dyDescent="0.3">
      <c r="A12" s="344" t="s">
        <v>30</v>
      </c>
      <c r="B12" s="345"/>
    </row>
    <row r="13" spans="1:38" ht="14.25" customHeight="1" x14ac:dyDescent="0.3">
      <c r="A13" s="346" t="s">
        <v>15</v>
      </c>
      <c r="B13" s="346" t="s">
        <v>32</v>
      </c>
      <c r="C13" s="347" t="s">
        <v>49</v>
      </c>
      <c r="D13" s="347" t="s">
        <v>50</v>
      </c>
      <c r="E13" s="347" t="s">
        <v>34</v>
      </c>
      <c r="F13" s="347" t="s">
        <v>51</v>
      </c>
      <c r="G13" s="347" t="s">
        <v>35</v>
      </c>
      <c r="H13" s="347" t="s">
        <v>52</v>
      </c>
      <c r="I13" s="347" t="s">
        <v>36</v>
      </c>
      <c r="J13" s="347" t="s">
        <v>37</v>
      </c>
      <c r="K13" s="347" t="s">
        <v>38</v>
      </c>
      <c r="L13" s="347" t="s">
        <v>41</v>
      </c>
      <c r="M13" s="347" t="s">
        <v>42</v>
      </c>
      <c r="N13" s="347" t="s">
        <v>53</v>
      </c>
      <c r="O13" s="347" t="s">
        <v>44</v>
      </c>
      <c r="P13" s="347" t="s">
        <v>45</v>
      </c>
      <c r="Q13" s="347" t="s">
        <v>54</v>
      </c>
      <c r="R13" s="347" t="s">
        <v>47</v>
      </c>
    </row>
    <row r="14" spans="1:38" ht="14.25" customHeight="1" thickBot="1" x14ac:dyDescent="0.35">
      <c r="A14" s="332">
        <v>2</v>
      </c>
      <c r="B14" s="352" t="s">
        <v>368</v>
      </c>
      <c r="C14" s="351">
        <v>70</v>
      </c>
      <c r="D14" s="351">
        <v>70</v>
      </c>
      <c r="E14" s="351">
        <v>0</v>
      </c>
      <c r="F14" s="351">
        <v>2</v>
      </c>
      <c r="G14" s="351">
        <v>70</v>
      </c>
      <c r="H14" s="351">
        <v>0.1</v>
      </c>
      <c r="I14" s="351">
        <v>360000</v>
      </c>
      <c r="J14" s="351">
        <f>I14/(3.14*C14)</f>
        <v>1637.8525932666059</v>
      </c>
      <c r="K14" s="351">
        <f>J14*H14</f>
        <v>163.78525932666059</v>
      </c>
      <c r="L14" s="351">
        <f>G14/K14</f>
        <v>0.42738888888888893</v>
      </c>
      <c r="M14" s="351">
        <f>L14*60</f>
        <v>25.643333333333334</v>
      </c>
      <c r="N14" s="351">
        <f>3.14*((C14+D14)/2)*E14*K14</f>
        <v>0</v>
      </c>
      <c r="O14" s="351">
        <f>3.14*(C14/2)^2*G14</f>
        <v>269255</v>
      </c>
      <c r="P14" s="351">
        <f>3.14*((C14^2-D14^2)/4)*G14</f>
        <v>0</v>
      </c>
      <c r="Q14" s="351">
        <f>(P14/O14)*100</f>
        <v>0</v>
      </c>
      <c r="R14" s="351">
        <f>O14-P14</f>
        <v>269255</v>
      </c>
    </row>
    <row r="15" spans="1:38" ht="14.25" customHeight="1" thickBot="1" x14ac:dyDescent="0.35">
      <c r="A15" s="332">
        <v>3</v>
      </c>
      <c r="B15" s="352" t="s">
        <v>369</v>
      </c>
      <c r="C15" s="351">
        <v>70</v>
      </c>
      <c r="D15" s="351">
        <v>66</v>
      </c>
      <c r="E15" s="351">
        <v>2</v>
      </c>
      <c r="F15" s="351">
        <v>2</v>
      </c>
      <c r="G15" s="351">
        <v>39</v>
      </c>
      <c r="H15" s="351">
        <v>0.1</v>
      </c>
      <c r="I15" s="351">
        <v>360000</v>
      </c>
      <c r="J15" s="351">
        <f t="shared" ref="J15:J18" si="8">I15/(3.14*C15)</f>
        <v>1637.8525932666059</v>
      </c>
      <c r="K15" s="351">
        <f t="shared" ref="K15:K18" si="9">J15*H15</f>
        <v>163.78525932666059</v>
      </c>
      <c r="L15" s="351">
        <f t="shared" ref="L15:L18" si="10">G15/K15</f>
        <v>0.23811666666666667</v>
      </c>
      <c r="M15" s="351">
        <f t="shared" ref="M15:M18" si="11">L15*60</f>
        <v>14.287000000000001</v>
      </c>
      <c r="N15" s="351">
        <f t="shared" ref="N15:N18" si="12">3.14*((C15+D15)/2)*E15*K15</f>
        <v>69942.857142857145</v>
      </c>
      <c r="O15" s="351">
        <f>R14</f>
        <v>269255</v>
      </c>
      <c r="P15" s="351">
        <f t="shared" ref="P15:P18" si="13">3.14*((C15^2-D15^2)/4)*G15</f>
        <v>16654.560000000001</v>
      </c>
      <c r="Q15" s="351">
        <f t="shared" ref="Q15:Q18" si="14">(P15/O15)*100</f>
        <v>6.1854227405247819</v>
      </c>
      <c r="R15" s="351">
        <f t="shared" ref="R15:R18" si="15">O15-P15</f>
        <v>252600.44</v>
      </c>
    </row>
    <row r="16" spans="1:38" ht="14.25" customHeight="1" thickBot="1" x14ac:dyDescent="0.35">
      <c r="A16" s="332">
        <v>4</v>
      </c>
      <c r="B16" s="352" t="s">
        <v>370</v>
      </c>
      <c r="C16" s="351">
        <v>66</v>
      </c>
      <c r="D16" s="351">
        <v>62</v>
      </c>
      <c r="E16" s="351">
        <v>2</v>
      </c>
      <c r="F16" s="351">
        <v>2</v>
      </c>
      <c r="G16" s="351">
        <v>39</v>
      </c>
      <c r="H16" s="351">
        <v>0.1</v>
      </c>
      <c r="I16" s="351">
        <v>360000</v>
      </c>
      <c r="J16" s="351">
        <f t="shared" si="8"/>
        <v>1737.1163867979153</v>
      </c>
      <c r="K16" s="351">
        <f t="shared" si="9"/>
        <v>173.71163867979155</v>
      </c>
      <c r="L16" s="351">
        <f t="shared" si="10"/>
        <v>0.22450999999999999</v>
      </c>
      <c r="M16" s="351">
        <f t="shared" si="11"/>
        <v>13.470599999999999</v>
      </c>
      <c r="N16" s="351">
        <f t="shared" si="12"/>
        <v>69818.181818181823</v>
      </c>
      <c r="O16" s="351">
        <f t="shared" ref="O16:O18" si="16">R15</f>
        <v>252600.44</v>
      </c>
      <c r="P16" s="351">
        <f t="shared" si="13"/>
        <v>15674.880000000001</v>
      </c>
      <c r="Q16" s="351">
        <f t="shared" si="14"/>
        <v>6.2054048678616711</v>
      </c>
      <c r="R16" s="351">
        <f t="shared" si="15"/>
        <v>236925.56</v>
      </c>
    </row>
    <row r="17" spans="1:18" ht="14.25" customHeight="1" thickBot="1" x14ac:dyDescent="0.35">
      <c r="A17" s="332">
        <v>5</v>
      </c>
      <c r="B17" s="352" t="s">
        <v>371</v>
      </c>
      <c r="C17" s="351">
        <v>62</v>
      </c>
      <c r="D17" s="351">
        <v>60</v>
      </c>
      <c r="E17" s="351">
        <v>1</v>
      </c>
      <c r="F17" s="351">
        <v>2</v>
      </c>
      <c r="G17" s="351">
        <v>39</v>
      </c>
      <c r="H17" s="351">
        <v>0.1</v>
      </c>
      <c r="I17" s="351">
        <v>360000</v>
      </c>
      <c r="J17" s="351">
        <f t="shared" si="8"/>
        <v>1849.1884117526197</v>
      </c>
      <c r="K17" s="351">
        <f t="shared" si="9"/>
        <v>184.91884117526197</v>
      </c>
      <c r="L17" s="351">
        <f t="shared" si="10"/>
        <v>0.21090333333333333</v>
      </c>
      <c r="M17" s="351">
        <f t="shared" si="11"/>
        <v>12.654199999999999</v>
      </c>
      <c r="N17" s="351">
        <f t="shared" si="12"/>
        <v>35419.354838709682</v>
      </c>
      <c r="O17" s="351">
        <f t="shared" si="16"/>
        <v>236925.56</v>
      </c>
      <c r="P17" s="351">
        <f t="shared" si="13"/>
        <v>7470.06</v>
      </c>
      <c r="Q17" s="351">
        <f t="shared" si="14"/>
        <v>3.1529143584170494</v>
      </c>
      <c r="R17" s="351">
        <f t="shared" si="15"/>
        <v>229455.5</v>
      </c>
    </row>
    <row r="18" spans="1:18" ht="14.25" customHeight="1" thickBot="1" x14ac:dyDescent="0.35">
      <c r="A18" s="332">
        <v>9</v>
      </c>
      <c r="B18" s="352" t="s">
        <v>386</v>
      </c>
      <c r="C18" s="351">
        <v>60</v>
      </c>
      <c r="D18" s="351">
        <v>40</v>
      </c>
      <c r="E18" s="351">
        <v>0</v>
      </c>
      <c r="F18" s="351">
        <v>2</v>
      </c>
      <c r="G18" s="351">
        <v>10</v>
      </c>
      <c r="H18" s="351">
        <v>0.1</v>
      </c>
      <c r="I18" s="351">
        <v>360000</v>
      </c>
      <c r="J18" s="351">
        <f t="shared" si="8"/>
        <v>1910.8280254777069</v>
      </c>
      <c r="K18" s="351">
        <f t="shared" si="9"/>
        <v>191.08280254777071</v>
      </c>
      <c r="L18" s="351">
        <f t="shared" si="10"/>
        <v>5.2333333333333329E-2</v>
      </c>
      <c r="M18" s="351">
        <f t="shared" si="11"/>
        <v>3.1399999999999997</v>
      </c>
      <c r="N18" s="351">
        <f t="shared" si="12"/>
        <v>0</v>
      </c>
      <c r="O18" s="351">
        <f t="shared" si="16"/>
        <v>229455.5</v>
      </c>
      <c r="P18" s="351">
        <f t="shared" si="13"/>
        <v>15700</v>
      </c>
      <c r="Q18" s="351">
        <f t="shared" si="14"/>
        <v>6.8422853232979826</v>
      </c>
      <c r="R18" s="351">
        <f t="shared" si="15"/>
        <v>213755.5</v>
      </c>
    </row>
    <row r="19" spans="1:18" ht="14.25" customHeight="1" x14ac:dyDescent="0.3">
      <c r="A19" s="353"/>
      <c r="B19" s="354"/>
      <c r="C19" s="355"/>
      <c r="D19" s="355"/>
      <c r="E19" s="355"/>
      <c r="F19" s="355"/>
      <c r="G19" s="355"/>
      <c r="H19" s="355"/>
      <c r="I19" s="355"/>
      <c r="J19" s="355"/>
      <c r="K19" s="355"/>
      <c r="L19" s="355"/>
      <c r="M19" s="355"/>
      <c r="N19" s="355"/>
      <c r="O19" s="355"/>
      <c r="P19" s="355"/>
      <c r="Q19" s="355"/>
      <c r="R19" s="355"/>
    </row>
    <row r="20" spans="1:18" ht="14.25" customHeight="1" x14ac:dyDescent="0.3">
      <c r="A20" s="356" t="s">
        <v>56</v>
      </c>
      <c r="B20" s="343"/>
    </row>
    <row r="21" spans="1:18" ht="14.25" customHeight="1" thickBot="1" x14ac:dyDescent="0.35">
      <c r="A21" s="346" t="s">
        <v>15</v>
      </c>
      <c r="B21" s="346" t="s">
        <v>32</v>
      </c>
      <c r="C21" s="347" t="s">
        <v>33</v>
      </c>
      <c r="D21" s="347" t="s">
        <v>34</v>
      </c>
      <c r="E21" s="347" t="s">
        <v>52</v>
      </c>
      <c r="F21" s="347" t="s">
        <v>57</v>
      </c>
      <c r="G21" s="347" t="s">
        <v>37</v>
      </c>
      <c r="H21" s="347" t="s">
        <v>38</v>
      </c>
      <c r="I21" s="347" t="s">
        <v>41</v>
      </c>
      <c r="J21" s="347" t="s">
        <v>42</v>
      </c>
      <c r="K21" s="347" t="s">
        <v>43</v>
      </c>
      <c r="L21" s="347" t="s">
        <v>44</v>
      </c>
      <c r="M21" s="347" t="s">
        <v>45</v>
      </c>
      <c r="N21" s="347" t="s">
        <v>54</v>
      </c>
      <c r="O21" s="347" t="s">
        <v>47</v>
      </c>
    </row>
    <row r="22" spans="1:18" ht="14.25" customHeight="1" thickBot="1" x14ac:dyDescent="0.35">
      <c r="A22" s="332">
        <v>10</v>
      </c>
      <c r="B22" s="357" t="s">
        <v>373</v>
      </c>
      <c r="C22" s="351">
        <v>10</v>
      </c>
      <c r="D22" s="351">
        <v>15</v>
      </c>
      <c r="E22" s="351">
        <v>0.04</v>
      </c>
      <c r="F22" s="351">
        <v>500</v>
      </c>
      <c r="G22" s="351">
        <f>F22/(3.14*C22)</f>
        <v>15.923566878980891</v>
      </c>
      <c r="H22" s="351">
        <f>G22*E22</f>
        <v>0.63694267515923564</v>
      </c>
      <c r="I22" s="351">
        <f>D22/H22</f>
        <v>23.55</v>
      </c>
      <c r="J22" s="351">
        <f>D22/H22</f>
        <v>23.55</v>
      </c>
      <c r="K22" s="351">
        <f>H22*3.14*(C22/2)^2</f>
        <v>50</v>
      </c>
      <c r="L22" s="351">
        <f>R18</f>
        <v>213755.5</v>
      </c>
      <c r="M22" s="351">
        <f>3.14*(C22/2)^2*D22</f>
        <v>1177.5</v>
      </c>
      <c r="N22" s="351">
        <f>(M22/L22)*100</f>
        <v>0.55086301872934262</v>
      </c>
      <c r="O22" s="351">
        <f>L22-M22</f>
        <v>212578</v>
      </c>
    </row>
    <row r="23" spans="1:18" ht="14.25" customHeight="1" thickBot="1" x14ac:dyDescent="0.35">
      <c r="A23" s="332">
        <v>13</v>
      </c>
      <c r="B23" s="358" t="s">
        <v>374</v>
      </c>
      <c r="C23" s="351">
        <v>38</v>
      </c>
      <c r="D23" s="351">
        <v>26</v>
      </c>
      <c r="E23" s="351">
        <v>0.1</v>
      </c>
      <c r="F23" s="351">
        <v>360000</v>
      </c>
      <c r="G23" s="351">
        <f t="shared" ref="G23:G25" si="17">F23/(3.14*C23)</f>
        <v>3017.0968823332214</v>
      </c>
      <c r="H23" s="351">
        <f t="shared" ref="H23:H25" si="18">G23*E23</f>
        <v>301.70968823332214</v>
      </c>
      <c r="I23" s="351">
        <f t="shared" ref="I23:I25" si="19">D23/H23</f>
        <v>8.6175555555555561E-2</v>
      </c>
      <c r="J23" s="351">
        <f t="shared" ref="J23:J25" si="20">D23/H23</f>
        <v>8.6175555555555561E-2</v>
      </c>
      <c r="K23" s="351">
        <f>3.14*((10+C23)/2)*D23*H23</f>
        <v>591157.89473684202</v>
      </c>
      <c r="L23" s="351">
        <f>O22</f>
        <v>212578</v>
      </c>
      <c r="M23" s="351">
        <f>3.14*((C23^2-10^2)/4)*D23</f>
        <v>27431.040000000001</v>
      </c>
      <c r="N23" s="351">
        <f t="shared" ref="N23:N25" si="21">(M23/L23)*100</f>
        <v>12.903988183161005</v>
      </c>
      <c r="O23" s="351">
        <f t="shared" ref="O23:O25" si="22">L23-M23</f>
        <v>185146.96</v>
      </c>
    </row>
    <row r="24" spans="1:18" ht="14.25" customHeight="1" thickBot="1" x14ac:dyDescent="0.35">
      <c r="A24" s="332">
        <v>19</v>
      </c>
      <c r="B24" s="352" t="s">
        <v>376</v>
      </c>
      <c r="C24" s="351">
        <v>8.5</v>
      </c>
      <c r="D24" s="351">
        <v>15</v>
      </c>
      <c r="E24" s="351">
        <v>0.04</v>
      </c>
      <c r="F24" s="351">
        <v>500</v>
      </c>
      <c r="G24" s="351">
        <f t="shared" si="17"/>
        <v>18.733608092918697</v>
      </c>
      <c r="H24" s="351">
        <f t="shared" si="18"/>
        <v>0.74934432371674786</v>
      </c>
      <c r="I24" s="351">
        <f t="shared" si="19"/>
        <v>20.017499999999998</v>
      </c>
      <c r="J24" s="351">
        <f t="shared" si="20"/>
        <v>20.017499999999998</v>
      </c>
      <c r="K24" s="351">
        <f>H24*3.14*(C24/2)^2</f>
        <v>42.5</v>
      </c>
      <c r="L24" s="351">
        <f t="shared" ref="L24:L25" si="23">O23</f>
        <v>185146.96</v>
      </c>
      <c r="M24" s="351">
        <f>3.14*(C24/2)^2*D24</f>
        <v>850.74375000000009</v>
      </c>
      <c r="N24" s="351">
        <f t="shared" si="21"/>
        <v>0.45949647242385189</v>
      </c>
      <c r="O24" s="351">
        <f t="shared" si="22"/>
        <v>184296.21625</v>
      </c>
    </row>
    <row r="25" spans="1:18" ht="14.25" customHeight="1" thickBot="1" x14ac:dyDescent="0.35">
      <c r="A25" s="332">
        <v>22</v>
      </c>
      <c r="B25" s="352" t="s">
        <v>378</v>
      </c>
      <c r="C25" s="351">
        <v>10</v>
      </c>
      <c r="D25" s="351">
        <v>15</v>
      </c>
      <c r="E25" s="351">
        <v>0.04</v>
      </c>
      <c r="F25" s="351">
        <v>500</v>
      </c>
      <c r="G25" s="351">
        <f t="shared" si="17"/>
        <v>15.923566878980891</v>
      </c>
      <c r="H25" s="351">
        <f t="shared" si="18"/>
        <v>0.63694267515923564</v>
      </c>
      <c r="I25" s="351">
        <f t="shared" si="19"/>
        <v>23.55</v>
      </c>
      <c r="J25" s="351">
        <f t="shared" si="20"/>
        <v>23.55</v>
      </c>
      <c r="K25" s="351">
        <f>H25*((3.14*C25^2)/4)</f>
        <v>50</v>
      </c>
      <c r="L25" s="351">
        <f t="shared" si="23"/>
        <v>184296.21625</v>
      </c>
      <c r="M25" s="351">
        <f>(3.14*C25^2)/4*D25</f>
        <v>1177.5</v>
      </c>
      <c r="N25" s="351">
        <f t="shared" si="21"/>
        <v>0.63891707814701271</v>
      </c>
      <c r="O25" s="351">
        <f t="shared" si="22"/>
        <v>183118.71625</v>
      </c>
    </row>
    <row r="26" spans="1:18" ht="14.25" customHeight="1" x14ac:dyDescent="0.3">
      <c r="A26" s="353"/>
      <c r="B26" s="359"/>
      <c r="C26" s="355"/>
      <c r="D26" s="355"/>
      <c r="E26" s="355"/>
      <c r="F26" s="355"/>
      <c r="G26" s="355"/>
      <c r="H26" s="360"/>
      <c r="I26" s="355"/>
    </row>
    <row r="27" spans="1:18" ht="14.25" customHeight="1" x14ac:dyDescent="0.3">
      <c r="A27" s="353"/>
      <c r="B27" s="359"/>
      <c r="C27" s="355"/>
      <c r="D27" s="355"/>
      <c r="E27" s="355"/>
      <c r="F27" s="355"/>
      <c r="G27" s="355"/>
      <c r="H27" s="360"/>
      <c r="I27" s="355"/>
    </row>
    <row r="28" spans="1:18" ht="14.25" customHeight="1" x14ac:dyDescent="0.3"/>
    <row r="29" spans="1:18" ht="19.5" customHeight="1" x14ac:dyDescent="0.3">
      <c r="A29" s="339" t="s">
        <v>74</v>
      </c>
      <c r="B29" s="340"/>
      <c r="C29" s="340"/>
      <c r="D29" s="340"/>
      <c r="E29" s="340"/>
      <c r="F29" s="340"/>
      <c r="G29" s="340"/>
      <c r="H29" s="340"/>
      <c r="I29" s="340"/>
      <c r="J29" s="340"/>
      <c r="K29" s="340"/>
      <c r="L29" s="340"/>
      <c r="M29" s="340"/>
      <c r="N29" s="340"/>
    </row>
    <row r="30" spans="1:18" ht="14.25" customHeight="1" x14ac:dyDescent="0.3">
      <c r="A30" s="361"/>
      <c r="B30" s="361"/>
      <c r="C30" s="361"/>
      <c r="D30" s="361"/>
      <c r="E30" s="361"/>
      <c r="F30" s="361"/>
      <c r="G30" s="361"/>
      <c r="H30" s="361"/>
    </row>
    <row r="31" spans="1:18" ht="14.25" customHeight="1" x14ac:dyDescent="0.3"/>
    <row r="32" spans="1:18" ht="14.25" customHeight="1" x14ac:dyDescent="0.3">
      <c r="A32" s="362" t="s">
        <v>75</v>
      </c>
    </row>
    <row r="33" spans="1:2" ht="14.25" customHeight="1" x14ac:dyDescent="0.3"/>
    <row r="34" spans="1:2" ht="14.25" customHeight="1" x14ac:dyDescent="0.3">
      <c r="A34" s="362" t="s">
        <v>76</v>
      </c>
    </row>
    <row r="35" spans="1:2" ht="14.25" customHeight="1" x14ac:dyDescent="0.3"/>
    <row r="36" spans="1:2" ht="14.25" customHeight="1" x14ac:dyDescent="0.3">
      <c r="A36" s="362" t="s">
        <v>77</v>
      </c>
    </row>
    <row r="37" spans="1:2" ht="14.25" customHeight="1" x14ac:dyDescent="0.3"/>
    <row r="38" spans="1:2" ht="14.25" customHeight="1" x14ac:dyDescent="0.3">
      <c r="A38" s="362" t="s">
        <v>78</v>
      </c>
    </row>
    <row r="39" spans="1:2" ht="14.25" customHeight="1" x14ac:dyDescent="0.3"/>
    <row r="40" spans="1:2" ht="14.25" customHeight="1" x14ac:dyDescent="0.3">
      <c r="A40" s="362" t="s">
        <v>79</v>
      </c>
    </row>
    <row r="41" spans="1:2" ht="15.75" customHeight="1" x14ac:dyDescent="0.3"/>
    <row r="42" spans="1:2" ht="14.25" customHeight="1" x14ac:dyDescent="0.3">
      <c r="A42" s="362" t="s">
        <v>80</v>
      </c>
    </row>
    <row r="43" spans="1:2" ht="14.25" customHeight="1" x14ac:dyDescent="0.3"/>
    <row r="44" spans="1:2" ht="14.25" customHeight="1" x14ac:dyDescent="0.3">
      <c r="B44" s="363"/>
    </row>
    <row r="45" spans="1:2" ht="14.25" customHeight="1" x14ac:dyDescent="0.3"/>
    <row r="46" spans="1:2" ht="14.25" customHeight="1" x14ac:dyDescent="0.3"/>
    <row r="47" spans="1:2" ht="14.25" customHeight="1" x14ac:dyDescent="0.3"/>
    <row r="48" spans="1:2" ht="14.25" customHeight="1" x14ac:dyDescent="0.3"/>
    <row r="49" spans="2:32" ht="14.25" customHeight="1" x14ac:dyDescent="0.3"/>
    <row r="50" spans="2:32" ht="14.25" customHeight="1" x14ac:dyDescent="0.3"/>
    <row r="51" spans="2:32" ht="14.25" customHeight="1" x14ac:dyDescent="0.3">
      <c r="U51" s="364" t="s">
        <v>81</v>
      </c>
      <c r="V51" s="340"/>
      <c r="W51" s="340"/>
      <c r="X51" s="340"/>
      <c r="Y51" s="340"/>
      <c r="Z51" s="340"/>
      <c r="AA51" s="340"/>
      <c r="AB51" s="340"/>
      <c r="AC51" s="340"/>
      <c r="AD51" s="340"/>
      <c r="AE51" s="340"/>
      <c r="AF51" s="340"/>
    </row>
    <row r="52" spans="2:32" ht="14.25" customHeight="1" x14ac:dyDescent="0.3">
      <c r="U52" s="340"/>
      <c r="V52" s="340"/>
      <c r="W52" s="340"/>
      <c r="X52" s="340"/>
      <c r="Y52" s="340"/>
      <c r="Z52" s="340"/>
      <c r="AA52" s="340"/>
      <c r="AB52" s="340"/>
      <c r="AC52" s="340"/>
      <c r="AD52" s="340"/>
      <c r="AE52" s="340"/>
      <c r="AF52" s="340"/>
    </row>
    <row r="53" spans="2:32" ht="14.25" customHeight="1" x14ac:dyDescent="0.3"/>
    <row r="54" spans="2:32" ht="14.25" customHeight="1" x14ac:dyDescent="0.3"/>
    <row r="55" spans="2:32" ht="14.25" customHeight="1" x14ac:dyDescent="0.3"/>
    <row r="56" spans="2:32" ht="14.25" customHeight="1" x14ac:dyDescent="0.3"/>
    <row r="57" spans="2:32" ht="14.25" customHeight="1" x14ac:dyDescent="0.3"/>
    <row r="58" spans="2:32" ht="14.25" customHeight="1" x14ac:dyDescent="0.3">
      <c r="B58" s="363"/>
    </row>
    <row r="59" spans="2:32" ht="14.25" customHeight="1" x14ac:dyDescent="0.3"/>
    <row r="60" spans="2:32" ht="14.25" customHeight="1" x14ac:dyDescent="0.3"/>
    <row r="61" spans="2:32" ht="14.25" customHeight="1" x14ac:dyDescent="0.3">
      <c r="B61" s="363"/>
    </row>
    <row r="62" spans="2:32" ht="14.25" customHeight="1" x14ac:dyDescent="0.3">
      <c r="B62" s="363"/>
    </row>
    <row r="63" spans="2:32" ht="14.25" customHeight="1" x14ac:dyDescent="0.3"/>
    <row r="64" spans="2:32" ht="14.25" customHeight="1" x14ac:dyDescent="0.3"/>
    <row r="65" spans="1:14" ht="14.25" customHeight="1" x14ac:dyDescent="0.3">
      <c r="J65" s="361"/>
      <c r="K65" s="361"/>
      <c r="L65" s="361"/>
      <c r="M65" s="361"/>
      <c r="N65" s="361"/>
    </row>
    <row r="66" spans="1:14" ht="14.25" customHeight="1" x14ac:dyDescent="0.3"/>
    <row r="67" spans="1:14" ht="14.25" customHeight="1" x14ac:dyDescent="0.3">
      <c r="B67" s="363"/>
    </row>
    <row r="68" spans="1:14" ht="21.75" customHeight="1" x14ac:dyDescent="0.3">
      <c r="A68" s="339" t="s">
        <v>82</v>
      </c>
      <c r="B68" s="340"/>
      <c r="C68" s="340"/>
      <c r="D68" s="340"/>
      <c r="E68" s="340"/>
      <c r="F68" s="340"/>
      <c r="G68" s="340"/>
      <c r="H68" s="340"/>
      <c r="I68" s="340"/>
      <c r="J68" s="340"/>
      <c r="K68" s="340"/>
      <c r="L68" s="340"/>
      <c r="M68" s="340"/>
      <c r="N68" s="340"/>
    </row>
    <row r="69" spans="1:14" ht="14.25" customHeight="1" x14ac:dyDescent="0.3"/>
    <row r="70" spans="1:14" ht="14.25" customHeight="1" x14ac:dyDescent="0.3">
      <c r="A70" s="362" t="s">
        <v>83</v>
      </c>
      <c r="B70" s="363"/>
    </row>
    <row r="71" spans="1:14" ht="14.25" customHeight="1" x14ac:dyDescent="0.3">
      <c r="B71" s="363"/>
    </row>
    <row r="72" spans="1:14" ht="14.25" customHeight="1" x14ac:dyDescent="0.3">
      <c r="A72" s="362" t="s">
        <v>84</v>
      </c>
    </row>
    <row r="73" spans="1:14" ht="14.25" customHeight="1" x14ac:dyDescent="0.3"/>
    <row r="74" spans="1:14" ht="14.25" customHeight="1" x14ac:dyDescent="0.3">
      <c r="A74" s="362" t="s">
        <v>85</v>
      </c>
      <c r="B74" s="363"/>
    </row>
    <row r="75" spans="1:14" ht="14.25" customHeight="1" x14ac:dyDescent="0.3">
      <c r="A75" s="362" t="s">
        <v>86</v>
      </c>
      <c r="B75" s="363"/>
    </row>
    <row r="76" spans="1:14" ht="14.25" customHeight="1" x14ac:dyDescent="0.3"/>
    <row r="77" spans="1:14" ht="14.25" customHeight="1" x14ac:dyDescent="0.3">
      <c r="A77" s="362" t="s">
        <v>87</v>
      </c>
    </row>
    <row r="78" spans="1:14" ht="14.25" customHeight="1" x14ac:dyDescent="0.3">
      <c r="B78" s="363"/>
    </row>
    <row r="79" spans="1:14" ht="14.25" customHeight="1" x14ac:dyDescent="0.3">
      <c r="A79" s="362" t="s">
        <v>88</v>
      </c>
      <c r="B79" s="363"/>
    </row>
    <row r="80" spans="1:14" ht="14.25" customHeight="1" x14ac:dyDescent="0.3"/>
    <row r="81" spans="2:2" ht="14.25" customHeight="1" x14ac:dyDescent="0.3"/>
    <row r="82" spans="2:2" ht="14.25" customHeight="1" x14ac:dyDescent="0.3"/>
    <row r="83" spans="2:2" ht="14.25" customHeight="1" x14ac:dyDescent="0.3"/>
    <row r="84" spans="2:2" ht="14.25" customHeight="1" x14ac:dyDescent="0.3"/>
    <row r="85" spans="2:2" ht="14.25" customHeight="1" x14ac:dyDescent="0.3"/>
    <row r="86" spans="2:2" ht="14.25" customHeight="1" x14ac:dyDescent="0.3"/>
    <row r="87" spans="2:2" ht="14.25" customHeight="1" x14ac:dyDescent="0.3"/>
    <row r="88" spans="2:2" ht="14.25" customHeight="1" x14ac:dyDescent="0.3"/>
    <row r="89" spans="2:2" ht="14.25" customHeight="1" x14ac:dyDescent="0.3"/>
    <row r="90" spans="2:2" ht="14.25" customHeight="1" x14ac:dyDescent="0.3">
      <c r="B90" s="365"/>
    </row>
    <row r="91" spans="2:2" ht="14.25" customHeight="1" x14ac:dyDescent="0.3"/>
    <row r="92" spans="2:2" ht="14.25" customHeight="1" x14ac:dyDescent="0.3"/>
    <row r="93" spans="2:2" ht="14.25" customHeight="1" x14ac:dyDescent="0.3"/>
    <row r="94" spans="2:2" ht="14.25" customHeight="1" x14ac:dyDescent="0.3"/>
    <row r="95" spans="2:2" ht="14.25" customHeight="1" x14ac:dyDescent="0.3"/>
    <row r="96" spans="2:2" ht="14.25" customHeight="1" x14ac:dyDescent="0.3"/>
    <row r="97" spans="1:14" ht="14.25" customHeight="1" x14ac:dyDescent="0.3"/>
    <row r="98" spans="1:14" ht="14.25" customHeight="1" x14ac:dyDescent="0.3"/>
    <row r="99" spans="1:14" ht="14.25" customHeight="1" x14ac:dyDescent="0.3"/>
    <row r="100" spans="1:14" ht="14.25" customHeight="1" x14ac:dyDescent="0.3"/>
    <row r="101" spans="1:14" ht="16.5" customHeight="1" x14ac:dyDescent="0.3">
      <c r="J101" s="366"/>
      <c r="K101" s="366"/>
      <c r="L101" s="366"/>
      <c r="M101" s="366"/>
      <c r="N101" s="366"/>
    </row>
    <row r="102" spans="1:14" ht="14.25" customHeight="1" x14ac:dyDescent="0.3">
      <c r="J102" s="361"/>
      <c r="K102" s="361"/>
      <c r="L102" s="361"/>
      <c r="M102" s="361"/>
      <c r="N102" s="361"/>
    </row>
    <row r="103" spans="1:14" ht="14.25" customHeight="1" x14ac:dyDescent="0.3"/>
    <row r="104" spans="1:14" ht="14.25" customHeight="1" x14ac:dyDescent="0.3">
      <c r="A104" s="366"/>
      <c r="B104" s="366"/>
      <c r="C104" s="366"/>
      <c r="D104" s="366"/>
      <c r="E104" s="366"/>
      <c r="F104" s="366"/>
      <c r="G104" s="366"/>
      <c r="H104" s="366"/>
      <c r="I104" s="366"/>
    </row>
    <row r="105" spans="1:14" ht="30" customHeight="1" x14ac:dyDescent="0.3">
      <c r="A105" s="339" t="s">
        <v>89</v>
      </c>
      <c r="B105" s="340"/>
      <c r="C105" s="340"/>
      <c r="D105" s="340"/>
      <c r="E105" s="340"/>
      <c r="F105" s="340"/>
      <c r="G105" s="340"/>
      <c r="H105" s="340"/>
      <c r="I105" s="340"/>
      <c r="J105" s="340"/>
      <c r="K105" s="340"/>
      <c r="L105" s="340"/>
      <c r="M105" s="340"/>
      <c r="N105" s="340"/>
    </row>
    <row r="106" spans="1:14" ht="14.25" customHeight="1" x14ac:dyDescent="0.3">
      <c r="A106" s="362" t="s">
        <v>90</v>
      </c>
    </row>
    <row r="107" spans="1:14" ht="14.25" customHeight="1" x14ac:dyDescent="0.3"/>
    <row r="108" spans="1:14" ht="14.25" customHeight="1" x14ac:dyDescent="0.3">
      <c r="A108" s="362" t="s">
        <v>84</v>
      </c>
    </row>
    <row r="109" spans="1:14" ht="14.25" customHeight="1" x14ac:dyDescent="0.3"/>
    <row r="110" spans="1:14" ht="14.25" customHeight="1" x14ac:dyDescent="0.3">
      <c r="A110" s="362" t="s">
        <v>91</v>
      </c>
    </row>
    <row r="111" spans="1:14" ht="14.25" customHeight="1" x14ac:dyDescent="0.3"/>
    <row r="112" spans="1:14" ht="14.25" customHeight="1" x14ac:dyDescent="0.3">
      <c r="A112" s="362" t="s">
        <v>92</v>
      </c>
    </row>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sheetData>
  <mergeCells count="10">
    <mergeCell ref="A29:N29"/>
    <mergeCell ref="U51:AF52"/>
    <mergeCell ref="A68:N68"/>
    <mergeCell ref="A105:N105"/>
    <mergeCell ref="A1:R2"/>
    <mergeCell ref="T1:AC2"/>
    <mergeCell ref="AE1:AL2"/>
    <mergeCell ref="A5:B5"/>
    <mergeCell ref="A12:B12"/>
    <mergeCell ref="A20:B20"/>
  </mergeCells>
  <pageMargins left="0.7" right="0.7" top="0.75" bottom="0.75" header="0" footer="0"/>
  <pageSetup orientation="landscape"/>
  <drawing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5E5D1B-20EB-41B4-8B85-09C4D69AFC4B}">
  <sheetPr>
    <outlinePr summaryBelow="0" summaryRight="0"/>
  </sheetPr>
  <dimension ref="A1:N996"/>
  <sheetViews>
    <sheetView topLeftCell="D7" zoomScale="93" workbookViewId="0">
      <selection activeCell="I13" sqref="I13"/>
    </sheetView>
  </sheetViews>
  <sheetFormatPr defaultColWidth="14.44140625" defaultRowHeight="15" customHeight="1" x14ac:dyDescent="0.3"/>
  <cols>
    <col min="1" max="1" width="8.88671875" style="288" customWidth="1"/>
    <col min="2" max="2" width="46.44140625" style="288" customWidth="1"/>
    <col min="3" max="3" width="9.88671875" style="288" customWidth="1"/>
    <col min="4" max="4" width="8.88671875" style="288" customWidth="1"/>
    <col min="5" max="5" width="11.88671875" style="288" customWidth="1"/>
    <col min="6" max="6" width="15.33203125" style="288" bestFit="1" customWidth="1"/>
    <col min="7" max="14" width="8.88671875" style="288" customWidth="1"/>
    <col min="15" max="16384" width="14.44140625" style="288"/>
  </cols>
  <sheetData>
    <row r="1" spans="1:14" ht="14.25" customHeight="1" thickBot="1" x14ac:dyDescent="0.35">
      <c r="A1" s="285" t="s">
        <v>0</v>
      </c>
      <c r="B1" s="286"/>
      <c r="C1" s="286"/>
      <c r="D1" s="286"/>
      <c r="E1" s="286"/>
      <c r="F1" s="286"/>
      <c r="G1" s="286"/>
      <c r="H1" s="286"/>
      <c r="I1" s="287"/>
      <c r="K1" s="289" t="s">
        <v>1</v>
      </c>
      <c r="L1" s="290"/>
      <c r="M1" s="290"/>
      <c r="N1" s="291"/>
    </row>
    <row r="2" spans="1:14" ht="14.25" customHeight="1" thickBot="1" x14ac:dyDescent="0.35">
      <c r="A2" s="292"/>
      <c r="B2" s="290"/>
      <c r="C2" s="290"/>
      <c r="D2" s="290"/>
      <c r="E2" s="290"/>
      <c r="F2" s="290"/>
      <c r="G2" s="290"/>
      <c r="H2" s="290"/>
      <c r="I2" s="291"/>
      <c r="K2" s="293"/>
      <c r="L2" s="294"/>
      <c r="M2" s="294"/>
      <c r="N2" s="295"/>
    </row>
    <row r="3" spans="1:14" ht="14.25" customHeight="1" thickBot="1" x14ac:dyDescent="0.35">
      <c r="A3" s="296" t="s">
        <v>2</v>
      </c>
      <c r="B3" s="297">
        <v>1</v>
      </c>
      <c r="C3" s="290"/>
      <c r="D3" s="291"/>
      <c r="E3" s="298" t="s">
        <v>3</v>
      </c>
      <c r="F3" s="297">
        <v>1</v>
      </c>
      <c r="G3" s="290"/>
      <c r="H3" s="290"/>
      <c r="I3" s="291"/>
      <c r="K3" s="293"/>
      <c r="L3" s="294"/>
      <c r="M3" s="294"/>
      <c r="N3" s="295"/>
    </row>
    <row r="4" spans="1:14" ht="14.25" customHeight="1" thickBot="1" x14ac:dyDescent="0.35">
      <c r="A4" s="296" t="s">
        <v>4</v>
      </c>
      <c r="B4" s="297">
        <v>1</v>
      </c>
      <c r="C4" s="290"/>
      <c r="D4" s="291"/>
      <c r="E4" s="298" t="s">
        <v>5</v>
      </c>
      <c r="F4" s="299" t="s">
        <v>93</v>
      </c>
      <c r="G4" s="290"/>
      <c r="H4" s="290"/>
      <c r="I4" s="291"/>
      <c r="K4" s="293"/>
      <c r="L4" s="294"/>
      <c r="M4" s="294"/>
      <c r="N4" s="295"/>
    </row>
    <row r="5" spans="1:14" ht="14.25" customHeight="1" thickBot="1" x14ac:dyDescent="0.35">
      <c r="A5" s="296" t="s">
        <v>6</v>
      </c>
      <c r="B5" s="299" t="s">
        <v>367</v>
      </c>
      <c r="C5" s="290"/>
      <c r="D5" s="291"/>
      <c r="E5" s="298" t="s">
        <v>7</v>
      </c>
      <c r="F5" s="300" t="s">
        <v>94</v>
      </c>
      <c r="G5" s="301"/>
      <c r="H5" s="301"/>
      <c r="I5" s="302"/>
      <c r="K5" s="293"/>
      <c r="L5" s="294"/>
      <c r="M5" s="294"/>
      <c r="N5" s="295"/>
    </row>
    <row r="6" spans="1:14" ht="14.25" customHeight="1" thickBot="1" x14ac:dyDescent="0.35">
      <c r="A6" s="299"/>
      <c r="B6" s="290"/>
      <c r="C6" s="290"/>
      <c r="D6" s="291"/>
      <c r="E6" s="303" t="s">
        <v>8</v>
      </c>
      <c r="F6" s="304" t="s">
        <v>9</v>
      </c>
      <c r="G6" s="292"/>
      <c r="H6" s="290"/>
      <c r="I6" s="305" t="s">
        <v>10</v>
      </c>
      <c r="K6" s="293"/>
      <c r="L6" s="294"/>
      <c r="M6" s="294"/>
      <c r="N6" s="295"/>
    </row>
    <row r="7" spans="1:14" ht="14.25" customHeight="1" thickBot="1" x14ac:dyDescent="0.35">
      <c r="A7" s="296" t="s">
        <v>11</v>
      </c>
      <c r="B7" s="299" t="s">
        <v>95</v>
      </c>
      <c r="C7" s="290"/>
      <c r="D7" s="291"/>
      <c r="E7" s="306"/>
      <c r="F7" s="304" t="s">
        <v>12</v>
      </c>
      <c r="G7" s="292">
        <v>70</v>
      </c>
      <c r="H7" s="290"/>
      <c r="I7" s="305" t="s">
        <v>10</v>
      </c>
      <c r="K7" s="293"/>
      <c r="L7" s="294"/>
      <c r="M7" s="294"/>
      <c r="N7" s="295"/>
    </row>
    <row r="8" spans="1:14" ht="14.25" customHeight="1" thickBot="1" x14ac:dyDescent="0.35">
      <c r="A8" s="296" t="s">
        <v>13</v>
      </c>
      <c r="B8" s="307" t="s">
        <v>96</v>
      </c>
      <c r="C8" s="290"/>
      <c r="D8" s="291"/>
      <c r="E8" s="308"/>
      <c r="F8" s="304" t="s">
        <v>14</v>
      </c>
      <c r="G8" s="292">
        <v>39</v>
      </c>
      <c r="H8" s="290"/>
      <c r="I8" s="305" t="s">
        <v>10</v>
      </c>
      <c r="K8" s="309"/>
      <c r="L8" s="310"/>
      <c r="M8" s="310"/>
      <c r="N8" s="311"/>
    </row>
    <row r="9" spans="1:14" ht="14.25" customHeight="1" thickBot="1" x14ac:dyDescent="0.35">
      <c r="A9" s="292"/>
      <c r="B9" s="290"/>
      <c r="C9" s="290"/>
      <c r="D9" s="290"/>
      <c r="E9" s="290"/>
      <c r="F9" s="290"/>
      <c r="G9" s="290"/>
      <c r="H9" s="290"/>
      <c r="I9" s="291"/>
    </row>
    <row r="10" spans="1:14" ht="14.25" customHeight="1" thickBot="1" x14ac:dyDescent="0.35">
      <c r="A10" s="312" t="s">
        <v>15</v>
      </c>
      <c r="B10" s="303" t="s">
        <v>16</v>
      </c>
      <c r="C10" s="303" t="s">
        <v>17</v>
      </c>
      <c r="D10" s="313" t="s">
        <v>18</v>
      </c>
      <c r="E10" s="291"/>
      <c r="F10" s="314" t="s">
        <v>19</v>
      </c>
      <c r="G10" s="315" t="s">
        <v>20</v>
      </c>
      <c r="H10" s="315" t="s">
        <v>21</v>
      </c>
      <c r="I10" s="315" t="s">
        <v>22</v>
      </c>
    </row>
    <row r="11" spans="1:14" ht="14.25" customHeight="1" thickBot="1" x14ac:dyDescent="0.35">
      <c r="A11" s="308"/>
      <c r="B11" s="308"/>
      <c r="C11" s="308"/>
      <c r="D11" s="298" t="s">
        <v>23</v>
      </c>
      <c r="E11" s="298" t="s">
        <v>24</v>
      </c>
      <c r="F11" s="308"/>
      <c r="G11" s="308"/>
      <c r="H11" s="308"/>
      <c r="I11" s="308"/>
    </row>
    <row r="12" spans="1:14" ht="14.25" customHeight="1" thickBot="1" x14ac:dyDescent="0.35">
      <c r="A12" s="316">
        <v>1</v>
      </c>
      <c r="B12" s="304" t="s">
        <v>97</v>
      </c>
      <c r="C12" s="317" t="s">
        <v>98</v>
      </c>
      <c r="D12" s="317" t="s">
        <v>99</v>
      </c>
      <c r="E12" s="317"/>
      <c r="F12" s="318" t="s">
        <v>100</v>
      </c>
      <c r="G12" s="319">
        <v>0</v>
      </c>
      <c r="H12" s="320">
        <v>0</v>
      </c>
      <c r="I12" s="320">
        <f>G12+H12</f>
        <v>0</v>
      </c>
    </row>
    <row r="13" spans="1:14" ht="14.25" customHeight="1" thickBot="1" x14ac:dyDescent="0.35">
      <c r="A13" s="316">
        <v>2</v>
      </c>
      <c r="B13" s="321" t="s">
        <v>368</v>
      </c>
      <c r="C13" s="322" t="s">
        <v>101</v>
      </c>
      <c r="D13" s="298">
        <v>1</v>
      </c>
      <c r="E13" s="323" t="s">
        <v>102</v>
      </c>
      <c r="F13" s="298" t="s">
        <v>103</v>
      </c>
      <c r="G13" s="324">
        <v>203.4</v>
      </c>
      <c r="H13" s="325">
        <f>'[1]Perhitungan LRP Bottom Base 1'!M14</f>
        <v>25.643333333333334</v>
      </c>
      <c r="I13" s="320">
        <f>G13+H13</f>
        <v>229.04333333333335</v>
      </c>
    </row>
    <row r="14" spans="1:14" ht="14.25" customHeight="1" thickBot="1" x14ac:dyDescent="0.35">
      <c r="A14" s="316">
        <v>3</v>
      </c>
      <c r="B14" s="321" t="s">
        <v>369</v>
      </c>
      <c r="C14" s="322" t="s">
        <v>101</v>
      </c>
      <c r="D14" s="298">
        <v>4</v>
      </c>
      <c r="E14" s="323" t="s">
        <v>102</v>
      </c>
      <c r="F14" s="298" t="s">
        <v>103</v>
      </c>
      <c r="G14" s="324">
        <v>203.4</v>
      </c>
      <c r="H14" s="325">
        <f>'[1]Perhitungan LRP Bottom Base 1'!M15</f>
        <v>14.287000000000001</v>
      </c>
      <c r="I14" s="320">
        <f>G14+H14</f>
        <v>217.68700000000001</v>
      </c>
    </row>
    <row r="15" spans="1:14" ht="14.25" customHeight="1" thickBot="1" x14ac:dyDescent="0.35">
      <c r="A15" s="316">
        <v>4</v>
      </c>
      <c r="B15" s="321" t="s">
        <v>370</v>
      </c>
      <c r="C15" s="322" t="s">
        <v>101</v>
      </c>
      <c r="D15" s="298">
        <v>5</v>
      </c>
      <c r="E15" s="323" t="s">
        <v>102</v>
      </c>
      <c r="F15" s="298" t="s">
        <v>103</v>
      </c>
      <c r="G15" s="324">
        <v>203.4</v>
      </c>
      <c r="H15" s="325">
        <f>'[1]Perhitungan LRP Bottom Base 1'!M16</f>
        <v>13.470599999999999</v>
      </c>
      <c r="I15" s="320">
        <f t="shared" ref="I15:I27" si="0">G15+H15</f>
        <v>216.8706</v>
      </c>
    </row>
    <row r="16" spans="1:14" ht="14.25" customHeight="1" thickBot="1" x14ac:dyDescent="0.35">
      <c r="A16" s="316">
        <v>5</v>
      </c>
      <c r="B16" s="321" t="s">
        <v>371</v>
      </c>
      <c r="C16" s="322" t="s">
        <v>101</v>
      </c>
      <c r="D16" s="298">
        <v>8</v>
      </c>
      <c r="E16" s="323" t="s">
        <v>102</v>
      </c>
      <c r="F16" s="298" t="s">
        <v>103</v>
      </c>
      <c r="G16" s="324">
        <v>203.4</v>
      </c>
      <c r="H16" s="325">
        <f>'[1]Perhitungan LRP Bottom Base 1'!M17</f>
        <v>12.654199999999999</v>
      </c>
      <c r="I16" s="320">
        <f t="shared" si="0"/>
        <v>216.05420000000001</v>
      </c>
    </row>
    <row r="17" spans="1:9" ht="14.25" customHeight="1" thickBot="1" x14ac:dyDescent="0.35">
      <c r="A17" s="316">
        <v>9</v>
      </c>
      <c r="B17" s="321" t="s">
        <v>372</v>
      </c>
      <c r="C17" s="322" t="s">
        <v>101</v>
      </c>
      <c r="D17" s="298">
        <v>9</v>
      </c>
      <c r="E17" s="323" t="s">
        <v>102</v>
      </c>
      <c r="F17" s="298" t="s">
        <v>103</v>
      </c>
      <c r="G17" s="324">
        <v>203.4</v>
      </c>
      <c r="H17" s="325">
        <f>'[1]Perhitungan LRP Bottom Base 1'!M18</f>
        <v>3.1399999999999997</v>
      </c>
      <c r="I17" s="320">
        <f t="shared" si="0"/>
        <v>206.54</v>
      </c>
    </row>
    <row r="18" spans="1:9" ht="14.25" customHeight="1" thickBot="1" x14ac:dyDescent="0.35">
      <c r="A18" s="316">
        <v>10</v>
      </c>
      <c r="B18" s="326" t="s">
        <v>373</v>
      </c>
      <c r="C18" s="322" t="s">
        <v>101</v>
      </c>
      <c r="D18" s="298">
        <v>12</v>
      </c>
      <c r="E18" s="323" t="s">
        <v>102</v>
      </c>
      <c r="F18" s="298" t="s">
        <v>104</v>
      </c>
      <c r="G18" s="327">
        <v>192</v>
      </c>
      <c r="H18" s="328">
        <f>'[1]Perhitungan LRP Bottom Base 1'!J22</f>
        <v>23.55</v>
      </c>
      <c r="I18" s="320">
        <f t="shared" si="0"/>
        <v>215.55</v>
      </c>
    </row>
    <row r="19" spans="1:9" ht="14.25" customHeight="1" thickBot="1" x14ac:dyDescent="0.35">
      <c r="A19" s="316">
        <v>13</v>
      </c>
      <c r="B19" s="329" t="s">
        <v>374</v>
      </c>
      <c r="C19" s="322" t="s">
        <v>101</v>
      </c>
      <c r="D19" s="298">
        <v>15</v>
      </c>
      <c r="E19" s="323" t="s">
        <v>102</v>
      </c>
      <c r="F19" s="298" t="s">
        <v>375</v>
      </c>
      <c r="G19" s="327">
        <v>192</v>
      </c>
      <c r="H19" s="328">
        <f>'[1]Perhitungan LRP Bottom Base 1'!J23</f>
        <v>8.6175555555555561E-2</v>
      </c>
      <c r="I19" s="320">
        <f t="shared" si="0"/>
        <v>192.08617555555554</v>
      </c>
    </row>
    <row r="20" spans="1:9" ht="14.25" customHeight="1" thickBot="1" x14ac:dyDescent="0.35">
      <c r="A20" s="316">
        <v>19</v>
      </c>
      <c r="B20" s="321" t="s">
        <v>376</v>
      </c>
      <c r="C20" s="298" t="s">
        <v>105</v>
      </c>
      <c r="D20" s="298">
        <v>18</v>
      </c>
      <c r="E20" s="298" t="s">
        <v>106</v>
      </c>
      <c r="F20" s="298" t="s">
        <v>377</v>
      </c>
      <c r="G20" s="324">
        <v>192</v>
      </c>
      <c r="H20" s="328">
        <f>'[1]Perhitungan LRP Bottom Base 1'!J24</f>
        <v>20.017499999999998</v>
      </c>
      <c r="I20" s="320">
        <f t="shared" si="0"/>
        <v>212.01749999999998</v>
      </c>
    </row>
    <row r="21" spans="1:9" ht="14.25" customHeight="1" thickBot="1" x14ac:dyDescent="0.35">
      <c r="A21" s="316">
        <v>22</v>
      </c>
      <c r="B21" s="321" t="s">
        <v>378</v>
      </c>
      <c r="C21" s="298" t="s">
        <v>105</v>
      </c>
      <c r="D21" s="298">
        <v>21</v>
      </c>
      <c r="E21" s="298" t="s">
        <v>106</v>
      </c>
      <c r="F21" s="298" t="s">
        <v>379</v>
      </c>
      <c r="G21" s="324">
        <v>192</v>
      </c>
      <c r="H21" s="328">
        <f>'[1]Perhitungan LRP Bottom Base 1'!J25</f>
        <v>23.55</v>
      </c>
      <c r="I21" s="320">
        <f t="shared" si="0"/>
        <v>215.55</v>
      </c>
    </row>
    <row r="22" spans="1:9" ht="14.25" customHeight="1" thickBot="1" x14ac:dyDescent="0.35">
      <c r="A22" s="316">
        <v>23</v>
      </c>
      <c r="B22" s="330" t="s">
        <v>380</v>
      </c>
      <c r="C22" s="316" t="s">
        <v>107</v>
      </c>
      <c r="D22" s="316">
        <v>22</v>
      </c>
      <c r="E22" s="298" t="s">
        <v>106</v>
      </c>
      <c r="F22" s="298" t="s">
        <v>381</v>
      </c>
      <c r="G22" s="324">
        <v>553.20000000000005</v>
      </c>
      <c r="H22" s="331">
        <f>'[1]Perhitungan LRP Bottom Base 1'!L7</f>
        <v>1.9714285714285713</v>
      </c>
      <c r="I22" s="320">
        <f t="shared" si="0"/>
        <v>555.17142857142858</v>
      </c>
    </row>
    <row r="23" spans="1:9" ht="14.25" customHeight="1" thickBot="1" x14ac:dyDescent="0.35">
      <c r="A23" s="316">
        <v>28</v>
      </c>
      <c r="B23" s="330" t="s">
        <v>382</v>
      </c>
      <c r="C23" s="316" t="s">
        <v>107</v>
      </c>
      <c r="D23" s="316">
        <v>27</v>
      </c>
      <c r="E23" s="298" t="s">
        <v>106</v>
      </c>
      <c r="F23" s="298" t="s">
        <v>381</v>
      </c>
      <c r="G23" s="324">
        <v>553.20000000000005</v>
      </c>
      <c r="H23" s="331">
        <f>'[1]Perhitungan LRP Bottom Base 1'!L8</f>
        <v>1.8977772886244559</v>
      </c>
      <c r="I23" s="320">
        <f t="shared" si="0"/>
        <v>555.09777728862446</v>
      </c>
    </row>
    <row r="24" spans="1:9" ht="14.25" customHeight="1" thickBot="1" x14ac:dyDescent="0.35">
      <c r="A24" s="316">
        <v>29</v>
      </c>
      <c r="B24" s="330" t="s">
        <v>383</v>
      </c>
      <c r="C24" s="316" t="s">
        <v>107</v>
      </c>
      <c r="D24" s="316">
        <v>28</v>
      </c>
      <c r="E24" s="298" t="s">
        <v>106</v>
      </c>
      <c r="F24" s="298" t="s">
        <v>384</v>
      </c>
      <c r="G24" s="324">
        <v>553.20000000000005</v>
      </c>
      <c r="H24" s="331">
        <f>'[1]Perhitungan LRP Bottom Base 1'!L9</f>
        <v>1.2</v>
      </c>
      <c r="I24" s="320">
        <f t="shared" si="0"/>
        <v>554.40000000000009</v>
      </c>
    </row>
    <row r="25" spans="1:9" ht="14.25" customHeight="1" thickBot="1" x14ac:dyDescent="0.35">
      <c r="A25" s="316">
        <v>38</v>
      </c>
      <c r="B25" s="330" t="s">
        <v>385</v>
      </c>
      <c r="C25" s="316" t="s">
        <v>107</v>
      </c>
      <c r="D25" s="316">
        <v>37</v>
      </c>
      <c r="E25" s="298" t="s">
        <v>106</v>
      </c>
      <c r="F25" s="298" t="s">
        <v>384</v>
      </c>
      <c r="G25" s="324">
        <v>553.20000000000005</v>
      </c>
      <c r="H25" s="331">
        <f>'[1]Perhitungan LRP Bottom Base 1'!L10</f>
        <v>1.2</v>
      </c>
      <c r="I25" s="320">
        <f t="shared" si="0"/>
        <v>554.40000000000009</v>
      </c>
    </row>
    <row r="26" spans="1:9" ht="14.25" customHeight="1" thickBot="1" x14ac:dyDescent="0.35">
      <c r="A26" s="316">
        <v>39</v>
      </c>
      <c r="B26" s="330" t="s">
        <v>108</v>
      </c>
      <c r="C26" s="332" t="s">
        <v>98</v>
      </c>
      <c r="D26" s="316"/>
      <c r="E26" s="316"/>
      <c r="F26" s="316" t="s">
        <v>109</v>
      </c>
      <c r="G26" s="331">
        <v>0</v>
      </c>
      <c r="H26" s="331">
        <v>120</v>
      </c>
      <c r="I26" s="320">
        <f t="shared" si="0"/>
        <v>120</v>
      </c>
    </row>
    <row r="27" spans="1:9" ht="14.25" customHeight="1" thickBot="1" x14ac:dyDescent="0.35">
      <c r="A27" s="316">
        <v>40</v>
      </c>
      <c r="B27" s="333" t="s">
        <v>110</v>
      </c>
      <c r="C27" s="332" t="s">
        <v>98</v>
      </c>
      <c r="D27" s="332" t="s">
        <v>99</v>
      </c>
      <c r="E27" s="317"/>
      <c r="F27" s="318" t="s">
        <v>100</v>
      </c>
      <c r="G27" s="334">
        <v>0</v>
      </c>
      <c r="H27" s="334">
        <v>0</v>
      </c>
      <c r="I27" s="320">
        <f t="shared" si="0"/>
        <v>0</v>
      </c>
    </row>
    <row r="28" spans="1:9" ht="14.25" customHeight="1" thickBot="1" x14ac:dyDescent="0.35">
      <c r="H28" s="331" t="s">
        <v>27</v>
      </c>
      <c r="I28" s="331">
        <f>SUM(I12:I27)</f>
        <v>4260.4680147489416</v>
      </c>
    </row>
    <row r="29" spans="1:9" ht="14.25" customHeight="1" x14ac:dyDescent="0.3"/>
    <row r="30" spans="1:9" ht="14.25" customHeight="1" x14ac:dyDescent="0.3"/>
    <row r="31" spans="1:9" ht="14.25" customHeight="1" x14ac:dyDescent="0.3"/>
    <row r="32" spans="1:9"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sheetData>
  <mergeCells count="24">
    <mergeCell ref="A9:I9"/>
    <mergeCell ref="A10:A11"/>
    <mergeCell ref="B10:B11"/>
    <mergeCell ref="C10:C11"/>
    <mergeCell ref="D10:E10"/>
    <mergeCell ref="F10:F11"/>
    <mergeCell ref="G10:G11"/>
    <mergeCell ref="H10:H11"/>
    <mergeCell ref="I10:I11"/>
    <mergeCell ref="B5:D5"/>
    <mergeCell ref="F5:I5"/>
    <mergeCell ref="A6:D6"/>
    <mergeCell ref="E6:E8"/>
    <mergeCell ref="G6:H6"/>
    <mergeCell ref="B7:D7"/>
    <mergeCell ref="G7:H7"/>
    <mergeCell ref="B8:D8"/>
    <mergeCell ref="G8:H8"/>
    <mergeCell ref="K1:N1"/>
    <mergeCell ref="A2:I2"/>
    <mergeCell ref="B3:D3"/>
    <mergeCell ref="F3:I3"/>
    <mergeCell ref="B4:D4"/>
    <mergeCell ref="F4:I4"/>
  </mergeCells>
  <pageMargins left="0.7" right="0.7" top="0.75" bottom="0.75" header="0" footer="0"/>
  <pageSetup orientation="landscape"/>
  <drawing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BB1CD0-EF3B-445A-9F01-38ECC1C729DD}">
  <sheetPr>
    <outlinePr summaryBelow="0" summaryRight="0"/>
  </sheetPr>
  <dimension ref="A1:N996"/>
  <sheetViews>
    <sheetView zoomScale="108" workbookViewId="0">
      <selection activeCell="F14" sqref="F14"/>
    </sheetView>
  </sheetViews>
  <sheetFormatPr defaultColWidth="14.44140625" defaultRowHeight="15" customHeight="1" x14ac:dyDescent="0.3"/>
  <cols>
    <col min="1" max="1" width="8.77734375" customWidth="1"/>
    <col min="2" max="2" width="43.21875" bestFit="1" customWidth="1"/>
    <col min="3" max="3" width="9.77734375" customWidth="1"/>
    <col min="4" max="4" width="8.77734375" customWidth="1"/>
    <col min="5" max="5" width="11.77734375" customWidth="1"/>
    <col min="6" max="6" width="15.21875" bestFit="1" customWidth="1"/>
    <col min="7" max="14" width="8.77734375" customWidth="1"/>
  </cols>
  <sheetData>
    <row r="1" spans="1:14" ht="14.25" customHeight="1" thickBot="1" x14ac:dyDescent="0.35">
      <c r="A1" s="48" t="s">
        <v>0</v>
      </c>
      <c r="B1" s="49"/>
      <c r="C1" s="49"/>
      <c r="D1" s="49"/>
      <c r="E1" s="49"/>
      <c r="F1" s="49"/>
      <c r="G1" s="49"/>
      <c r="H1" s="49"/>
      <c r="I1" s="50"/>
      <c r="K1" s="230" t="s">
        <v>1</v>
      </c>
      <c r="L1" s="224"/>
      <c r="M1" s="224"/>
      <c r="N1" s="219"/>
    </row>
    <row r="2" spans="1:14" ht="14.25" customHeight="1" thickBot="1" x14ac:dyDescent="0.35">
      <c r="A2" s="227"/>
      <c r="B2" s="224"/>
      <c r="C2" s="224"/>
      <c r="D2" s="224"/>
      <c r="E2" s="224"/>
      <c r="F2" s="224"/>
      <c r="G2" s="224"/>
      <c r="H2" s="224"/>
      <c r="I2" s="219"/>
      <c r="K2" s="1"/>
      <c r="L2" s="2"/>
      <c r="M2" s="2"/>
      <c r="N2" s="3"/>
    </row>
    <row r="3" spans="1:14" ht="14.25" customHeight="1" thickBot="1" x14ac:dyDescent="0.35">
      <c r="A3" s="4" t="s">
        <v>2</v>
      </c>
      <c r="B3" s="231">
        <v>1</v>
      </c>
      <c r="C3" s="224"/>
      <c r="D3" s="219"/>
      <c r="E3" s="40" t="s">
        <v>3</v>
      </c>
      <c r="F3" s="231">
        <v>1</v>
      </c>
      <c r="G3" s="224"/>
      <c r="H3" s="224"/>
      <c r="I3" s="219"/>
      <c r="K3" s="1"/>
      <c r="L3" s="2"/>
      <c r="M3" s="2"/>
      <c r="N3" s="3"/>
    </row>
    <row r="4" spans="1:14" ht="14.25" customHeight="1" thickBot="1" x14ac:dyDescent="0.35">
      <c r="A4" s="4" t="s">
        <v>4</v>
      </c>
      <c r="B4" s="231">
        <v>1</v>
      </c>
      <c r="C4" s="224"/>
      <c r="D4" s="219"/>
      <c r="E4" s="40" t="s">
        <v>5</v>
      </c>
      <c r="F4" s="223" t="s">
        <v>93</v>
      </c>
      <c r="G4" s="224"/>
      <c r="H4" s="224"/>
      <c r="I4" s="219"/>
      <c r="K4" s="1"/>
      <c r="L4" s="2"/>
      <c r="M4" s="2"/>
      <c r="N4" s="3"/>
    </row>
    <row r="5" spans="1:14" ht="14.25" customHeight="1" thickBot="1" x14ac:dyDescent="0.35">
      <c r="A5" s="4" t="s">
        <v>6</v>
      </c>
      <c r="B5" s="223" t="s">
        <v>339</v>
      </c>
      <c r="C5" s="224"/>
      <c r="D5" s="219"/>
      <c r="E5" s="40" t="s">
        <v>7</v>
      </c>
      <c r="F5" s="210" t="s">
        <v>94</v>
      </c>
      <c r="G5" s="202"/>
      <c r="H5" s="202"/>
      <c r="I5" s="203"/>
      <c r="K5" s="1"/>
      <c r="L5" s="2"/>
      <c r="M5" s="2"/>
      <c r="N5" s="3"/>
    </row>
    <row r="6" spans="1:14" ht="14.25" customHeight="1" thickBot="1" x14ac:dyDescent="0.35">
      <c r="A6" s="223"/>
      <c r="B6" s="224"/>
      <c r="C6" s="224"/>
      <c r="D6" s="219"/>
      <c r="E6" s="225" t="s">
        <v>8</v>
      </c>
      <c r="F6" s="41" t="s">
        <v>9</v>
      </c>
      <c r="G6" s="227"/>
      <c r="H6" s="224"/>
      <c r="I6" s="5" t="s">
        <v>10</v>
      </c>
      <c r="K6" s="1"/>
      <c r="L6" s="2"/>
      <c r="M6" s="2"/>
      <c r="N6" s="3"/>
    </row>
    <row r="7" spans="1:14" ht="14.25" customHeight="1" thickBot="1" x14ac:dyDescent="0.35">
      <c r="A7" s="4" t="s">
        <v>11</v>
      </c>
      <c r="B7" s="223" t="s">
        <v>95</v>
      </c>
      <c r="C7" s="224"/>
      <c r="D7" s="219"/>
      <c r="E7" s="226"/>
      <c r="F7" s="41" t="s">
        <v>12</v>
      </c>
      <c r="G7" s="227">
        <v>6.5</v>
      </c>
      <c r="H7" s="224"/>
      <c r="I7" s="5" t="s">
        <v>10</v>
      </c>
      <c r="K7" s="1"/>
      <c r="L7" s="2"/>
      <c r="M7" s="2"/>
      <c r="N7" s="3"/>
    </row>
    <row r="8" spans="1:14" ht="14.25" customHeight="1" thickBot="1" x14ac:dyDescent="0.35">
      <c r="A8" s="4" t="s">
        <v>13</v>
      </c>
      <c r="B8" s="228" t="s">
        <v>340</v>
      </c>
      <c r="C8" s="224"/>
      <c r="D8" s="219"/>
      <c r="E8" s="221"/>
      <c r="F8" s="41" t="s">
        <v>14</v>
      </c>
      <c r="G8" s="227">
        <v>15</v>
      </c>
      <c r="H8" s="224"/>
      <c r="I8" s="5" t="s">
        <v>10</v>
      </c>
      <c r="K8" s="6"/>
      <c r="L8" s="7"/>
      <c r="M8" s="7"/>
      <c r="N8" s="42"/>
    </row>
    <row r="9" spans="1:14" ht="14.25" customHeight="1" thickBot="1" x14ac:dyDescent="0.35">
      <c r="A9" s="227"/>
      <c r="B9" s="224"/>
      <c r="C9" s="224"/>
      <c r="D9" s="224"/>
      <c r="E9" s="224"/>
      <c r="F9" s="224"/>
      <c r="G9" s="224"/>
      <c r="H9" s="224"/>
      <c r="I9" s="219"/>
    </row>
    <row r="10" spans="1:14" ht="14.25" customHeight="1" thickBot="1" x14ac:dyDescent="0.35">
      <c r="A10" s="229" t="s">
        <v>15</v>
      </c>
      <c r="B10" s="225" t="s">
        <v>16</v>
      </c>
      <c r="C10" s="225" t="s">
        <v>17</v>
      </c>
      <c r="D10" s="218" t="s">
        <v>18</v>
      </c>
      <c r="E10" s="219"/>
      <c r="F10" s="220" t="s">
        <v>19</v>
      </c>
      <c r="G10" s="222" t="s">
        <v>20</v>
      </c>
      <c r="H10" s="222" t="s">
        <v>21</v>
      </c>
      <c r="I10" s="222" t="s">
        <v>22</v>
      </c>
    </row>
    <row r="11" spans="1:14" ht="14.25" customHeight="1" thickBot="1" x14ac:dyDescent="0.35">
      <c r="A11" s="221"/>
      <c r="B11" s="221"/>
      <c r="C11" s="221"/>
      <c r="D11" s="40" t="s">
        <v>23</v>
      </c>
      <c r="E11" s="40" t="s">
        <v>24</v>
      </c>
      <c r="F11" s="221"/>
      <c r="G11" s="221"/>
      <c r="H11" s="221"/>
      <c r="I11" s="221"/>
    </row>
    <row r="12" spans="1:14" ht="14.25" customHeight="1" thickBot="1" x14ac:dyDescent="0.35">
      <c r="A12" s="8">
        <v>1</v>
      </c>
      <c r="B12" s="41" t="s">
        <v>97</v>
      </c>
      <c r="C12" s="62" t="s">
        <v>98</v>
      </c>
      <c r="D12" s="62" t="s">
        <v>99</v>
      </c>
      <c r="E12" s="62" t="s">
        <v>100</v>
      </c>
      <c r="F12" s="69" t="s">
        <v>100</v>
      </c>
      <c r="G12" s="70">
        <v>0</v>
      </c>
      <c r="H12" s="71">
        <v>0</v>
      </c>
      <c r="I12" s="71">
        <f>G12+H12</f>
        <v>0</v>
      </c>
    </row>
    <row r="13" spans="1:14" ht="14.25" customHeight="1" thickBot="1" x14ac:dyDescent="0.35">
      <c r="A13" s="8">
        <v>2</v>
      </c>
      <c r="B13" s="130" t="s">
        <v>342</v>
      </c>
      <c r="C13" s="46" t="s">
        <v>105</v>
      </c>
      <c r="D13" s="40">
        <v>1</v>
      </c>
      <c r="E13" s="129" t="s">
        <v>106</v>
      </c>
      <c r="F13" s="40" t="s">
        <v>366</v>
      </c>
      <c r="G13" s="44">
        <v>180</v>
      </c>
      <c r="H13" s="45">
        <f>'Perhitungan LRP Bush'!J22</f>
        <v>0.32550003435833696</v>
      </c>
      <c r="I13" s="71">
        <f>G13+H13</f>
        <v>180.32550003435833</v>
      </c>
    </row>
    <row r="14" spans="1:14" ht="14.25" customHeight="1" thickBot="1" x14ac:dyDescent="0.35">
      <c r="A14" s="8">
        <v>3</v>
      </c>
      <c r="B14" s="130" t="s">
        <v>343</v>
      </c>
      <c r="C14" s="46" t="s">
        <v>105</v>
      </c>
      <c r="D14" s="40">
        <v>1</v>
      </c>
      <c r="E14" s="129" t="s">
        <v>106</v>
      </c>
      <c r="F14" s="40" t="s">
        <v>338</v>
      </c>
      <c r="G14" s="44">
        <v>60</v>
      </c>
      <c r="H14" s="45">
        <f>'Perhitungan LRP Bush'!J23</f>
        <v>0.24606299212598426</v>
      </c>
      <c r="I14" s="71">
        <f t="shared" ref="I14:I16" si="0">G14+H14</f>
        <v>60.246062992125985</v>
      </c>
    </row>
    <row r="15" spans="1:14" ht="14.25" customHeight="1" thickBot="1" x14ac:dyDescent="0.35">
      <c r="A15" s="8">
        <v>4</v>
      </c>
      <c r="B15" s="130" t="s">
        <v>108</v>
      </c>
      <c r="C15" s="46" t="s">
        <v>98</v>
      </c>
      <c r="D15" s="40"/>
      <c r="E15" s="129"/>
      <c r="F15" s="40" t="s">
        <v>109</v>
      </c>
      <c r="G15" s="44">
        <v>0</v>
      </c>
      <c r="H15" s="45">
        <v>120</v>
      </c>
      <c r="I15" s="71">
        <f t="shared" si="0"/>
        <v>120</v>
      </c>
    </row>
    <row r="16" spans="1:14" ht="14.25" customHeight="1" thickBot="1" x14ac:dyDescent="0.35">
      <c r="A16" s="8">
        <v>5</v>
      </c>
      <c r="B16" s="130" t="s">
        <v>110</v>
      </c>
      <c r="C16" s="46" t="s">
        <v>98</v>
      </c>
      <c r="D16" s="40"/>
      <c r="E16" s="129"/>
      <c r="F16" s="40" t="s">
        <v>100</v>
      </c>
      <c r="G16" s="44">
        <v>0</v>
      </c>
      <c r="H16" s="10">
        <v>0</v>
      </c>
      <c r="I16" s="71">
        <f t="shared" si="0"/>
        <v>0</v>
      </c>
    </row>
    <row r="17" spans="8:9" ht="14.25" customHeight="1" thickBot="1" x14ac:dyDescent="0.35">
      <c r="H17" s="16" t="s">
        <v>27</v>
      </c>
      <c r="I17" s="16">
        <f>SUM(I12:I16)</f>
        <v>360.57156302648434</v>
      </c>
    </row>
    <row r="18" spans="8:9" ht="14.25" customHeight="1" x14ac:dyDescent="0.3"/>
    <row r="19" spans="8:9" ht="14.25" customHeight="1" x14ac:dyDescent="0.3"/>
    <row r="20" spans="8:9" ht="14.25" customHeight="1" x14ac:dyDescent="0.3"/>
    <row r="21" spans="8:9" ht="14.25" customHeight="1" x14ac:dyDescent="0.3"/>
    <row r="22" spans="8:9" ht="14.25" customHeight="1" x14ac:dyDescent="0.3"/>
    <row r="23" spans="8:9" ht="14.25" customHeight="1" x14ac:dyDescent="0.3"/>
    <row r="24" spans="8:9" ht="14.25" customHeight="1" x14ac:dyDescent="0.3"/>
    <row r="25" spans="8:9" ht="14.25" customHeight="1" x14ac:dyDescent="0.3"/>
    <row r="26" spans="8:9" ht="14.25" customHeight="1" x14ac:dyDescent="0.3"/>
    <row r="27" spans="8:9" ht="14.25" customHeight="1" x14ac:dyDescent="0.3"/>
    <row r="28" spans="8:9" ht="14.25" customHeight="1" x14ac:dyDescent="0.3"/>
    <row r="29" spans="8:9" ht="14.25" customHeight="1" x14ac:dyDescent="0.3"/>
    <row r="30" spans="8:9" ht="14.25" customHeight="1" x14ac:dyDescent="0.3"/>
    <row r="31" spans="8:9" ht="14.25" customHeight="1" x14ac:dyDescent="0.3"/>
    <row r="32" spans="8:9"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sheetData>
  <mergeCells count="24">
    <mergeCell ref="A9:I9"/>
    <mergeCell ref="A10:A11"/>
    <mergeCell ref="B10:B11"/>
    <mergeCell ref="C10:C11"/>
    <mergeCell ref="D10:E10"/>
    <mergeCell ref="F10:F11"/>
    <mergeCell ref="G10:G11"/>
    <mergeCell ref="H10:H11"/>
    <mergeCell ref="I10:I11"/>
    <mergeCell ref="B5:D5"/>
    <mergeCell ref="F5:I5"/>
    <mergeCell ref="A6:D6"/>
    <mergeCell ref="E6:E8"/>
    <mergeCell ref="G6:H6"/>
    <mergeCell ref="B7:D7"/>
    <mergeCell ref="G7:H7"/>
    <mergeCell ref="B8:D8"/>
    <mergeCell ref="G8:H8"/>
    <mergeCell ref="K1:N1"/>
    <mergeCell ref="A2:I2"/>
    <mergeCell ref="B3:D3"/>
    <mergeCell ref="F3:I3"/>
    <mergeCell ref="B4:D4"/>
    <mergeCell ref="F4:I4"/>
  </mergeCells>
  <pageMargins left="0.7" right="0.7" top="0.75" bottom="0.75" header="0" footer="0"/>
  <pageSetup orientation="landscape"/>
  <drawing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E7F17-754E-47E9-BFF3-DE451E26D9E2}">
  <dimension ref="A1:AL989"/>
  <sheetViews>
    <sheetView zoomScale="66" zoomScaleNormal="40" workbookViewId="0">
      <selection activeCell="L28" sqref="L28"/>
    </sheetView>
  </sheetViews>
  <sheetFormatPr defaultColWidth="14.44140625" defaultRowHeight="15" customHeight="1" x14ac:dyDescent="0.3"/>
  <cols>
    <col min="1" max="1" width="15" customWidth="1"/>
    <col min="2" max="2" width="60.5546875" customWidth="1"/>
    <col min="3" max="3" width="10.21875" customWidth="1"/>
    <col min="4" max="4" width="9" customWidth="1"/>
    <col min="5" max="5" width="10.44140625" customWidth="1"/>
    <col min="6" max="7" width="12.5546875" customWidth="1"/>
    <col min="8" max="8" width="11.5546875" customWidth="1"/>
    <col min="9" max="9" width="9.44140625" customWidth="1"/>
    <col min="10" max="10" width="11.77734375" customWidth="1"/>
    <col min="12" max="12" width="17.21875" bestFit="1" customWidth="1"/>
    <col min="14" max="14" width="17.21875" bestFit="1" customWidth="1"/>
    <col min="15" max="15" width="17.77734375" customWidth="1"/>
    <col min="16" max="16" width="15.21875" customWidth="1"/>
    <col min="17" max="17" width="18.44140625" customWidth="1"/>
    <col min="18" max="18" width="17.77734375" customWidth="1"/>
    <col min="19" max="19" width="18.44140625" customWidth="1"/>
    <col min="20" max="20" width="20.21875" customWidth="1"/>
    <col min="21" max="40" width="8.77734375" customWidth="1"/>
  </cols>
  <sheetData>
    <row r="1" spans="1:38" ht="14.25" customHeight="1" x14ac:dyDescent="0.3">
      <c r="A1" s="235" t="s">
        <v>28</v>
      </c>
      <c r="B1" s="236"/>
      <c r="C1" s="236"/>
      <c r="D1" s="236"/>
      <c r="E1" s="236"/>
      <c r="F1" s="236"/>
      <c r="G1" s="236"/>
      <c r="H1" s="236"/>
      <c r="I1" s="236"/>
      <c r="J1" s="236"/>
      <c r="K1" s="236"/>
      <c r="L1" s="236"/>
      <c r="M1" s="236"/>
      <c r="N1" s="236"/>
      <c r="O1" s="236"/>
      <c r="P1" s="236"/>
      <c r="Q1" s="236"/>
      <c r="R1" s="237"/>
      <c r="T1" s="234" t="s">
        <v>29</v>
      </c>
      <c r="U1" s="233"/>
      <c r="V1" s="233"/>
      <c r="W1" s="233"/>
      <c r="X1" s="233"/>
      <c r="Y1" s="233"/>
      <c r="Z1" s="233"/>
      <c r="AA1" s="233"/>
      <c r="AB1" s="233"/>
      <c r="AC1" s="233"/>
      <c r="AE1" s="234" t="s">
        <v>30</v>
      </c>
      <c r="AF1" s="233"/>
      <c r="AG1" s="233"/>
      <c r="AH1" s="233"/>
      <c r="AI1" s="233"/>
      <c r="AJ1" s="233"/>
      <c r="AK1" s="233"/>
      <c r="AL1" s="233"/>
    </row>
    <row r="2" spans="1:38" ht="14.25" customHeight="1" x14ac:dyDescent="0.3">
      <c r="A2" s="238"/>
      <c r="B2" s="239"/>
      <c r="C2" s="239"/>
      <c r="D2" s="239"/>
      <c r="E2" s="239"/>
      <c r="F2" s="239"/>
      <c r="G2" s="239"/>
      <c r="H2" s="239"/>
      <c r="I2" s="239"/>
      <c r="J2" s="239"/>
      <c r="K2" s="239"/>
      <c r="L2" s="239"/>
      <c r="M2" s="239"/>
      <c r="N2" s="239"/>
      <c r="O2" s="239"/>
      <c r="P2" s="239"/>
      <c r="Q2" s="239"/>
      <c r="R2" s="240"/>
      <c r="T2" s="233"/>
      <c r="U2" s="233"/>
      <c r="V2" s="233"/>
      <c r="W2" s="233"/>
      <c r="X2" s="233"/>
      <c r="Y2" s="233"/>
      <c r="Z2" s="233"/>
      <c r="AA2" s="233"/>
      <c r="AB2" s="233"/>
      <c r="AC2" s="233"/>
      <c r="AE2" s="233"/>
      <c r="AF2" s="233"/>
      <c r="AG2" s="233"/>
      <c r="AH2" s="233"/>
      <c r="AI2" s="233"/>
      <c r="AJ2" s="233"/>
      <c r="AK2" s="233"/>
      <c r="AL2" s="233"/>
    </row>
    <row r="3" spans="1:38" ht="14.25" customHeight="1" x14ac:dyDescent="0.3"/>
    <row r="4" spans="1:38" ht="14.25" customHeight="1" x14ac:dyDescent="0.3"/>
    <row r="5" spans="1:38" ht="14.25" customHeight="1" x14ac:dyDescent="0.3">
      <c r="A5" s="241" t="s">
        <v>31</v>
      </c>
      <c r="B5" s="242"/>
    </row>
    <row r="6" spans="1:38" ht="14.25" customHeight="1" x14ac:dyDescent="0.3">
      <c r="A6" s="20" t="s">
        <v>15</v>
      </c>
      <c r="B6" s="20" t="s">
        <v>32</v>
      </c>
      <c r="C6" s="21" t="s">
        <v>33</v>
      </c>
      <c r="D6" s="21" t="s">
        <v>34</v>
      </c>
      <c r="E6" s="21" t="s">
        <v>35</v>
      </c>
      <c r="F6" s="21" t="s">
        <v>36</v>
      </c>
      <c r="G6" s="21" t="s">
        <v>37</v>
      </c>
      <c r="H6" s="21" t="s">
        <v>38</v>
      </c>
      <c r="I6" s="21" t="s">
        <v>39</v>
      </c>
      <c r="J6" s="21" t="s">
        <v>40</v>
      </c>
      <c r="K6" s="21" t="s">
        <v>41</v>
      </c>
      <c r="L6" s="21" t="s">
        <v>42</v>
      </c>
      <c r="M6" s="21" t="s">
        <v>43</v>
      </c>
      <c r="N6" s="21" t="s">
        <v>44</v>
      </c>
      <c r="O6" s="21" t="s">
        <v>45</v>
      </c>
      <c r="P6" s="21" t="s">
        <v>46</v>
      </c>
      <c r="Q6" s="21" t="s">
        <v>47</v>
      </c>
    </row>
    <row r="7" spans="1:38" ht="14.25" customHeight="1" thickBot="1" x14ac:dyDescent="0.35">
      <c r="A7" s="8"/>
      <c r="B7" s="155"/>
      <c r="C7" s="22"/>
      <c r="D7" s="23"/>
      <c r="E7" s="23"/>
      <c r="F7" s="22"/>
      <c r="G7" s="22"/>
      <c r="H7" s="22"/>
      <c r="I7" s="22"/>
      <c r="J7" s="22"/>
      <c r="K7" s="22"/>
      <c r="L7" s="22"/>
      <c r="M7" s="22"/>
      <c r="N7" s="22"/>
      <c r="O7" s="22"/>
      <c r="P7" s="27"/>
      <c r="Q7" s="22"/>
    </row>
    <row r="8" spans="1:38" ht="13.2" customHeight="1" thickBot="1" x14ac:dyDescent="0.35">
      <c r="A8" s="8"/>
      <c r="B8" s="155"/>
      <c r="C8" s="22"/>
      <c r="D8" s="22"/>
      <c r="E8" s="22"/>
      <c r="F8" s="22"/>
      <c r="G8" s="22"/>
      <c r="H8" s="22"/>
      <c r="I8" s="22"/>
      <c r="J8" s="22"/>
      <c r="K8" s="22"/>
      <c r="L8" s="22"/>
      <c r="M8" s="22"/>
      <c r="N8" s="22"/>
      <c r="O8" s="22"/>
      <c r="P8" s="27"/>
      <c r="Q8" s="22"/>
    </row>
    <row r="9" spans="1:38" ht="13.2" customHeight="1" thickBot="1" x14ac:dyDescent="0.35">
      <c r="A9" s="8"/>
      <c r="B9" s="155"/>
      <c r="C9" s="22"/>
      <c r="D9" s="23"/>
      <c r="E9" s="23"/>
      <c r="F9" s="22"/>
      <c r="G9" s="22"/>
      <c r="H9" s="22"/>
      <c r="I9" s="22"/>
      <c r="J9" s="22"/>
      <c r="K9" s="22"/>
      <c r="L9" s="22"/>
      <c r="M9" s="22"/>
      <c r="N9" s="22"/>
      <c r="O9" s="22"/>
      <c r="P9" s="27"/>
      <c r="Q9" s="22"/>
    </row>
    <row r="10" spans="1:38" ht="13.2" customHeight="1" thickBot="1" x14ac:dyDescent="0.35">
      <c r="A10" s="8"/>
      <c r="B10" s="155"/>
      <c r="C10" s="22"/>
      <c r="D10" s="22"/>
      <c r="E10" s="22"/>
      <c r="F10" s="22"/>
      <c r="G10" s="22"/>
      <c r="H10" s="22"/>
      <c r="I10" s="22"/>
      <c r="J10" s="22"/>
      <c r="K10" s="22"/>
      <c r="L10" s="22"/>
      <c r="M10" s="22"/>
      <c r="N10" s="22"/>
      <c r="O10" s="22"/>
      <c r="P10" s="27"/>
      <c r="Q10" s="22"/>
    </row>
    <row r="11" spans="1:38" ht="14.25" customHeight="1" x14ac:dyDescent="0.3"/>
    <row r="12" spans="1:38" ht="14.25" customHeight="1" x14ac:dyDescent="0.3">
      <c r="A12" s="241" t="s">
        <v>30</v>
      </c>
      <c r="B12" s="242"/>
    </row>
    <row r="13" spans="1:38" ht="14.25" customHeight="1" x14ac:dyDescent="0.3">
      <c r="A13" s="20" t="s">
        <v>15</v>
      </c>
      <c r="B13" s="20" t="s">
        <v>32</v>
      </c>
      <c r="C13" s="21" t="s">
        <v>49</v>
      </c>
      <c r="D13" s="21" t="s">
        <v>50</v>
      </c>
      <c r="E13" s="21" t="s">
        <v>34</v>
      </c>
      <c r="F13" s="21" t="s">
        <v>51</v>
      </c>
      <c r="G13" s="21" t="s">
        <v>35</v>
      </c>
      <c r="H13" s="21" t="s">
        <v>52</v>
      </c>
      <c r="I13" s="21" t="s">
        <v>36</v>
      </c>
      <c r="J13" s="21" t="s">
        <v>37</v>
      </c>
      <c r="K13" s="21" t="s">
        <v>38</v>
      </c>
      <c r="L13" s="21" t="s">
        <v>41</v>
      </c>
      <c r="M13" s="21" t="s">
        <v>42</v>
      </c>
      <c r="N13" s="21" t="s">
        <v>53</v>
      </c>
      <c r="O13" s="21" t="s">
        <v>44</v>
      </c>
      <c r="P13" s="21" t="s">
        <v>45</v>
      </c>
      <c r="Q13" s="21" t="s">
        <v>54</v>
      </c>
      <c r="R13" s="21" t="s">
        <v>47</v>
      </c>
    </row>
    <row r="14" spans="1:38" ht="14.25" customHeight="1" thickBot="1" x14ac:dyDescent="0.35">
      <c r="A14" s="8"/>
      <c r="B14" s="130"/>
      <c r="C14" s="27"/>
      <c r="D14" s="27"/>
      <c r="E14" s="27"/>
      <c r="F14" s="27"/>
      <c r="G14" s="27"/>
      <c r="H14" s="27"/>
      <c r="I14" s="27"/>
      <c r="J14" s="27"/>
      <c r="K14" s="27"/>
      <c r="L14" s="27"/>
      <c r="M14" s="27"/>
      <c r="N14" s="27"/>
      <c r="O14" s="27"/>
      <c r="P14" s="27"/>
      <c r="Q14" s="27"/>
      <c r="R14" s="27"/>
    </row>
    <row r="15" spans="1:38" ht="14.25" customHeight="1" thickBot="1" x14ac:dyDescent="0.35">
      <c r="A15" s="8"/>
      <c r="B15" s="130"/>
      <c r="D15" s="27"/>
      <c r="E15" s="27"/>
      <c r="F15" s="27"/>
      <c r="G15" s="27"/>
      <c r="H15" s="27"/>
      <c r="I15" s="27"/>
      <c r="J15" s="27"/>
      <c r="K15" s="27"/>
      <c r="L15" s="27"/>
      <c r="M15" s="27"/>
      <c r="N15" s="27"/>
      <c r="O15" s="27"/>
      <c r="P15" s="27"/>
      <c r="Q15" s="27"/>
      <c r="R15" s="27"/>
    </row>
    <row r="16" spans="1:38" ht="14.25" customHeight="1" thickBot="1" x14ac:dyDescent="0.35">
      <c r="A16" s="8"/>
      <c r="B16" s="130"/>
      <c r="C16" s="27"/>
      <c r="D16" s="27"/>
      <c r="E16" s="27"/>
      <c r="F16" s="27"/>
      <c r="G16" s="27"/>
      <c r="H16" s="27"/>
      <c r="I16" s="27"/>
      <c r="J16" s="27"/>
      <c r="K16" s="27"/>
      <c r="L16" s="27"/>
      <c r="M16" s="27"/>
      <c r="N16" s="27"/>
      <c r="O16" s="27"/>
      <c r="P16" s="27"/>
      <c r="Q16" s="27"/>
      <c r="R16" s="27"/>
    </row>
    <row r="17" spans="1:18" ht="14.25" customHeight="1" thickBot="1" x14ac:dyDescent="0.35">
      <c r="A17" s="8"/>
      <c r="B17" s="130"/>
      <c r="C17" s="27"/>
      <c r="D17" s="27"/>
      <c r="E17" s="27"/>
      <c r="F17" s="27"/>
      <c r="G17" s="27"/>
      <c r="H17" s="27"/>
      <c r="I17" s="27"/>
      <c r="J17" s="27"/>
      <c r="K17" s="27"/>
      <c r="L17" s="27"/>
      <c r="M17" s="27"/>
      <c r="N17" s="27"/>
      <c r="O17" s="27"/>
      <c r="P17" s="27"/>
      <c r="Q17" s="27"/>
      <c r="R17" s="27"/>
    </row>
    <row r="18" spans="1:18" ht="14.25" customHeight="1" thickBot="1" x14ac:dyDescent="0.35">
      <c r="A18" s="8"/>
      <c r="B18" s="130"/>
      <c r="C18" s="27"/>
      <c r="D18" s="27"/>
      <c r="E18" s="27"/>
      <c r="F18" s="27"/>
      <c r="G18" s="27"/>
      <c r="H18" s="27"/>
      <c r="I18" s="27"/>
      <c r="J18" s="27"/>
      <c r="K18" s="27"/>
      <c r="L18" s="27"/>
      <c r="M18" s="27"/>
      <c r="N18" s="27"/>
      <c r="O18" s="27"/>
      <c r="P18" s="27"/>
      <c r="Q18" s="27"/>
      <c r="R18" s="27"/>
    </row>
    <row r="19" spans="1:18" ht="14.25" customHeight="1" x14ac:dyDescent="0.3">
      <c r="A19" s="191"/>
      <c r="B19" s="192"/>
      <c r="C19" s="193"/>
      <c r="D19" s="193"/>
      <c r="E19" s="193"/>
      <c r="F19" s="193"/>
      <c r="G19" s="193"/>
      <c r="H19" s="193"/>
      <c r="I19" s="193"/>
      <c r="J19" s="193"/>
      <c r="K19" s="193"/>
      <c r="L19" s="193"/>
      <c r="M19" s="193"/>
      <c r="N19" s="193"/>
      <c r="O19" s="193"/>
      <c r="P19" s="193"/>
      <c r="Q19" s="193"/>
      <c r="R19" s="193"/>
    </row>
    <row r="20" spans="1:18" ht="14.25" customHeight="1" x14ac:dyDescent="0.3">
      <c r="A20" s="243" t="s">
        <v>56</v>
      </c>
      <c r="B20" s="240"/>
      <c r="C20" s="53"/>
      <c r="D20" s="53"/>
      <c r="E20" s="53"/>
      <c r="F20" s="53"/>
      <c r="G20" s="53"/>
      <c r="H20" s="53"/>
      <c r="I20" s="53"/>
      <c r="J20" s="53"/>
      <c r="K20" s="53"/>
      <c r="L20" s="53"/>
      <c r="M20" s="53"/>
      <c r="N20" s="53"/>
      <c r="O20" s="53"/>
      <c r="P20" s="53"/>
      <c r="Q20" s="53"/>
      <c r="R20" s="53"/>
    </row>
    <row r="21" spans="1:18" ht="14.25" customHeight="1" x14ac:dyDescent="0.3">
      <c r="A21" s="20" t="s">
        <v>15</v>
      </c>
      <c r="B21" s="20" t="s">
        <v>32</v>
      </c>
      <c r="C21" s="21" t="s">
        <v>33</v>
      </c>
      <c r="D21" s="21" t="s">
        <v>34</v>
      </c>
      <c r="E21" s="21" t="s">
        <v>52</v>
      </c>
      <c r="F21" s="21" t="s">
        <v>57</v>
      </c>
      <c r="G21" s="21" t="s">
        <v>37</v>
      </c>
      <c r="H21" s="21" t="s">
        <v>38</v>
      </c>
      <c r="I21" s="21" t="s">
        <v>41</v>
      </c>
      <c r="J21" s="21" t="s">
        <v>42</v>
      </c>
      <c r="K21" s="21" t="s">
        <v>43</v>
      </c>
      <c r="L21" s="21" t="s">
        <v>44</v>
      </c>
      <c r="M21" s="21" t="s">
        <v>45</v>
      </c>
      <c r="N21" s="21" t="s">
        <v>54</v>
      </c>
      <c r="O21" s="21" t="s">
        <v>47</v>
      </c>
    </row>
    <row r="22" spans="1:18" ht="14.25" customHeight="1" thickBot="1" x14ac:dyDescent="0.35">
      <c r="A22" s="8">
        <v>2</v>
      </c>
      <c r="B22" s="41" t="str">
        <f>'LRP Bush'!B13</f>
        <v>Center Drill (D=4,5 mm, d=3,689 mm) (center)</v>
      </c>
      <c r="C22" s="27">
        <v>4.5</v>
      </c>
      <c r="D22" s="27">
        <v>3.6890000000000001</v>
      </c>
      <c r="E22" s="27">
        <f>F22/G22</f>
        <v>8.6360541384695483E-2</v>
      </c>
      <c r="F22" s="27">
        <v>829.49300000000005</v>
      </c>
      <c r="G22" s="27">
        <v>9605</v>
      </c>
      <c r="H22" s="27">
        <v>829.49300000000005</v>
      </c>
      <c r="I22" s="27">
        <f>C22/F22</f>
        <v>5.4250005726389494E-3</v>
      </c>
      <c r="J22" s="27">
        <f>I22*60</f>
        <v>0.32550003435833696</v>
      </c>
      <c r="K22" s="27">
        <f>(((22/7)*(C22)^2)/4)*F22</f>
        <v>13197.826125</v>
      </c>
      <c r="L22" s="27">
        <f>3.14*(6.5/2)^2*15</f>
        <v>497.49374999999998</v>
      </c>
      <c r="M22" s="27">
        <f>I22*K22</f>
        <v>71.598214285714278</v>
      </c>
      <c r="N22" s="27">
        <f>M22/L22</f>
        <v>0.14391781662727277</v>
      </c>
      <c r="O22" s="27">
        <f>L22-M22</f>
        <v>425.8955357142857</v>
      </c>
    </row>
    <row r="23" spans="1:18" ht="14.25" customHeight="1" thickBot="1" x14ac:dyDescent="0.35">
      <c r="A23" s="8">
        <v>3</v>
      </c>
      <c r="B23" s="41" t="str">
        <f>'LRP Bush'!B14</f>
        <v>Drilling (D=4,5 mm, d=15 mm) (center)</v>
      </c>
      <c r="C23" s="27">
        <v>4.5</v>
      </c>
      <c r="D23" s="27">
        <v>15</v>
      </c>
      <c r="E23" s="27">
        <f>F23/G23</f>
        <v>9.1439999999999994E-2</v>
      </c>
      <c r="F23" s="27">
        <v>1097.28</v>
      </c>
      <c r="G23" s="27">
        <v>12000</v>
      </c>
      <c r="H23" s="27">
        <v>1097.28</v>
      </c>
      <c r="I23" s="27">
        <f>C23/F23</f>
        <v>4.1010498687664041E-3</v>
      </c>
      <c r="J23" s="27">
        <f>I23*60</f>
        <v>0.24606299212598426</v>
      </c>
      <c r="K23" s="27">
        <f>(((22/7)*(C23)^2)/4)*F23</f>
        <v>17458.508571428571</v>
      </c>
      <c r="L23" s="27">
        <f>O22</f>
        <v>425.8955357142857</v>
      </c>
      <c r="M23" s="27">
        <f>I23*K23</f>
        <v>71.598214285714278</v>
      </c>
      <c r="N23" s="27">
        <f>M23/L23</f>
        <v>0.16811215023804879</v>
      </c>
      <c r="O23" s="27">
        <f>L23-M23</f>
        <v>354.29732142857142</v>
      </c>
    </row>
    <row r="24" spans="1:18" ht="14.25" customHeight="1" x14ac:dyDescent="0.3">
      <c r="A24" s="191"/>
      <c r="B24" s="192"/>
      <c r="C24" s="193"/>
      <c r="D24" s="193"/>
      <c r="E24" s="193"/>
      <c r="F24" s="193"/>
      <c r="G24" s="193"/>
      <c r="H24" s="193"/>
      <c r="I24" s="193"/>
      <c r="J24" s="193"/>
      <c r="K24" s="193"/>
      <c r="L24" s="193"/>
      <c r="M24" s="193"/>
      <c r="N24" s="193"/>
      <c r="O24" s="193"/>
    </row>
    <row r="25" spans="1:18" ht="14.25" customHeight="1" x14ac:dyDescent="0.3">
      <c r="A25" s="245" t="s">
        <v>70</v>
      </c>
      <c r="B25" s="246"/>
      <c r="C25" s="57"/>
      <c r="D25" s="57"/>
      <c r="E25" s="57"/>
      <c r="F25" s="57"/>
      <c r="G25" s="57"/>
      <c r="H25" s="57"/>
      <c r="I25" s="57"/>
      <c r="J25" s="193"/>
      <c r="K25" s="193"/>
      <c r="L25" s="193"/>
      <c r="M25" s="193"/>
      <c r="N25" s="193"/>
      <c r="O25" s="193"/>
    </row>
    <row r="26" spans="1:18" ht="14.25" customHeight="1" x14ac:dyDescent="0.3">
      <c r="A26" s="76" t="s">
        <v>15</v>
      </c>
      <c r="B26" s="76" t="s">
        <v>32</v>
      </c>
      <c r="C26" s="77" t="s">
        <v>40</v>
      </c>
      <c r="D26" s="77" t="s">
        <v>60</v>
      </c>
      <c r="E26" s="77" t="s">
        <v>71</v>
      </c>
      <c r="F26" s="77" t="s">
        <v>72</v>
      </c>
      <c r="G26" s="77" t="s">
        <v>45</v>
      </c>
      <c r="H26" s="77" t="s">
        <v>54</v>
      </c>
      <c r="I26" s="77" t="s">
        <v>47</v>
      </c>
    </row>
    <row r="27" spans="1:18" ht="14.25" customHeight="1" x14ac:dyDescent="0.3">
      <c r="A27" s="115"/>
      <c r="B27" s="197"/>
      <c r="C27" s="120"/>
      <c r="D27" s="120"/>
      <c r="E27" s="120"/>
      <c r="F27" s="120"/>
      <c r="G27" s="120"/>
      <c r="H27" s="196"/>
      <c r="I27" s="120"/>
    </row>
    <row r="28" spans="1:18" ht="14.25" customHeight="1" x14ac:dyDescent="0.3"/>
    <row r="29" spans="1:18" ht="19.5" customHeight="1" x14ac:dyDescent="0.3">
      <c r="A29" s="234" t="s">
        <v>74</v>
      </c>
      <c r="B29" s="233"/>
      <c r="C29" s="233"/>
      <c r="D29" s="233"/>
      <c r="E29" s="233"/>
      <c r="F29" s="233"/>
      <c r="G29" s="233"/>
      <c r="H29" s="233"/>
      <c r="I29" s="233"/>
      <c r="J29" s="233"/>
      <c r="K29" s="233"/>
      <c r="L29" s="233"/>
      <c r="M29" s="233"/>
      <c r="N29" s="233"/>
    </row>
    <row r="30" spans="1:18" ht="14.25" customHeight="1" x14ac:dyDescent="0.3">
      <c r="A30" s="19"/>
      <c r="B30" s="19"/>
      <c r="C30" s="19"/>
      <c r="D30" s="19"/>
      <c r="E30" s="19"/>
      <c r="F30" s="19"/>
      <c r="G30" s="19"/>
      <c r="H30" s="19"/>
    </row>
    <row r="31" spans="1:18" ht="14.25" customHeight="1" x14ac:dyDescent="0.3"/>
    <row r="32" spans="1:18" ht="14.25" customHeight="1" x14ac:dyDescent="0.3">
      <c r="A32" s="2" t="s">
        <v>75</v>
      </c>
    </row>
    <row r="33" spans="1:2" ht="14.25" customHeight="1" x14ac:dyDescent="0.3"/>
    <row r="34" spans="1:2" ht="14.25" customHeight="1" x14ac:dyDescent="0.3">
      <c r="A34" s="2" t="s">
        <v>76</v>
      </c>
    </row>
    <row r="35" spans="1:2" ht="14.25" customHeight="1" x14ac:dyDescent="0.3"/>
    <row r="36" spans="1:2" ht="14.25" customHeight="1" x14ac:dyDescent="0.3">
      <c r="A36" s="2" t="s">
        <v>77</v>
      </c>
    </row>
    <row r="37" spans="1:2" ht="14.25" customHeight="1" x14ac:dyDescent="0.3"/>
    <row r="38" spans="1:2" ht="14.25" customHeight="1" x14ac:dyDescent="0.3">
      <c r="A38" s="2" t="s">
        <v>78</v>
      </c>
    </row>
    <row r="39" spans="1:2" ht="14.25" customHeight="1" x14ac:dyDescent="0.3"/>
    <row r="40" spans="1:2" ht="14.25" customHeight="1" x14ac:dyDescent="0.3">
      <c r="A40" s="2" t="s">
        <v>79</v>
      </c>
    </row>
    <row r="41" spans="1:2" ht="15.75" customHeight="1" x14ac:dyDescent="0.3"/>
    <row r="42" spans="1:2" ht="14.25" customHeight="1" x14ac:dyDescent="0.3">
      <c r="A42" s="2" t="s">
        <v>80</v>
      </c>
    </row>
    <row r="43" spans="1:2" ht="14.25" customHeight="1" x14ac:dyDescent="0.3"/>
    <row r="44" spans="1:2" ht="14.25" customHeight="1" x14ac:dyDescent="0.3">
      <c r="B44" s="37"/>
    </row>
    <row r="45" spans="1:2" ht="14.25" customHeight="1" x14ac:dyDescent="0.3"/>
    <row r="46" spans="1:2" ht="14.25" customHeight="1" x14ac:dyDescent="0.3"/>
    <row r="47" spans="1:2" ht="14.25" customHeight="1" x14ac:dyDescent="0.3"/>
    <row r="48" spans="1:2" ht="14.25" customHeight="1" x14ac:dyDescent="0.3"/>
    <row r="49" spans="2:32" ht="14.25" customHeight="1" x14ac:dyDescent="0.3"/>
    <row r="50" spans="2:32" ht="14.25" customHeight="1" x14ac:dyDescent="0.3"/>
    <row r="51" spans="2:32" ht="14.25" customHeight="1" x14ac:dyDescent="0.3">
      <c r="U51" s="232" t="s">
        <v>81</v>
      </c>
      <c r="V51" s="233"/>
      <c r="W51" s="233"/>
      <c r="X51" s="233"/>
      <c r="Y51" s="233"/>
      <c r="Z51" s="233"/>
      <c r="AA51" s="233"/>
      <c r="AB51" s="233"/>
      <c r="AC51" s="233"/>
      <c r="AD51" s="233"/>
      <c r="AE51" s="233"/>
      <c r="AF51" s="233"/>
    </row>
    <row r="52" spans="2:32" ht="14.25" customHeight="1" x14ac:dyDescent="0.3">
      <c r="U52" s="233"/>
      <c r="V52" s="233"/>
      <c r="W52" s="233"/>
      <c r="X52" s="233"/>
      <c r="Y52" s="233"/>
      <c r="Z52" s="233"/>
      <c r="AA52" s="233"/>
      <c r="AB52" s="233"/>
      <c r="AC52" s="233"/>
      <c r="AD52" s="233"/>
      <c r="AE52" s="233"/>
      <c r="AF52" s="233"/>
    </row>
    <row r="53" spans="2:32" ht="14.25" customHeight="1" x14ac:dyDescent="0.3"/>
    <row r="54" spans="2:32" ht="14.25" customHeight="1" x14ac:dyDescent="0.3"/>
    <row r="55" spans="2:32" ht="14.25" customHeight="1" x14ac:dyDescent="0.3"/>
    <row r="56" spans="2:32" ht="14.25" customHeight="1" x14ac:dyDescent="0.3"/>
    <row r="57" spans="2:32" ht="14.25" customHeight="1" x14ac:dyDescent="0.3"/>
    <row r="58" spans="2:32" ht="14.25" customHeight="1" x14ac:dyDescent="0.3">
      <c r="B58" s="37"/>
    </row>
    <row r="59" spans="2:32" ht="14.25" customHeight="1" x14ac:dyDescent="0.3"/>
    <row r="60" spans="2:32" ht="14.25" customHeight="1" x14ac:dyDescent="0.3"/>
    <row r="61" spans="2:32" ht="14.25" customHeight="1" x14ac:dyDescent="0.3">
      <c r="B61" s="37"/>
    </row>
    <row r="62" spans="2:32" ht="14.25" customHeight="1" x14ac:dyDescent="0.3">
      <c r="B62" s="37"/>
    </row>
    <row r="63" spans="2:32" ht="14.25" customHeight="1" x14ac:dyDescent="0.3"/>
    <row r="64" spans="2:32" ht="14.25" customHeight="1" x14ac:dyDescent="0.3"/>
    <row r="65" spans="1:14" ht="14.25" customHeight="1" x14ac:dyDescent="0.3">
      <c r="J65" s="19"/>
      <c r="K65" s="19"/>
      <c r="L65" s="19"/>
      <c r="M65" s="19"/>
      <c r="N65" s="19"/>
    </row>
    <row r="66" spans="1:14" ht="14.25" customHeight="1" x14ac:dyDescent="0.3"/>
    <row r="67" spans="1:14" ht="14.25" customHeight="1" x14ac:dyDescent="0.3">
      <c r="B67" s="37"/>
    </row>
    <row r="68" spans="1:14" ht="21.75" customHeight="1" x14ac:dyDescent="0.3">
      <c r="A68" s="234" t="s">
        <v>82</v>
      </c>
      <c r="B68" s="233"/>
      <c r="C68" s="233"/>
      <c r="D68" s="233"/>
      <c r="E68" s="233"/>
      <c r="F68" s="233"/>
      <c r="G68" s="233"/>
      <c r="H68" s="233"/>
      <c r="I68" s="233"/>
      <c r="J68" s="233"/>
      <c r="K68" s="233"/>
      <c r="L68" s="233"/>
      <c r="M68" s="233"/>
      <c r="N68" s="233"/>
    </row>
    <row r="69" spans="1:14" ht="14.25" customHeight="1" x14ac:dyDescent="0.3"/>
    <row r="70" spans="1:14" ht="14.25" customHeight="1" x14ac:dyDescent="0.3">
      <c r="A70" s="2" t="s">
        <v>83</v>
      </c>
      <c r="B70" s="37"/>
    </row>
    <row r="71" spans="1:14" ht="14.25" customHeight="1" x14ac:dyDescent="0.3">
      <c r="B71" s="37"/>
    </row>
    <row r="72" spans="1:14" ht="14.25" customHeight="1" x14ac:dyDescent="0.3">
      <c r="A72" s="2" t="s">
        <v>84</v>
      </c>
    </row>
    <row r="73" spans="1:14" ht="14.25" customHeight="1" x14ac:dyDescent="0.3"/>
    <row r="74" spans="1:14" ht="14.25" customHeight="1" x14ac:dyDescent="0.3">
      <c r="A74" s="2" t="s">
        <v>85</v>
      </c>
      <c r="B74" s="37"/>
    </row>
    <row r="75" spans="1:14" ht="14.25" customHeight="1" x14ac:dyDescent="0.3">
      <c r="A75" s="2" t="s">
        <v>86</v>
      </c>
      <c r="B75" s="37"/>
    </row>
    <row r="76" spans="1:14" ht="14.25" customHeight="1" x14ac:dyDescent="0.3"/>
    <row r="77" spans="1:14" ht="14.25" customHeight="1" x14ac:dyDescent="0.3">
      <c r="A77" s="2" t="s">
        <v>87</v>
      </c>
    </row>
    <row r="78" spans="1:14" ht="14.25" customHeight="1" x14ac:dyDescent="0.3">
      <c r="B78" s="37"/>
    </row>
    <row r="79" spans="1:14" ht="14.25" customHeight="1" x14ac:dyDescent="0.3">
      <c r="A79" s="2" t="s">
        <v>88</v>
      </c>
      <c r="B79" s="37"/>
    </row>
    <row r="80" spans="1:14" ht="14.25" customHeight="1" x14ac:dyDescent="0.3"/>
    <row r="81" spans="2:2" ht="14.25" customHeight="1" x14ac:dyDescent="0.3"/>
    <row r="82" spans="2:2" ht="14.25" customHeight="1" x14ac:dyDescent="0.3"/>
    <row r="83" spans="2:2" ht="14.25" customHeight="1" x14ac:dyDescent="0.3"/>
    <row r="84" spans="2:2" ht="14.25" customHeight="1" x14ac:dyDescent="0.3"/>
    <row r="85" spans="2:2" ht="14.25" customHeight="1" x14ac:dyDescent="0.3"/>
    <row r="86" spans="2:2" ht="14.25" customHeight="1" x14ac:dyDescent="0.3"/>
    <row r="87" spans="2:2" ht="14.25" customHeight="1" x14ac:dyDescent="0.3"/>
    <row r="88" spans="2:2" ht="14.25" customHeight="1" x14ac:dyDescent="0.3"/>
    <row r="89" spans="2:2" ht="14.25" customHeight="1" x14ac:dyDescent="0.3"/>
    <row r="90" spans="2:2" ht="14.25" customHeight="1" x14ac:dyDescent="0.3">
      <c r="B90" s="38"/>
    </row>
    <row r="91" spans="2:2" ht="14.25" customHeight="1" x14ac:dyDescent="0.3"/>
    <row r="92" spans="2:2" ht="14.25" customHeight="1" x14ac:dyDescent="0.3"/>
    <row r="93" spans="2:2" ht="14.25" customHeight="1" x14ac:dyDescent="0.3"/>
    <row r="94" spans="2:2" ht="14.25" customHeight="1" x14ac:dyDescent="0.3"/>
    <row r="95" spans="2:2" ht="14.25" customHeight="1" x14ac:dyDescent="0.3"/>
    <row r="96" spans="2:2" ht="14.25" customHeight="1" x14ac:dyDescent="0.3"/>
    <row r="97" spans="1:14" ht="14.25" customHeight="1" x14ac:dyDescent="0.3"/>
    <row r="98" spans="1:14" ht="14.25" customHeight="1" x14ac:dyDescent="0.3"/>
    <row r="99" spans="1:14" ht="14.25" customHeight="1" x14ac:dyDescent="0.3"/>
    <row r="100" spans="1:14" ht="14.25" customHeight="1" x14ac:dyDescent="0.3"/>
    <row r="101" spans="1:14" ht="16.5" customHeight="1" x14ac:dyDescent="0.3">
      <c r="J101" s="39"/>
      <c r="K101" s="39"/>
      <c r="L101" s="39"/>
      <c r="M101" s="39"/>
      <c r="N101" s="39"/>
    </row>
    <row r="102" spans="1:14" ht="14.25" customHeight="1" x14ac:dyDescent="0.3">
      <c r="J102" s="19"/>
      <c r="K102" s="19"/>
      <c r="L102" s="19"/>
      <c r="M102" s="19"/>
      <c r="N102" s="19"/>
    </row>
    <row r="103" spans="1:14" ht="14.25" customHeight="1" x14ac:dyDescent="0.3"/>
    <row r="104" spans="1:14" ht="14.25" customHeight="1" x14ac:dyDescent="0.3">
      <c r="A104" s="39"/>
      <c r="B104" s="39"/>
      <c r="C104" s="39"/>
      <c r="D104" s="39"/>
      <c r="E104" s="39"/>
      <c r="F104" s="39"/>
      <c r="G104" s="39"/>
      <c r="H104" s="39"/>
      <c r="I104" s="39"/>
    </row>
    <row r="105" spans="1:14" ht="30" customHeight="1" x14ac:dyDescent="0.3">
      <c r="A105" s="234" t="s">
        <v>89</v>
      </c>
      <c r="B105" s="233"/>
      <c r="C105" s="233"/>
      <c r="D105" s="233"/>
      <c r="E105" s="233"/>
      <c r="F105" s="233"/>
      <c r="G105" s="233"/>
      <c r="H105" s="233"/>
      <c r="I105" s="233"/>
      <c r="J105" s="233"/>
      <c r="K105" s="233"/>
      <c r="L105" s="233"/>
      <c r="M105" s="233"/>
      <c r="N105" s="233"/>
    </row>
    <row r="106" spans="1:14" ht="14.25" customHeight="1" x14ac:dyDescent="0.3">
      <c r="A106" s="2" t="s">
        <v>90</v>
      </c>
    </row>
    <row r="107" spans="1:14" ht="14.25" customHeight="1" x14ac:dyDescent="0.3"/>
    <row r="108" spans="1:14" ht="14.25" customHeight="1" x14ac:dyDescent="0.3">
      <c r="A108" s="2" t="s">
        <v>84</v>
      </c>
    </row>
    <row r="109" spans="1:14" ht="14.25" customHeight="1" x14ac:dyDescent="0.3"/>
    <row r="110" spans="1:14" ht="14.25" customHeight="1" x14ac:dyDescent="0.3">
      <c r="A110" s="2" t="s">
        <v>91</v>
      </c>
    </row>
    <row r="111" spans="1:14" ht="14.25" customHeight="1" x14ac:dyDescent="0.3"/>
    <row r="112" spans="1:14" ht="14.25" customHeight="1" x14ac:dyDescent="0.3">
      <c r="A112" s="2" t="s">
        <v>92</v>
      </c>
    </row>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sheetData>
  <mergeCells count="11">
    <mergeCell ref="U51:AF52"/>
    <mergeCell ref="A68:N68"/>
    <mergeCell ref="A105:N105"/>
    <mergeCell ref="A29:N29"/>
    <mergeCell ref="A20:B20"/>
    <mergeCell ref="A25:B25"/>
    <mergeCell ref="A1:R2"/>
    <mergeCell ref="T1:AC2"/>
    <mergeCell ref="AE1:AL2"/>
    <mergeCell ref="A5:B5"/>
    <mergeCell ref="A12:B12"/>
  </mergeCells>
  <pageMargins left="0.7" right="0.7" top="0.75" bottom="0.75" header="0" footer="0"/>
  <pageSetup orientation="landscape"/>
  <drawing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8BFDC-E74D-4604-B7B3-A24AF3F16F60}">
  <sheetPr>
    <outlinePr summaryBelow="0" summaryRight="0"/>
  </sheetPr>
  <dimension ref="A1:N1000"/>
  <sheetViews>
    <sheetView topLeftCell="A5" zoomScale="141" workbookViewId="0">
      <selection activeCell="H19" sqref="H19"/>
    </sheetView>
  </sheetViews>
  <sheetFormatPr defaultColWidth="14.44140625" defaultRowHeight="15" customHeight="1" x14ac:dyDescent="0.3"/>
  <cols>
    <col min="1" max="1" width="8.77734375" customWidth="1"/>
    <col min="2" max="2" width="43.21875" bestFit="1" customWidth="1"/>
    <col min="3" max="3" width="9.77734375" customWidth="1"/>
    <col min="4" max="4" width="8.77734375" customWidth="1"/>
    <col min="5" max="5" width="11.77734375" customWidth="1"/>
    <col min="6" max="6" width="15.21875" bestFit="1" customWidth="1"/>
    <col min="7" max="14" width="8.77734375" customWidth="1"/>
  </cols>
  <sheetData>
    <row r="1" spans="1:14" ht="14.25" customHeight="1" thickBot="1" x14ac:dyDescent="0.35">
      <c r="A1" s="48" t="s">
        <v>0</v>
      </c>
      <c r="B1" s="49"/>
      <c r="C1" s="49"/>
      <c r="D1" s="49"/>
      <c r="E1" s="49"/>
      <c r="F1" s="49"/>
      <c r="G1" s="49"/>
      <c r="H1" s="49"/>
      <c r="I1" s="50"/>
      <c r="K1" s="230" t="s">
        <v>1</v>
      </c>
      <c r="L1" s="224"/>
      <c r="M1" s="224"/>
      <c r="N1" s="219"/>
    </row>
    <row r="2" spans="1:14" ht="14.25" customHeight="1" thickBot="1" x14ac:dyDescent="0.35">
      <c r="A2" s="227"/>
      <c r="B2" s="224"/>
      <c r="C2" s="224"/>
      <c r="D2" s="224"/>
      <c r="E2" s="224"/>
      <c r="F2" s="224"/>
      <c r="G2" s="224"/>
      <c r="H2" s="224"/>
      <c r="I2" s="219"/>
      <c r="K2" s="1"/>
      <c r="L2" s="2"/>
      <c r="M2" s="2"/>
      <c r="N2" s="3"/>
    </row>
    <row r="3" spans="1:14" ht="14.25" customHeight="1" thickBot="1" x14ac:dyDescent="0.35">
      <c r="A3" s="4" t="s">
        <v>2</v>
      </c>
      <c r="B3" s="231">
        <v>1</v>
      </c>
      <c r="C3" s="224"/>
      <c r="D3" s="219"/>
      <c r="E3" s="40" t="s">
        <v>3</v>
      </c>
      <c r="F3" s="231">
        <v>1</v>
      </c>
      <c r="G3" s="224"/>
      <c r="H3" s="224"/>
      <c r="I3" s="219"/>
      <c r="K3" s="1"/>
      <c r="L3" s="2"/>
      <c r="M3" s="2"/>
      <c r="N3" s="3"/>
    </row>
    <row r="4" spans="1:14" ht="14.25" customHeight="1" thickBot="1" x14ac:dyDescent="0.35">
      <c r="A4" s="4" t="s">
        <v>4</v>
      </c>
      <c r="B4" s="231">
        <v>1</v>
      </c>
      <c r="C4" s="224"/>
      <c r="D4" s="219"/>
      <c r="E4" s="40" t="s">
        <v>5</v>
      </c>
      <c r="F4" s="223" t="s">
        <v>93</v>
      </c>
      <c r="G4" s="224"/>
      <c r="H4" s="224"/>
      <c r="I4" s="219"/>
      <c r="K4" s="1"/>
      <c r="L4" s="2"/>
      <c r="M4" s="2"/>
      <c r="N4" s="3"/>
    </row>
    <row r="5" spans="1:14" ht="14.25" customHeight="1" thickBot="1" x14ac:dyDescent="0.35">
      <c r="A5" s="4" t="s">
        <v>6</v>
      </c>
      <c r="B5" s="223" t="s">
        <v>341</v>
      </c>
      <c r="C5" s="224"/>
      <c r="D5" s="219"/>
      <c r="E5" s="40" t="s">
        <v>7</v>
      </c>
      <c r="F5" s="210" t="s">
        <v>94</v>
      </c>
      <c r="G5" s="202"/>
      <c r="H5" s="202"/>
      <c r="I5" s="203"/>
      <c r="K5" s="1"/>
      <c r="L5" s="2"/>
      <c r="M5" s="2"/>
      <c r="N5" s="3"/>
    </row>
    <row r="6" spans="1:14" ht="14.25" customHeight="1" thickBot="1" x14ac:dyDescent="0.35">
      <c r="A6" s="223"/>
      <c r="B6" s="224"/>
      <c r="C6" s="224"/>
      <c r="D6" s="219"/>
      <c r="E6" s="225" t="s">
        <v>8</v>
      </c>
      <c r="F6" s="41" t="s">
        <v>9</v>
      </c>
      <c r="G6" s="227">
        <v>92</v>
      </c>
      <c r="H6" s="224"/>
      <c r="I6" s="5" t="s">
        <v>10</v>
      </c>
      <c r="K6" s="1"/>
      <c r="L6" s="2"/>
      <c r="M6" s="2"/>
      <c r="N6" s="3"/>
    </row>
    <row r="7" spans="1:14" ht="14.25" customHeight="1" thickBot="1" x14ac:dyDescent="0.35">
      <c r="A7" s="4" t="s">
        <v>11</v>
      </c>
      <c r="B7" s="223" t="s">
        <v>95</v>
      </c>
      <c r="C7" s="224"/>
      <c r="D7" s="219"/>
      <c r="E7" s="226"/>
      <c r="F7" s="41" t="s">
        <v>12</v>
      </c>
      <c r="G7" s="227">
        <v>12</v>
      </c>
      <c r="H7" s="224"/>
      <c r="I7" s="5" t="s">
        <v>10</v>
      </c>
      <c r="K7" s="1"/>
      <c r="L7" s="2"/>
      <c r="M7" s="2"/>
      <c r="N7" s="3"/>
    </row>
    <row r="8" spans="1:14" ht="14.25" customHeight="1" thickBot="1" x14ac:dyDescent="0.35">
      <c r="A8" s="4" t="s">
        <v>13</v>
      </c>
      <c r="B8" s="228" t="s">
        <v>340</v>
      </c>
      <c r="C8" s="224"/>
      <c r="D8" s="219"/>
      <c r="E8" s="221"/>
      <c r="F8" s="41" t="s">
        <v>14</v>
      </c>
      <c r="G8" s="227">
        <v>3</v>
      </c>
      <c r="H8" s="224"/>
      <c r="I8" s="5" t="s">
        <v>10</v>
      </c>
      <c r="K8" s="6"/>
      <c r="L8" s="7"/>
      <c r="M8" s="7"/>
      <c r="N8" s="42"/>
    </row>
    <row r="9" spans="1:14" ht="14.25" customHeight="1" thickBot="1" x14ac:dyDescent="0.35">
      <c r="A9" s="227"/>
      <c r="B9" s="224"/>
      <c r="C9" s="224"/>
      <c r="D9" s="224"/>
      <c r="E9" s="224"/>
      <c r="F9" s="224"/>
      <c r="G9" s="224"/>
      <c r="H9" s="224"/>
      <c r="I9" s="219"/>
    </row>
    <row r="10" spans="1:14" ht="14.25" customHeight="1" thickBot="1" x14ac:dyDescent="0.35">
      <c r="A10" s="229" t="s">
        <v>15</v>
      </c>
      <c r="B10" s="225" t="s">
        <v>16</v>
      </c>
      <c r="C10" s="225" t="s">
        <v>17</v>
      </c>
      <c r="D10" s="218" t="s">
        <v>18</v>
      </c>
      <c r="E10" s="219"/>
      <c r="F10" s="220" t="s">
        <v>19</v>
      </c>
      <c r="G10" s="222" t="s">
        <v>20</v>
      </c>
      <c r="H10" s="222" t="s">
        <v>21</v>
      </c>
      <c r="I10" s="222" t="s">
        <v>22</v>
      </c>
    </row>
    <row r="11" spans="1:14" ht="14.25" customHeight="1" thickBot="1" x14ac:dyDescent="0.35">
      <c r="A11" s="221"/>
      <c r="B11" s="221"/>
      <c r="C11" s="221"/>
      <c r="D11" s="40" t="s">
        <v>23</v>
      </c>
      <c r="E11" s="40" t="s">
        <v>24</v>
      </c>
      <c r="F11" s="221"/>
      <c r="G11" s="221"/>
      <c r="H11" s="221"/>
      <c r="I11" s="221"/>
    </row>
    <row r="12" spans="1:14" ht="14.25" customHeight="1" thickBot="1" x14ac:dyDescent="0.35">
      <c r="A12" s="8">
        <v>1</v>
      </c>
      <c r="B12" s="41" t="s">
        <v>97</v>
      </c>
      <c r="C12" s="62" t="s">
        <v>98</v>
      </c>
      <c r="D12" s="62" t="s">
        <v>99</v>
      </c>
      <c r="E12" s="62" t="s">
        <v>100</v>
      </c>
      <c r="F12" s="69" t="s">
        <v>100</v>
      </c>
      <c r="G12" s="70">
        <v>0</v>
      </c>
      <c r="H12" s="71">
        <v>0</v>
      </c>
      <c r="I12" s="71">
        <f>G12+H12</f>
        <v>0</v>
      </c>
    </row>
    <row r="13" spans="1:14" ht="14.25" customHeight="1" thickBot="1" x14ac:dyDescent="0.35">
      <c r="A13" s="8">
        <v>2</v>
      </c>
      <c r="B13" s="130" t="s">
        <v>344</v>
      </c>
      <c r="C13" s="46" t="s">
        <v>105</v>
      </c>
      <c r="D13" s="40">
        <v>1</v>
      </c>
      <c r="E13" s="129" t="s">
        <v>106</v>
      </c>
      <c r="F13" s="40" t="s">
        <v>104</v>
      </c>
      <c r="G13" s="44">
        <v>180</v>
      </c>
      <c r="H13" s="45">
        <f>'Perhitungan LRP Rib'!J13*2</f>
        <v>0.70068901086067981</v>
      </c>
      <c r="I13" s="71">
        <f t="shared" ref="I13:I20" si="0">G13+H13</f>
        <v>180.70068901086069</v>
      </c>
    </row>
    <row r="14" spans="1:14" ht="14.25" customHeight="1" thickBot="1" x14ac:dyDescent="0.35">
      <c r="A14" s="8">
        <v>4</v>
      </c>
      <c r="B14" s="130" t="s">
        <v>345</v>
      </c>
      <c r="C14" s="46" t="s">
        <v>105</v>
      </c>
      <c r="D14" s="40">
        <v>1</v>
      </c>
      <c r="E14" s="129" t="s">
        <v>106</v>
      </c>
      <c r="F14" s="40" t="s">
        <v>338</v>
      </c>
      <c r="G14" s="44">
        <v>180</v>
      </c>
      <c r="H14" s="45">
        <f>'Perhitungan LRP Rib'!J14*2</f>
        <v>0.65414090662372182</v>
      </c>
      <c r="I14" s="71">
        <f t="shared" si="0"/>
        <v>180.65414090662372</v>
      </c>
    </row>
    <row r="15" spans="1:14" ht="14.25" customHeight="1" thickBot="1" x14ac:dyDescent="0.35">
      <c r="A15" s="8">
        <v>6</v>
      </c>
      <c r="B15" s="130" t="s">
        <v>346</v>
      </c>
      <c r="C15" s="46" t="s">
        <v>105</v>
      </c>
      <c r="D15" s="40">
        <v>1</v>
      </c>
      <c r="E15" s="129" t="s">
        <v>106</v>
      </c>
      <c r="F15" s="40" t="s">
        <v>104</v>
      </c>
      <c r="G15" s="44">
        <v>180</v>
      </c>
      <c r="H15" s="45">
        <f>'Perhitungan LRP Rib'!J15*2</f>
        <v>0.70068901086067981</v>
      </c>
      <c r="I15" s="71">
        <f t="shared" si="0"/>
        <v>180.70068901086069</v>
      </c>
    </row>
    <row r="16" spans="1:14" ht="14.25" customHeight="1" thickBot="1" x14ac:dyDescent="0.35">
      <c r="A16" s="8">
        <v>8</v>
      </c>
      <c r="B16" s="130" t="s">
        <v>347</v>
      </c>
      <c r="C16" s="46" t="s">
        <v>105</v>
      </c>
      <c r="D16" s="40">
        <v>1</v>
      </c>
      <c r="E16" s="129" t="s">
        <v>106</v>
      </c>
      <c r="F16" s="40" t="s">
        <v>338</v>
      </c>
      <c r="G16" s="44">
        <v>180</v>
      </c>
      <c r="H16" s="45">
        <f>'Perhitungan LRP Rib'!J16*2</f>
        <v>0.65414090662372182</v>
      </c>
      <c r="I16" s="71">
        <f t="shared" si="0"/>
        <v>180.65414090662372</v>
      </c>
    </row>
    <row r="17" spans="1:9" ht="14.25" customHeight="1" thickBot="1" x14ac:dyDescent="0.35">
      <c r="A17" s="8">
        <v>10</v>
      </c>
      <c r="B17" s="130" t="s">
        <v>364</v>
      </c>
      <c r="C17" s="46" t="s">
        <v>107</v>
      </c>
      <c r="D17" s="40">
        <v>1</v>
      </c>
      <c r="E17" s="129" t="s">
        <v>106</v>
      </c>
      <c r="F17" s="40" t="s">
        <v>114</v>
      </c>
      <c r="G17" s="44">
        <v>180</v>
      </c>
      <c r="H17" s="45">
        <f>'Perhitungan LRP Rib'!L7*2</f>
        <v>113.03999999999999</v>
      </c>
      <c r="I17" s="71">
        <f t="shared" si="0"/>
        <v>293.03999999999996</v>
      </c>
    </row>
    <row r="18" spans="1:9" ht="14.25" customHeight="1" thickBot="1" x14ac:dyDescent="0.35">
      <c r="A18" s="8">
        <v>12</v>
      </c>
      <c r="B18" s="130" t="s">
        <v>365</v>
      </c>
      <c r="C18" s="46" t="s">
        <v>107</v>
      </c>
      <c r="D18" s="40">
        <v>1</v>
      </c>
      <c r="E18" s="129" t="s">
        <v>106</v>
      </c>
      <c r="F18" s="40" t="s">
        <v>114</v>
      </c>
      <c r="G18" s="44">
        <v>180</v>
      </c>
      <c r="H18" s="45">
        <f>'Perhitungan LRP Rib'!L8*2</f>
        <v>113.03999999999999</v>
      </c>
      <c r="I18" s="71">
        <f t="shared" si="0"/>
        <v>293.03999999999996</v>
      </c>
    </row>
    <row r="19" spans="1:9" ht="14.25" customHeight="1" thickBot="1" x14ac:dyDescent="0.35">
      <c r="A19" s="8">
        <v>13</v>
      </c>
      <c r="B19" s="130" t="s">
        <v>108</v>
      </c>
      <c r="C19" s="46" t="s">
        <v>98</v>
      </c>
      <c r="D19" s="40"/>
      <c r="E19" s="129"/>
      <c r="F19" s="40" t="s">
        <v>109</v>
      </c>
      <c r="G19" s="44">
        <v>0</v>
      </c>
      <c r="H19" s="45">
        <v>120</v>
      </c>
      <c r="I19" s="71">
        <f t="shared" si="0"/>
        <v>120</v>
      </c>
    </row>
    <row r="20" spans="1:9" ht="14.25" customHeight="1" thickBot="1" x14ac:dyDescent="0.35">
      <c r="A20" s="8">
        <v>14</v>
      </c>
      <c r="B20" s="130" t="s">
        <v>110</v>
      </c>
      <c r="C20" s="46" t="s">
        <v>98</v>
      </c>
      <c r="D20" s="40"/>
      <c r="E20" s="129"/>
      <c r="F20" s="40" t="s">
        <v>100</v>
      </c>
      <c r="G20" s="44">
        <v>0</v>
      </c>
      <c r="H20" s="10">
        <v>0</v>
      </c>
      <c r="I20" s="71">
        <f t="shared" si="0"/>
        <v>0</v>
      </c>
    </row>
    <row r="21" spans="1:9" ht="14.25" customHeight="1" thickBot="1" x14ac:dyDescent="0.35">
      <c r="H21" s="16" t="s">
        <v>27</v>
      </c>
      <c r="I21" s="16">
        <f>SUM(I12:I20)</f>
        <v>1428.7896598349687</v>
      </c>
    </row>
    <row r="22" spans="1:9" ht="14.25" customHeight="1" x14ac:dyDescent="0.3"/>
    <row r="23" spans="1:9" ht="14.25" customHeight="1" x14ac:dyDescent="0.3"/>
    <row r="24" spans="1:9" ht="14.25" customHeight="1" x14ac:dyDescent="0.3"/>
    <row r="25" spans="1:9" ht="14.25" customHeight="1" x14ac:dyDescent="0.3"/>
    <row r="26" spans="1:9" ht="14.25" customHeight="1" x14ac:dyDescent="0.3"/>
    <row r="27" spans="1:9" ht="14.25" customHeight="1" x14ac:dyDescent="0.3"/>
    <row r="28" spans="1:9" ht="14.25" customHeight="1" x14ac:dyDescent="0.3"/>
    <row r="29" spans="1:9" ht="14.25" customHeight="1" x14ac:dyDescent="0.3"/>
    <row r="30" spans="1:9" ht="14.25" customHeight="1" x14ac:dyDescent="0.3"/>
    <row r="31" spans="1:9" ht="14.25" customHeight="1" x14ac:dyDescent="0.3"/>
    <row r="32" spans="1:9"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24">
    <mergeCell ref="A9:I9"/>
    <mergeCell ref="A10:A11"/>
    <mergeCell ref="B10:B11"/>
    <mergeCell ref="C10:C11"/>
    <mergeCell ref="D10:E10"/>
    <mergeCell ref="F10:F11"/>
    <mergeCell ref="G10:G11"/>
    <mergeCell ref="H10:H11"/>
    <mergeCell ref="I10:I11"/>
    <mergeCell ref="B5:D5"/>
    <mergeCell ref="F5:I5"/>
    <mergeCell ref="A6:D6"/>
    <mergeCell ref="E6:E8"/>
    <mergeCell ref="G6:H6"/>
    <mergeCell ref="B7:D7"/>
    <mergeCell ref="G7:H7"/>
    <mergeCell ref="B8:D8"/>
    <mergeCell ref="G8:H8"/>
    <mergeCell ref="K1:N1"/>
    <mergeCell ref="A2:I2"/>
    <mergeCell ref="B3:D3"/>
    <mergeCell ref="F3:I3"/>
    <mergeCell ref="B4:D4"/>
    <mergeCell ref="F4:I4"/>
  </mergeCells>
  <pageMargins left="0.7" right="0.7" top="0.75" bottom="0.75" header="0" footer="0"/>
  <pageSetup orientation="landscape"/>
  <drawing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1313D6-6F18-43CB-90EC-CBD83B2727FE}">
  <dimension ref="A1:AN1004"/>
  <sheetViews>
    <sheetView zoomScale="75" workbookViewId="0">
      <selection activeCell="M13" sqref="M13"/>
    </sheetView>
  </sheetViews>
  <sheetFormatPr defaultColWidth="14.44140625" defaultRowHeight="15" customHeight="1" x14ac:dyDescent="0.3"/>
  <cols>
    <col min="1" max="1" width="15" style="57" customWidth="1"/>
    <col min="2" max="2" width="60.5546875" style="57" customWidth="1"/>
    <col min="3" max="3" width="10" style="57" customWidth="1"/>
    <col min="4" max="4" width="9" style="57" customWidth="1"/>
    <col min="5" max="5" width="10.44140625" style="57" customWidth="1"/>
    <col min="6" max="7" width="12.5546875" style="57" customWidth="1"/>
    <col min="8" max="8" width="11.5546875" style="57" customWidth="1"/>
    <col min="9" max="9" width="21" style="57" customWidth="1"/>
    <col min="10" max="10" width="14" style="57" customWidth="1"/>
    <col min="11" max="11" width="16" style="57" customWidth="1"/>
    <col min="12" max="12" width="21.5546875" style="57" customWidth="1"/>
    <col min="13" max="13" width="17" style="57" customWidth="1"/>
    <col min="14" max="14" width="21" style="57" customWidth="1"/>
    <col min="15" max="15" width="20" style="57" customWidth="1"/>
    <col min="16" max="16" width="15" style="57" customWidth="1"/>
    <col min="17" max="17" width="18.44140625" style="57" customWidth="1"/>
    <col min="18" max="18" width="19.44140625" style="57" customWidth="1"/>
    <col min="19" max="19" width="18.44140625" style="57" customWidth="1"/>
    <col min="20" max="20" width="20" style="57" customWidth="1"/>
    <col min="21" max="40" width="9" style="57" customWidth="1"/>
    <col min="41" max="16384" width="14.44140625" style="57"/>
  </cols>
  <sheetData>
    <row r="1" spans="1:38" ht="14.25" customHeight="1" x14ac:dyDescent="0.3">
      <c r="A1" s="247" t="s">
        <v>28</v>
      </c>
      <c r="B1" s="248"/>
      <c r="C1" s="248"/>
      <c r="D1" s="248"/>
      <c r="E1" s="248"/>
      <c r="F1" s="248"/>
      <c r="G1" s="248"/>
      <c r="H1" s="248"/>
      <c r="I1" s="248"/>
      <c r="J1" s="248"/>
      <c r="K1" s="248"/>
      <c r="L1" s="248"/>
      <c r="M1" s="248"/>
      <c r="N1" s="248"/>
      <c r="O1" s="248"/>
      <c r="P1" s="248"/>
      <c r="Q1" s="248"/>
      <c r="R1" s="249"/>
      <c r="T1" s="253" t="s">
        <v>29</v>
      </c>
      <c r="U1" s="254"/>
      <c r="V1" s="254"/>
      <c r="W1" s="254"/>
      <c r="X1" s="254"/>
      <c r="Y1" s="254"/>
      <c r="Z1" s="254"/>
      <c r="AA1" s="254"/>
      <c r="AB1" s="254"/>
      <c r="AC1" s="254"/>
      <c r="AE1" s="253" t="s">
        <v>30</v>
      </c>
      <c r="AF1" s="254"/>
      <c r="AG1" s="254"/>
      <c r="AH1" s="254"/>
      <c r="AI1" s="254"/>
      <c r="AJ1" s="254"/>
      <c r="AK1" s="254"/>
      <c r="AL1" s="254"/>
    </row>
    <row r="2" spans="1:38" ht="14.25" customHeight="1" x14ac:dyDescent="0.3">
      <c r="A2" s="250"/>
      <c r="B2" s="251"/>
      <c r="C2" s="251"/>
      <c r="D2" s="251"/>
      <c r="E2" s="251"/>
      <c r="F2" s="251"/>
      <c r="G2" s="251"/>
      <c r="H2" s="251"/>
      <c r="I2" s="251"/>
      <c r="J2" s="251"/>
      <c r="K2" s="251"/>
      <c r="L2" s="251"/>
      <c r="M2" s="251"/>
      <c r="N2" s="251"/>
      <c r="O2" s="251"/>
      <c r="P2" s="251"/>
      <c r="Q2" s="251"/>
      <c r="R2" s="252"/>
      <c r="T2" s="254"/>
      <c r="U2" s="254"/>
      <c r="V2" s="254"/>
      <c r="W2" s="254"/>
      <c r="X2" s="254"/>
      <c r="Y2" s="254"/>
      <c r="Z2" s="254"/>
      <c r="AA2" s="254"/>
      <c r="AB2" s="254"/>
      <c r="AC2" s="254"/>
      <c r="AE2" s="254"/>
      <c r="AF2" s="254"/>
      <c r="AG2" s="254"/>
      <c r="AH2" s="254"/>
      <c r="AI2" s="254"/>
      <c r="AJ2" s="254"/>
      <c r="AK2" s="254"/>
      <c r="AL2" s="254"/>
    </row>
    <row r="3" spans="1:38" ht="14.25" customHeight="1" x14ac:dyDescent="0.3"/>
    <row r="4" spans="1:38" ht="14.25" customHeight="1" x14ac:dyDescent="0.3"/>
    <row r="5" spans="1:38" ht="14.25" customHeight="1" x14ac:dyDescent="0.3">
      <c r="A5" s="255" t="s">
        <v>31</v>
      </c>
      <c r="B5" s="246"/>
    </row>
    <row r="6" spans="1:38" ht="14.25" customHeight="1" x14ac:dyDescent="0.3">
      <c r="A6" s="76" t="s">
        <v>15</v>
      </c>
      <c r="B6" s="76" t="s">
        <v>32</v>
      </c>
      <c r="C6" s="77" t="s">
        <v>33</v>
      </c>
      <c r="D6" s="77" t="s">
        <v>34</v>
      </c>
      <c r="E6" s="77" t="s">
        <v>35</v>
      </c>
      <c r="F6" s="77" t="s">
        <v>36</v>
      </c>
      <c r="G6" s="77" t="s">
        <v>37</v>
      </c>
      <c r="H6" s="77" t="s">
        <v>38</v>
      </c>
      <c r="I6" s="77" t="s">
        <v>39</v>
      </c>
      <c r="J6" s="77" t="s">
        <v>40</v>
      </c>
      <c r="K6" s="77" t="s">
        <v>41</v>
      </c>
      <c r="L6" s="77" t="s">
        <v>42</v>
      </c>
      <c r="M6" s="77" t="s">
        <v>43</v>
      </c>
      <c r="N6" s="77" t="s">
        <v>44</v>
      </c>
      <c r="O6" s="77" t="s">
        <v>45</v>
      </c>
      <c r="P6" s="77" t="s">
        <v>46</v>
      </c>
      <c r="Q6" s="77" t="s">
        <v>47</v>
      </c>
    </row>
    <row r="7" spans="1:38" ht="14.25" customHeight="1" thickBot="1" x14ac:dyDescent="0.35">
      <c r="A7" s="62">
        <v>10</v>
      </c>
      <c r="B7" s="63" t="str">
        <f>'LRP Rib'!B17</f>
        <v>Shell End Milling Roughing (L=90 mm, d=3 mm, w=5 mm) 2x</v>
      </c>
      <c r="C7" s="78">
        <v>5</v>
      </c>
      <c r="D7" s="78">
        <v>3</v>
      </c>
      <c r="E7" s="78">
        <v>90</v>
      </c>
      <c r="F7" s="78">
        <v>30</v>
      </c>
      <c r="G7" s="78">
        <f>(1000*F7)/(3.14*10)</f>
        <v>955.41401273885344</v>
      </c>
      <c r="H7" s="78">
        <f>0.1*G7</f>
        <v>95.541401273885356</v>
      </c>
      <c r="I7" s="78">
        <v>5</v>
      </c>
      <c r="J7" s="78">
        <f>I7*D7</f>
        <v>15</v>
      </c>
      <c r="K7" s="78">
        <f>E7/H7</f>
        <v>0.94199999999999995</v>
      </c>
      <c r="L7" s="78">
        <f>K7*60</f>
        <v>56.519999999999996</v>
      </c>
      <c r="M7" s="78">
        <f>J7*H7</f>
        <v>1433.1210191082803</v>
      </c>
      <c r="N7" s="78">
        <f>92*12*3</f>
        <v>3312</v>
      </c>
      <c r="O7" s="78">
        <f>K7*M7</f>
        <v>1350</v>
      </c>
      <c r="P7" s="78">
        <f>O7/N7</f>
        <v>0.40760869565217389</v>
      </c>
      <c r="Q7" s="78">
        <f>N7-O7</f>
        <v>1962</v>
      </c>
    </row>
    <row r="8" spans="1:38" ht="14.25" customHeight="1" thickBot="1" x14ac:dyDescent="0.35">
      <c r="A8" s="62">
        <v>12</v>
      </c>
      <c r="B8" s="63" t="str">
        <f>'LRP Rib'!B18</f>
        <v>Shell End Milling Finishing (L=90 mm, d=0.5 mm, w=5 mm) 2x</v>
      </c>
      <c r="C8" s="78">
        <v>5</v>
      </c>
      <c r="D8" s="78">
        <v>0.5</v>
      </c>
      <c r="E8" s="78">
        <v>90</v>
      </c>
      <c r="F8" s="78">
        <v>30</v>
      </c>
      <c r="G8" s="78">
        <f>(1000*F8)/(3.14*10)</f>
        <v>955.41401273885344</v>
      </c>
      <c r="H8" s="78">
        <f>0.1*G8</f>
        <v>95.541401273885356</v>
      </c>
      <c r="I8" s="78">
        <v>5</v>
      </c>
      <c r="J8" s="78">
        <f>I8*D8</f>
        <v>2.5</v>
      </c>
      <c r="K8" s="78">
        <f>E8/H8</f>
        <v>0.94199999999999995</v>
      </c>
      <c r="L8" s="78">
        <f>K8*60</f>
        <v>56.519999999999996</v>
      </c>
      <c r="M8" s="78">
        <f>J8*H8</f>
        <v>238.85350318471339</v>
      </c>
      <c r="N8" s="78">
        <f>92*12*3</f>
        <v>3312</v>
      </c>
      <c r="O8" s="78">
        <f>K8*M8</f>
        <v>225</v>
      </c>
      <c r="P8" s="78">
        <f>O8/N8</f>
        <v>6.7934782608695649E-2</v>
      </c>
      <c r="Q8" s="78">
        <f>N8-O8</f>
        <v>3087</v>
      </c>
    </row>
    <row r="9" spans="1:38" ht="14.25" customHeight="1" x14ac:dyDescent="0.3">
      <c r="B9" s="79"/>
      <c r="C9" s="80"/>
      <c r="D9" s="80"/>
      <c r="E9" s="80"/>
      <c r="F9" s="80"/>
      <c r="G9" s="80"/>
      <c r="H9" s="80"/>
      <c r="I9" s="80"/>
      <c r="J9" s="80"/>
      <c r="K9" s="80"/>
      <c r="L9" s="80"/>
      <c r="M9" s="80"/>
      <c r="N9" s="80"/>
      <c r="O9" s="80"/>
      <c r="P9" s="80"/>
      <c r="Q9" s="80"/>
      <c r="R9" s="80"/>
    </row>
    <row r="10" spans="1:38" ht="14.25" customHeight="1" x14ac:dyDescent="0.3"/>
    <row r="11" spans="1:38" ht="14.25" customHeight="1" x14ac:dyDescent="0.3">
      <c r="A11" s="256" t="s">
        <v>56</v>
      </c>
      <c r="B11" s="257"/>
    </row>
    <row r="12" spans="1:38" ht="14.25" customHeight="1" x14ac:dyDescent="0.3">
      <c r="A12" s="76" t="s">
        <v>15</v>
      </c>
      <c r="B12" s="76" t="s">
        <v>32</v>
      </c>
      <c r="C12" s="81" t="s">
        <v>33</v>
      </c>
      <c r="D12" s="81" t="s">
        <v>34</v>
      </c>
      <c r="E12" s="81" t="s">
        <v>52</v>
      </c>
      <c r="F12" s="81" t="s">
        <v>57</v>
      </c>
      <c r="G12" s="81" t="s">
        <v>37</v>
      </c>
      <c r="H12" s="81" t="s">
        <v>38</v>
      </c>
      <c r="I12" s="81" t="s">
        <v>41</v>
      </c>
      <c r="J12" s="81" t="s">
        <v>42</v>
      </c>
      <c r="K12" s="81" t="s">
        <v>43</v>
      </c>
      <c r="L12" s="81" t="s">
        <v>44</v>
      </c>
      <c r="M12" s="81" t="s">
        <v>45</v>
      </c>
      <c r="N12" s="81" t="s">
        <v>54</v>
      </c>
      <c r="O12" s="81" t="s">
        <v>47</v>
      </c>
    </row>
    <row r="13" spans="1:38" ht="14.25" customHeight="1" x14ac:dyDescent="0.3">
      <c r="A13" s="102">
        <v>2</v>
      </c>
      <c r="B13" s="82" t="str">
        <f>'LRP Rib'!B13</f>
        <v>Spot Drill (D=10 mm, d=3 mm, ϑ= 90°) (top side) 2x</v>
      </c>
      <c r="C13" s="83">
        <v>10</v>
      </c>
      <c r="D13" s="84">
        <v>3</v>
      </c>
      <c r="E13" s="84">
        <f>H13/G13</f>
        <v>0.17272818961169945</v>
      </c>
      <c r="F13" s="84">
        <v>1712.6</v>
      </c>
      <c r="G13" s="84">
        <v>9915</v>
      </c>
      <c r="H13" s="84">
        <v>1712.6</v>
      </c>
      <c r="I13" s="84">
        <f t="shared" ref="I13:I16" si="0">C13/F13</f>
        <v>5.8390750905056646E-3</v>
      </c>
      <c r="J13" s="84">
        <f>I13*60</f>
        <v>0.3503445054303399</v>
      </c>
      <c r="K13" s="84">
        <f>(((22/7)*(C13)^2)/4)*H13</f>
        <v>134561.42857142855</v>
      </c>
      <c r="L13" s="84">
        <f>92*12*3</f>
        <v>3312</v>
      </c>
      <c r="M13" s="84">
        <f>I13*K13</f>
        <v>785.71428571428567</v>
      </c>
      <c r="N13" s="200">
        <f>M13/L13</f>
        <v>0.23723257418909591</v>
      </c>
      <c r="O13" s="84">
        <f>L13-M13</f>
        <v>2526.2857142857142</v>
      </c>
    </row>
    <row r="14" spans="1:38" ht="14.25" customHeight="1" thickBot="1" x14ac:dyDescent="0.35">
      <c r="A14" s="102">
        <v>4</v>
      </c>
      <c r="B14" s="41" t="str">
        <f>'LRP Rib'!B14</f>
        <v>Drill (D=7 mm, d=5 mm) (top side) 2x</v>
      </c>
      <c r="C14" s="83">
        <v>7</v>
      </c>
      <c r="D14" s="84">
        <v>5</v>
      </c>
      <c r="E14" s="84">
        <f t="shared" ref="E14:E16" si="1">H14/G14</f>
        <v>0.1117604003481288</v>
      </c>
      <c r="F14" s="84">
        <v>1284.127</v>
      </c>
      <c r="G14" s="84">
        <v>11490</v>
      </c>
      <c r="H14" s="84">
        <v>1284.127</v>
      </c>
      <c r="I14" s="84">
        <f t="shared" si="0"/>
        <v>5.4511742218643485E-3</v>
      </c>
      <c r="J14" s="84">
        <f t="shared" ref="J14:J16" si="2">I14*60</f>
        <v>0.32707045331186091</v>
      </c>
      <c r="K14" s="84">
        <f t="shared" ref="K14:K16" si="3">(((22/7)*(C14)^2)/4)*H14</f>
        <v>49438.889499999997</v>
      </c>
      <c r="L14" s="84">
        <f>O13</f>
        <v>2526.2857142857142</v>
      </c>
      <c r="M14" s="84">
        <f>I14*K14</f>
        <v>269.5</v>
      </c>
      <c r="N14" s="200">
        <f>M14/L14</f>
        <v>0.10667835331372993</v>
      </c>
      <c r="O14" s="84">
        <f>L14-M14</f>
        <v>2256.7857142857142</v>
      </c>
    </row>
    <row r="15" spans="1:38" ht="14.25" customHeight="1" x14ac:dyDescent="0.3">
      <c r="A15" s="102">
        <v>6</v>
      </c>
      <c r="B15" s="82" t="str">
        <f>'LRP Rib'!B15</f>
        <v>Spot Drill (D=10 mm, d=6 mm, ϑ= 90°) (top side) 2x</v>
      </c>
      <c r="C15" s="83">
        <v>10</v>
      </c>
      <c r="D15" s="84">
        <v>6</v>
      </c>
      <c r="E15" s="84">
        <f t="shared" si="1"/>
        <v>0.17272818961169945</v>
      </c>
      <c r="F15" s="84">
        <v>1712.6</v>
      </c>
      <c r="G15" s="84">
        <v>9915</v>
      </c>
      <c r="H15" s="84">
        <v>1712.6</v>
      </c>
      <c r="I15" s="84">
        <f t="shared" si="0"/>
        <v>5.8390750905056646E-3</v>
      </c>
      <c r="J15" s="84">
        <f t="shared" si="2"/>
        <v>0.3503445054303399</v>
      </c>
      <c r="K15" s="84">
        <f t="shared" si="3"/>
        <v>134561.42857142855</v>
      </c>
      <c r="L15" s="84">
        <f>O14</f>
        <v>2256.7857142857142</v>
      </c>
      <c r="M15" s="84">
        <f>I15*K15</f>
        <v>785.71428571428567</v>
      </c>
      <c r="N15" s="200">
        <f>M15/L15</f>
        <v>0.34815635385345783</v>
      </c>
      <c r="O15" s="84">
        <f>L15-M15</f>
        <v>1471.0714285714284</v>
      </c>
    </row>
    <row r="16" spans="1:38" ht="14.25" customHeight="1" x14ac:dyDescent="0.3">
      <c r="A16" s="102">
        <v>8</v>
      </c>
      <c r="B16" s="82" t="str">
        <f>'LRP Rib'!B16</f>
        <v>Drill (D=7 mm, d=7 mm) (top side) 2x</v>
      </c>
      <c r="C16" s="83">
        <v>7</v>
      </c>
      <c r="D16" s="84">
        <v>7</v>
      </c>
      <c r="E16" s="84">
        <f t="shared" si="1"/>
        <v>0.1117604003481288</v>
      </c>
      <c r="F16" s="84">
        <v>1284.127</v>
      </c>
      <c r="G16" s="84">
        <v>11490</v>
      </c>
      <c r="H16" s="84">
        <v>1284.127</v>
      </c>
      <c r="I16" s="84">
        <f t="shared" si="0"/>
        <v>5.4511742218643485E-3</v>
      </c>
      <c r="J16" s="84">
        <f t="shared" si="2"/>
        <v>0.32707045331186091</v>
      </c>
      <c r="K16" s="84">
        <f t="shared" si="3"/>
        <v>49438.889499999997</v>
      </c>
      <c r="L16" s="84">
        <f>O15</f>
        <v>1471.0714285714284</v>
      </c>
      <c r="M16" s="84">
        <f>I16*K16</f>
        <v>269.5</v>
      </c>
      <c r="N16" s="200">
        <f>M16/L16</f>
        <v>0.18319980577810149</v>
      </c>
      <c r="O16" s="84">
        <f>L16-M16</f>
        <v>1201.5714285714284</v>
      </c>
    </row>
    <row r="17" spans="1:40" ht="14.25" customHeight="1" x14ac:dyDescent="0.3"/>
    <row r="18" spans="1:40" ht="14.25" customHeight="1" x14ac:dyDescent="0.3">
      <c r="A18" s="245" t="s">
        <v>70</v>
      </c>
      <c r="B18" s="246"/>
    </row>
    <row r="19" spans="1:40" ht="14.25" customHeight="1" x14ac:dyDescent="0.3">
      <c r="A19" s="76" t="s">
        <v>15</v>
      </c>
      <c r="B19" s="76" t="s">
        <v>32</v>
      </c>
      <c r="C19" s="77" t="s">
        <v>40</v>
      </c>
      <c r="D19" s="77" t="s">
        <v>60</v>
      </c>
      <c r="E19" s="77" t="s">
        <v>71</v>
      </c>
      <c r="F19" s="77" t="s">
        <v>72</v>
      </c>
      <c r="G19" s="77" t="s">
        <v>45</v>
      </c>
      <c r="H19" s="77" t="s">
        <v>54</v>
      </c>
      <c r="I19" s="77" t="s">
        <v>47</v>
      </c>
    </row>
    <row r="20" spans="1:40" ht="14.25" customHeight="1" x14ac:dyDescent="0.3">
      <c r="A20" s="85"/>
      <c r="B20" s="86"/>
      <c r="C20" s="120"/>
      <c r="D20" s="120"/>
      <c r="E20" s="120"/>
      <c r="F20" s="87"/>
      <c r="G20" s="87"/>
      <c r="H20" s="88"/>
      <c r="I20" s="87"/>
    </row>
    <row r="21" spans="1:40" ht="14.25" customHeight="1" x14ac:dyDescent="0.3"/>
    <row r="22" spans="1:40" ht="14.25" customHeight="1" x14ac:dyDescent="0.3">
      <c r="A22" s="75"/>
      <c r="B22" s="75"/>
      <c r="C22" s="75"/>
      <c r="D22" s="75"/>
      <c r="E22" s="75"/>
      <c r="F22" s="75"/>
      <c r="G22" s="75"/>
      <c r="H22" s="75"/>
    </row>
    <row r="23" spans="1:40" ht="14.25" customHeight="1" x14ac:dyDescent="0.3"/>
    <row r="24" spans="1:40" ht="14.25" customHeight="1" x14ac:dyDescent="0.3">
      <c r="A24" s="59" t="s">
        <v>75</v>
      </c>
    </row>
    <row r="25" spans="1:40" ht="14.25" customHeight="1" x14ac:dyDescent="0.3"/>
    <row r="26" spans="1:40" ht="14.25" customHeight="1" x14ac:dyDescent="0.3">
      <c r="A26" s="59" t="s">
        <v>76</v>
      </c>
    </row>
    <row r="27" spans="1:40" ht="14.25" customHeight="1" x14ac:dyDescent="0.3"/>
    <row r="28" spans="1:40" ht="14.25" customHeight="1" x14ac:dyDescent="0.3">
      <c r="A28" s="59" t="s">
        <v>77</v>
      </c>
    </row>
    <row r="29" spans="1:40" ht="14.25" customHeight="1" x14ac:dyDescent="0.3">
      <c r="T29" s="253" t="s">
        <v>31</v>
      </c>
      <c r="U29" s="254"/>
      <c r="V29" s="254"/>
      <c r="W29" s="254"/>
      <c r="X29" s="254"/>
      <c r="Y29" s="254"/>
      <c r="Z29" s="254"/>
      <c r="AA29" s="254"/>
      <c r="AB29" s="254"/>
      <c r="AC29" s="254"/>
      <c r="AE29" s="253" t="s">
        <v>64</v>
      </c>
      <c r="AF29" s="254"/>
      <c r="AG29" s="254"/>
      <c r="AH29" s="254"/>
      <c r="AI29" s="254"/>
      <c r="AJ29" s="254"/>
      <c r="AK29" s="254"/>
      <c r="AL29" s="254"/>
      <c r="AM29" s="254"/>
      <c r="AN29" s="254"/>
    </row>
    <row r="30" spans="1:40" ht="14.25" customHeight="1" x14ac:dyDescent="0.3">
      <c r="A30" s="59" t="s">
        <v>78</v>
      </c>
      <c r="T30" s="254"/>
      <c r="U30" s="254"/>
      <c r="V30" s="254"/>
      <c r="W30" s="254"/>
      <c r="X30" s="254"/>
      <c r="Y30" s="254"/>
      <c r="Z30" s="254"/>
      <c r="AA30" s="254"/>
      <c r="AB30" s="254"/>
      <c r="AC30" s="254"/>
      <c r="AE30" s="254"/>
      <c r="AF30" s="254"/>
      <c r="AG30" s="254"/>
      <c r="AH30" s="254"/>
      <c r="AI30" s="254"/>
      <c r="AJ30" s="254"/>
      <c r="AK30" s="254"/>
      <c r="AL30" s="254"/>
      <c r="AM30" s="254"/>
      <c r="AN30" s="254"/>
    </row>
    <row r="31" spans="1:40" ht="14.25" customHeight="1" x14ac:dyDescent="0.3"/>
    <row r="32" spans="1:40" ht="14.25" customHeight="1" x14ac:dyDescent="0.3">
      <c r="A32" s="59" t="s">
        <v>79</v>
      </c>
    </row>
    <row r="33" spans="1:2" ht="14.25" customHeight="1" x14ac:dyDescent="0.3"/>
    <row r="34" spans="1:2" ht="14.25" customHeight="1" x14ac:dyDescent="0.3">
      <c r="A34" s="59" t="s">
        <v>80</v>
      </c>
    </row>
    <row r="35" spans="1:2" ht="14.25" customHeight="1" x14ac:dyDescent="0.3"/>
    <row r="36" spans="1:2" ht="14.25" customHeight="1" x14ac:dyDescent="0.3">
      <c r="B36" s="89"/>
    </row>
    <row r="37" spans="1:2" ht="14.25" customHeight="1" x14ac:dyDescent="0.3"/>
    <row r="38" spans="1:2" ht="14.25" customHeight="1" x14ac:dyDescent="0.3"/>
    <row r="39" spans="1:2" ht="14.25" customHeight="1" x14ac:dyDescent="0.3"/>
    <row r="40" spans="1:2" ht="14.25" customHeight="1" x14ac:dyDescent="0.3"/>
    <row r="41" spans="1:2" ht="14.25" customHeight="1" x14ac:dyDescent="0.3"/>
    <row r="42" spans="1:2" ht="14.25" customHeight="1" x14ac:dyDescent="0.3"/>
    <row r="43" spans="1:2" ht="14.25" customHeight="1" x14ac:dyDescent="0.3"/>
    <row r="44" spans="1:2" ht="19.5" customHeight="1" x14ac:dyDescent="0.3"/>
    <row r="45" spans="1:2" ht="14.25" customHeight="1" x14ac:dyDescent="0.3"/>
    <row r="46" spans="1:2" ht="14.25" customHeight="1" x14ac:dyDescent="0.3"/>
    <row r="47" spans="1:2" ht="14.25" customHeight="1" x14ac:dyDescent="0.3"/>
    <row r="48" spans="1:2" ht="14.25" customHeight="1" x14ac:dyDescent="0.3"/>
    <row r="49" spans="1:14" ht="14.25" customHeight="1" x14ac:dyDescent="0.3"/>
    <row r="50" spans="1:14" ht="14.25" customHeight="1" x14ac:dyDescent="0.3">
      <c r="B50" s="89"/>
    </row>
    <row r="51" spans="1:14" ht="14.25" customHeight="1" x14ac:dyDescent="0.3"/>
    <row r="52" spans="1:14" ht="14.25" customHeight="1" x14ac:dyDescent="0.3"/>
    <row r="53" spans="1:14" ht="14.25" customHeight="1" x14ac:dyDescent="0.3">
      <c r="B53" s="89"/>
    </row>
    <row r="54" spans="1:14" ht="14.25" customHeight="1" x14ac:dyDescent="0.3">
      <c r="B54" s="89"/>
    </row>
    <row r="55" spans="1:14" ht="14.25" customHeight="1" x14ac:dyDescent="0.3"/>
    <row r="56" spans="1:14" ht="15.75" customHeight="1" x14ac:dyDescent="0.3"/>
    <row r="57" spans="1:14" ht="14.25" customHeight="1" x14ac:dyDescent="0.3">
      <c r="J57" s="75"/>
      <c r="K57" s="75"/>
      <c r="L57" s="75"/>
      <c r="M57" s="75"/>
      <c r="N57" s="75"/>
    </row>
    <row r="58" spans="1:14" ht="14.25" customHeight="1" x14ac:dyDescent="0.3"/>
    <row r="59" spans="1:14" ht="14.25" customHeight="1" x14ac:dyDescent="0.3">
      <c r="B59" s="89"/>
    </row>
    <row r="60" spans="1:14" ht="14.25" customHeight="1" x14ac:dyDescent="0.3">
      <c r="A60" s="253" t="s">
        <v>82</v>
      </c>
      <c r="B60" s="254"/>
      <c r="C60" s="254"/>
      <c r="D60" s="254"/>
      <c r="E60" s="254"/>
      <c r="F60" s="254"/>
      <c r="G60" s="254"/>
      <c r="H60" s="254"/>
      <c r="I60" s="254"/>
      <c r="J60" s="254"/>
      <c r="K60" s="254"/>
      <c r="L60" s="254"/>
      <c r="M60" s="254"/>
      <c r="N60" s="254"/>
    </row>
    <row r="61" spans="1:14" ht="14.25" customHeight="1" x14ac:dyDescent="0.3"/>
    <row r="62" spans="1:14" ht="14.25" customHeight="1" x14ac:dyDescent="0.3">
      <c r="A62" s="59" t="s">
        <v>83</v>
      </c>
      <c r="B62" s="89"/>
    </row>
    <row r="63" spans="1:14" ht="14.25" customHeight="1" x14ac:dyDescent="0.3">
      <c r="B63" s="89"/>
    </row>
    <row r="64" spans="1:14" ht="14.25" customHeight="1" x14ac:dyDescent="0.3">
      <c r="A64" s="59" t="s">
        <v>84</v>
      </c>
    </row>
    <row r="65" spans="1:32" ht="14.25" customHeight="1" x14ac:dyDescent="0.3"/>
    <row r="66" spans="1:32" ht="14.25" customHeight="1" x14ac:dyDescent="0.3">
      <c r="A66" s="59" t="s">
        <v>85</v>
      </c>
      <c r="B66" s="89"/>
      <c r="U66" s="258" t="s">
        <v>81</v>
      </c>
      <c r="V66" s="254"/>
      <c r="W66" s="254"/>
      <c r="X66" s="254"/>
      <c r="Y66" s="254"/>
      <c r="Z66" s="254"/>
      <c r="AA66" s="254"/>
      <c r="AB66" s="254"/>
      <c r="AC66" s="254"/>
      <c r="AD66" s="254"/>
      <c r="AE66" s="254"/>
      <c r="AF66" s="254"/>
    </row>
    <row r="67" spans="1:32" ht="14.25" customHeight="1" x14ac:dyDescent="0.3">
      <c r="A67" s="59" t="s">
        <v>86</v>
      </c>
      <c r="B67" s="89"/>
      <c r="U67" s="254"/>
      <c r="V67" s="254"/>
      <c r="W67" s="254"/>
      <c r="X67" s="254"/>
      <c r="Y67" s="254"/>
      <c r="Z67" s="254"/>
      <c r="AA67" s="254"/>
      <c r="AB67" s="254"/>
      <c r="AC67" s="254"/>
      <c r="AD67" s="254"/>
      <c r="AE67" s="254"/>
      <c r="AF67" s="254"/>
    </row>
    <row r="68" spans="1:32" ht="14.25" customHeight="1" x14ac:dyDescent="0.3"/>
    <row r="69" spans="1:32" ht="14.25" customHeight="1" x14ac:dyDescent="0.3">
      <c r="A69" s="59" t="s">
        <v>87</v>
      </c>
    </row>
    <row r="70" spans="1:32" ht="14.25" customHeight="1" x14ac:dyDescent="0.3">
      <c r="B70" s="89"/>
    </row>
    <row r="71" spans="1:32" ht="14.25" customHeight="1" x14ac:dyDescent="0.3">
      <c r="A71" s="59" t="s">
        <v>88</v>
      </c>
      <c r="B71" s="89"/>
    </row>
    <row r="72" spans="1:32" ht="14.25" customHeight="1" x14ac:dyDescent="0.3"/>
    <row r="73" spans="1:32" ht="14.25" customHeight="1" x14ac:dyDescent="0.3"/>
    <row r="74" spans="1:32" ht="14.25" customHeight="1" x14ac:dyDescent="0.3"/>
    <row r="75" spans="1:32" ht="14.25" customHeight="1" x14ac:dyDescent="0.3"/>
    <row r="76" spans="1:32" ht="14.25" customHeight="1" x14ac:dyDescent="0.3"/>
    <row r="77" spans="1:32" ht="14.25" customHeight="1" x14ac:dyDescent="0.3"/>
    <row r="78" spans="1:32" ht="14.25" customHeight="1" x14ac:dyDescent="0.3"/>
    <row r="79" spans="1:32" ht="14.25" customHeight="1" x14ac:dyDescent="0.3"/>
    <row r="80" spans="1:32" ht="14.25" customHeight="1" x14ac:dyDescent="0.3"/>
    <row r="81" spans="1:14" ht="14.25" customHeight="1" x14ac:dyDescent="0.3"/>
    <row r="82" spans="1:14" ht="14.25" customHeight="1" x14ac:dyDescent="0.3">
      <c r="B82" s="90"/>
    </row>
    <row r="83" spans="1:14" ht="21.75" customHeight="1" x14ac:dyDescent="0.3"/>
    <row r="84" spans="1:14" ht="14.25" customHeight="1" x14ac:dyDescent="0.3"/>
    <row r="85" spans="1:14" ht="14.25" customHeight="1" x14ac:dyDescent="0.3"/>
    <row r="86" spans="1:14" ht="14.25" customHeight="1" x14ac:dyDescent="0.3"/>
    <row r="87" spans="1:14" ht="14.25" customHeight="1" x14ac:dyDescent="0.3"/>
    <row r="88" spans="1:14" ht="14.25" customHeight="1" x14ac:dyDescent="0.3"/>
    <row r="89" spans="1:14" ht="14.25" customHeight="1" x14ac:dyDescent="0.3"/>
    <row r="90" spans="1:14" ht="14.25" customHeight="1" x14ac:dyDescent="0.3"/>
    <row r="91" spans="1:14" ht="14.25" customHeight="1" x14ac:dyDescent="0.3"/>
    <row r="92" spans="1:14" ht="14.25" customHeight="1" x14ac:dyDescent="0.3"/>
    <row r="93" spans="1:14" ht="14.25" customHeight="1" x14ac:dyDescent="0.3">
      <c r="J93" s="91"/>
      <c r="K93" s="91"/>
      <c r="L93" s="91"/>
      <c r="M93" s="91"/>
      <c r="N93" s="91"/>
    </row>
    <row r="94" spans="1:14" ht="14.25" customHeight="1" x14ac:dyDescent="0.3">
      <c r="J94" s="75"/>
      <c r="K94" s="75"/>
      <c r="L94" s="75"/>
      <c r="M94" s="75"/>
      <c r="N94" s="75"/>
    </row>
    <row r="95" spans="1:14" ht="14.25" customHeight="1" x14ac:dyDescent="0.3"/>
    <row r="96" spans="1:14" ht="14.25" customHeight="1" x14ac:dyDescent="0.3">
      <c r="A96" s="91"/>
      <c r="B96" s="91"/>
      <c r="C96" s="91"/>
      <c r="D96" s="91"/>
      <c r="E96" s="91"/>
      <c r="F96" s="91"/>
      <c r="G96" s="91"/>
      <c r="H96" s="91"/>
      <c r="I96" s="91"/>
    </row>
    <row r="97" spans="1:14" ht="14.25" customHeight="1" x14ac:dyDescent="0.3">
      <c r="A97" s="253" t="s">
        <v>89</v>
      </c>
      <c r="B97" s="254"/>
      <c r="C97" s="254"/>
      <c r="D97" s="254"/>
      <c r="E97" s="254"/>
      <c r="F97" s="254"/>
      <c r="G97" s="254"/>
      <c r="H97" s="254"/>
      <c r="I97" s="254"/>
      <c r="J97" s="254"/>
      <c r="K97" s="254"/>
      <c r="L97" s="254"/>
      <c r="M97" s="254"/>
      <c r="N97" s="254"/>
    </row>
    <row r="98" spans="1:14" ht="14.25" customHeight="1" x14ac:dyDescent="0.3">
      <c r="A98" s="59" t="s">
        <v>90</v>
      </c>
    </row>
    <row r="99" spans="1:14" ht="14.25" customHeight="1" x14ac:dyDescent="0.3"/>
    <row r="100" spans="1:14" ht="14.25" customHeight="1" x14ac:dyDescent="0.3">
      <c r="A100" s="59" t="s">
        <v>84</v>
      </c>
    </row>
    <row r="101" spans="1:14" ht="14.25" customHeight="1" x14ac:dyDescent="0.3"/>
    <row r="102" spans="1:14" ht="14.25" customHeight="1" x14ac:dyDescent="0.3">
      <c r="A102" s="59" t="s">
        <v>91</v>
      </c>
    </row>
    <row r="103" spans="1:14" ht="14.25" customHeight="1" x14ac:dyDescent="0.3"/>
    <row r="104" spans="1:14" ht="14.25" customHeight="1" x14ac:dyDescent="0.3">
      <c r="A104" s="59" t="s">
        <v>92</v>
      </c>
    </row>
    <row r="105" spans="1:14" ht="14.25" customHeight="1" x14ac:dyDescent="0.3"/>
    <row r="106" spans="1:14" ht="14.25" customHeight="1" x14ac:dyDescent="0.3"/>
    <row r="107" spans="1:14" ht="14.25" customHeight="1" x14ac:dyDescent="0.3"/>
    <row r="108" spans="1:14" ht="14.25" customHeight="1" x14ac:dyDescent="0.3"/>
    <row r="109" spans="1:14" ht="14.25" customHeight="1" x14ac:dyDescent="0.3"/>
    <row r="110" spans="1:14" ht="14.25" customHeight="1" x14ac:dyDescent="0.3"/>
    <row r="111" spans="1:14" ht="14.25" customHeight="1" x14ac:dyDescent="0.3"/>
    <row r="112" spans="1:14" ht="14.25" customHeight="1" x14ac:dyDescent="0.3"/>
    <row r="113" ht="14.25" customHeight="1" x14ac:dyDescent="0.3"/>
    <row r="114" ht="14.25" customHeight="1" x14ac:dyDescent="0.3"/>
    <row r="115" ht="14.25" customHeight="1" x14ac:dyDescent="0.3"/>
    <row r="116" ht="16.5" customHeight="1" x14ac:dyDescent="0.3"/>
    <row r="117" ht="14.25" customHeight="1" x14ac:dyDescent="0.3"/>
    <row r="118" ht="14.25" customHeight="1" x14ac:dyDescent="0.3"/>
    <row r="119" ht="14.25" customHeight="1" x14ac:dyDescent="0.3"/>
    <row r="120" ht="30"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row r="1001" ht="15.75" customHeight="1" x14ac:dyDescent="0.3"/>
    <row r="1002" ht="15.75" customHeight="1" x14ac:dyDescent="0.3"/>
    <row r="1003" ht="15.75" customHeight="1" x14ac:dyDescent="0.3"/>
    <row r="1004" ht="15.75" customHeight="1" x14ac:dyDescent="0.3"/>
  </sheetData>
  <mergeCells count="11">
    <mergeCell ref="T29:AC30"/>
    <mergeCell ref="AE29:AN30"/>
    <mergeCell ref="A60:N60"/>
    <mergeCell ref="U66:AF67"/>
    <mergeCell ref="A97:N97"/>
    <mergeCell ref="A18:B18"/>
    <mergeCell ref="A1:R2"/>
    <mergeCell ref="T1:AC2"/>
    <mergeCell ref="AE1:AL2"/>
    <mergeCell ref="A5:B5"/>
    <mergeCell ref="A11:B11"/>
  </mergeCells>
  <pageMargins left="0.7" right="0.7" top="0.75" bottom="0.75" header="0" footer="0"/>
  <pageSetup orientation="landscape"/>
  <drawing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D21B31-4647-44CC-8F58-A7D968735E76}">
  <sheetPr>
    <outlinePr summaryBelow="0" summaryRight="0"/>
  </sheetPr>
  <dimension ref="A1:N1000"/>
  <sheetViews>
    <sheetView zoomScale="123" workbookViewId="0">
      <selection activeCell="H17" sqref="H17"/>
    </sheetView>
  </sheetViews>
  <sheetFormatPr defaultColWidth="14.44140625" defaultRowHeight="15" customHeight="1" x14ac:dyDescent="0.3"/>
  <cols>
    <col min="1" max="1" width="8.77734375" customWidth="1"/>
    <col min="2" max="2" width="50.21875" bestFit="1" customWidth="1"/>
    <col min="3" max="3" width="9.77734375" customWidth="1"/>
    <col min="4" max="4" width="8.77734375" customWidth="1"/>
    <col min="5" max="5" width="11.77734375" customWidth="1"/>
    <col min="6" max="6" width="15.21875" bestFit="1" customWidth="1"/>
    <col min="7" max="14" width="8.77734375" customWidth="1"/>
  </cols>
  <sheetData>
    <row r="1" spans="1:14" ht="14.25" customHeight="1" thickBot="1" x14ac:dyDescent="0.35">
      <c r="A1" s="48" t="s">
        <v>0</v>
      </c>
      <c r="B1" s="49"/>
      <c r="C1" s="49"/>
      <c r="D1" s="49"/>
      <c r="E1" s="49"/>
      <c r="F1" s="49"/>
      <c r="G1" s="49"/>
      <c r="H1" s="49"/>
      <c r="I1" s="50"/>
      <c r="K1" s="230" t="s">
        <v>1</v>
      </c>
      <c r="L1" s="224"/>
      <c r="M1" s="224"/>
      <c r="N1" s="219"/>
    </row>
    <row r="2" spans="1:14" ht="14.25" customHeight="1" thickBot="1" x14ac:dyDescent="0.35">
      <c r="A2" s="227"/>
      <c r="B2" s="224"/>
      <c r="C2" s="224"/>
      <c r="D2" s="224"/>
      <c r="E2" s="224"/>
      <c r="F2" s="224"/>
      <c r="G2" s="224"/>
      <c r="H2" s="224"/>
      <c r="I2" s="219"/>
      <c r="K2" s="1"/>
      <c r="L2" s="2"/>
      <c r="M2" s="2"/>
      <c r="N2" s="3"/>
    </row>
    <row r="3" spans="1:14" ht="14.25" customHeight="1" thickBot="1" x14ac:dyDescent="0.35">
      <c r="A3" s="4" t="s">
        <v>2</v>
      </c>
      <c r="B3" s="231">
        <v>1</v>
      </c>
      <c r="C3" s="224"/>
      <c r="D3" s="219"/>
      <c r="E3" s="40" t="s">
        <v>3</v>
      </c>
      <c r="F3" s="231">
        <v>1</v>
      </c>
      <c r="G3" s="224"/>
      <c r="H3" s="224"/>
      <c r="I3" s="219"/>
      <c r="K3" s="1"/>
      <c r="L3" s="2"/>
      <c r="M3" s="2"/>
      <c r="N3" s="3"/>
    </row>
    <row r="4" spans="1:14" ht="14.25" customHeight="1" thickBot="1" x14ac:dyDescent="0.35">
      <c r="A4" s="4" t="s">
        <v>4</v>
      </c>
      <c r="B4" s="231">
        <v>1</v>
      </c>
      <c r="C4" s="224"/>
      <c r="D4" s="219"/>
      <c r="E4" s="40" t="s">
        <v>5</v>
      </c>
      <c r="F4" s="223" t="s">
        <v>93</v>
      </c>
      <c r="G4" s="224"/>
      <c r="H4" s="224"/>
      <c r="I4" s="219"/>
      <c r="K4" s="1"/>
      <c r="L4" s="2"/>
      <c r="M4" s="2"/>
      <c r="N4" s="3"/>
    </row>
    <row r="5" spans="1:14" ht="14.25" customHeight="1" thickBot="1" x14ac:dyDescent="0.35">
      <c r="A5" s="4" t="s">
        <v>6</v>
      </c>
      <c r="B5" s="223" t="s">
        <v>348</v>
      </c>
      <c r="C5" s="224"/>
      <c r="D5" s="219"/>
      <c r="E5" s="40" t="s">
        <v>7</v>
      </c>
      <c r="F5" s="210" t="s">
        <v>94</v>
      </c>
      <c r="G5" s="202"/>
      <c r="H5" s="202"/>
      <c r="I5" s="203"/>
      <c r="K5" s="1"/>
      <c r="L5" s="2"/>
      <c r="M5" s="2"/>
      <c r="N5" s="3"/>
    </row>
    <row r="6" spans="1:14" ht="14.25" customHeight="1" thickBot="1" x14ac:dyDescent="0.35">
      <c r="A6" s="223"/>
      <c r="B6" s="224"/>
      <c r="C6" s="224"/>
      <c r="D6" s="219"/>
      <c r="E6" s="225" t="s">
        <v>8</v>
      </c>
      <c r="F6" s="41" t="s">
        <v>9</v>
      </c>
      <c r="G6" s="227"/>
      <c r="H6" s="224"/>
      <c r="I6" s="5" t="s">
        <v>10</v>
      </c>
      <c r="K6" s="1"/>
      <c r="L6" s="2"/>
      <c r="M6" s="2"/>
      <c r="N6" s="3"/>
    </row>
    <row r="7" spans="1:14" ht="14.25" customHeight="1" thickBot="1" x14ac:dyDescent="0.35">
      <c r="A7" s="4" t="s">
        <v>11</v>
      </c>
      <c r="B7" s="223" t="s">
        <v>95</v>
      </c>
      <c r="C7" s="224"/>
      <c r="D7" s="219"/>
      <c r="E7" s="226"/>
      <c r="F7" s="41" t="s">
        <v>12</v>
      </c>
      <c r="G7" s="227">
        <v>20</v>
      </c>
      <c r="H7" s="224"/>
      <c r="I7" s="5" t="s">
        <v>10</v>
      </c>
      <c r="K7" s="1"/>
      <c r="L7" s="2"/>
      <c r="M7" s="2"/>
      <c r="N7" s="3"/>
    </row>
    <row r="8" spans="1:14" ht="14.25" customHeight="1" thickBot="1" x14ac:dyDescent="0.35">
      <c r="A8" s="4" t="s">
        <v>13</v>
      </c>
      <c r="B8" s="228" t="s">
        <v>340</v>
      </c>
      <c r="C8" s="224"/>
      <c r="D8" s="219"/>
      <c r="E8" s="221"/>
      <c r="F8" s="41" t="s">
        <v>14</v>
      </c>
      <c r="G8" s="227">
        <v>75</v>
      </c>
      <c r="H8" s="224"/>
      <c r="I8" s="5" t="s">
        <v>10</v>
      </c>
      <c r="K8" s="6"/>
      <c r="L8" s="7"/>
      <c r="M8" s="7"/>
      <c r="N8" s="42"/>
    </row>
    <row r="9" spans="1:14" ht="14.25" customHeight="1" thickBot="1" x14ac:dyDescent="0.35">
      <c r="A9" s="227"/>
      <c r="B9" s="224"/>
      <c r="C9" s="224"/>
      <c r="D9" s="224"/>
      <c r="E9" s="224"/>
      <c r="F9" s="224"/>
      <c r="G9" s="224"/>
      <c r="H9" s="224"/>
      <c r="I9" s="219"/>
    </row>
    <row r="10" spans="1:14" ht="14.25" customHeight="1" thickBot="1" x14ac:dyDescent="0.35">
      <c r="A10" s="229" t="s">
        <v>15</v>
      </c>
      <c r="B10" s="225" t="s">
        <v>16</v>
      </c>
      <c r="C10" s="225" t="s">
        <v>17</v>
      </c>
      <c r="D10" s="218" t="s">
        <v>18</v>
      </c>
      <c r="E10" s="219"/>
      <c r="F10" s="220" t="s">
        <v>19</v>
      </c>
      <c r="G10" s="222" t="s">
        <v>20</v>
      </c>
      <c r="H10" s="222" t="s">
        <v>21</v>
      </c>
      <c r="I10" s="222" t="s">
        <v>22</v>
      </c>
    </row>
    <row r="11" spans="1:14" ht="14.25" customHeight="1" thickBot="1" x14ac:dyDescent="0.35">
      <c r="A11" s="221"/>
      <c r="B11" s="221"/>
      <c r="C11" s="221"/>
      <c r="D11" s="40" t="s">
        <v>23</v>
      </c>
      <c r="E11" s="40" t="s">
        <v>24</v>
      </c>
      <c r="F11" s="221"/>
      <c r="G11" s="221"/>
      <c r="H11" s="221"/>
      <c r="I11" s="221"/>
    </row>
    <row r="12" spans="1:14" ht="14.25" customHeight="1" thickBot="1" x14ac:dyDescent="0.35">
      <c r="A12" s="8">
        <v>1</v>
      </c>
      <c r="B12" s="41" t="s">
        <v>97</v>
      </c>
      <c r="C12" s="62" t="s">
        <v>98</v>
      </c>
      <c r="D12" s="62" t="s">
        <v>99</v>
      </c>
      <c r="E12" s="62" t="s">
        <v>100</v>
      </c>
      <c r="F12" s="69" t="s">
        <v>100</v>
      </c>
      <c r="G12" s="70">
        <v>0</v>
      </c>
      <c r="H12" s="71">
        <v>0</v>
      </c>
      <c r="I12" s="71">
        <f>G12+H12</f>
        <v>0</v>
      </c>
    </row>
    <row r="13" spans="1:14" ht="14.25" customHeight="1" thickBot="1" x14ac:dyDescent="0.35">
      <c r="A13" s="8">
        <v>2</v>
      </c>
      <c r="B13" s="130" t="s">
        <v>350</v>
      </c>
      <c r="C13" s="46" t="s">
        <v>107</v>
      </c>
      <c r="D13" s="40">
        <v>1</v>
      </c>
      <c r="E13" s="129" t="s">
        <v>106</v>
      </c>
      <c r="F13" s="40" t="s">
        <v>355</v>
      </c>
      <c r="G13" s="44">
        <v>180</v>
      </c>
      <c r="H13" s="45">
        <f>'Perhitungan LRP Pivot Holder'!K7*10</f>
        <v>3.317409766454352</v>
      </c>
      <c r="I13" s="71">
        <f t="shared" ref="I13:I20" si="0">G13+H13</f>
        <v>183.31740976645435</v>
      </c>
    </row>
    <row r="14" spans="1:14" ht="14.25" customHeight="1" thickBot="1" x14ac:dyDescent="0.35">
      <c r="A14" s="8">
        <v>12</v>
      </c>
      <c r="B14" s="130" t="s">
        <v>353</v>
      </c>
      <c r="C14" s="46" t="s">
        <v>107</v>
      </c>
      <c r="D14" s="40">
        <v>1</v>
      </c>
      <c r="E14" s="129" t="s">
        <v>106</v>
      </c>
      <c r="F14" s="40" t="s">
        <v>355</v>
      </c>
      <c r="G14" s="44">
        <v>60</v>
      </c>
      <c r="H14" s="45">
        <f>'Perhitungan LRP Pivot Holder'!K8</f>
        <v>0.33174097664543523</v>
      </c>
      <c r="I14" s="71">
        <f t="shared" si="0"/>
        <v>60.331740976645435</v>
      </c>
    </row>
    <row r="15" spans="1:14" ht="14.25" customHeight="1" thickBot="1" x14ac:dyDescent="0.35">
      <c r="A15" s="8">
        <v>13</v>
      </c>
      <c r="B15" s="130" t="s">
        <v>351</v>
      </c>
      <c r="C15" s="46" t="s">
        <v>107</v>
      </c>
      <c r="D15" s="40">
        <v>1</v>
      </c>
      <c r="E15" s="129" t="s">
        <v>106</v>
      </c>
      <c r="F15" s="40" t="s">
        <v>355</v>
      </c>
      <c r="G15" s="44">
        <v>60</v>
      </c>
      <c r="H15" s="45">
        <f>'Perhitungan LRP Pivot Holder'!K9</f>
        <v>9.9964614295824483E-2</v>
      </c>
      <c r="I15" s="71">
        <f t="shared" si="0"/>
        <v>60.099964614295821</v>
      </c>
    </row>
    <row r="16" spans="1:14" ht="14.25" customHeight="1" thickBot="1" x14ac:dyDescent="0.35">
      <c r="A16" s="8">
        <v>14</v>
      </c>
      <c r="B16" s="130" t="s">
        <v>352</v>
      </c>
      <c r="C16" s="46" t="s">
        <v>107</v>
      </c>
      <c r="D16" s="40">
        <v>1</v>
      </c>
      <c r="E16" s="129" t="s">
        <v>106</v>
      </c>
      <c r="F16" s="40" t="s">
        <v>355</v>
      </c>
      <c r="G16" s="44">
        <v>60</v>
      </c>
      <c r="H16" s="45">
        <f>'Perhitungan LRP Pivot Holder'!K10</f>
        <v>9.9964614295824483E-2</v>
      </c>
      <c r="I16" s="71">
        <f t="shared" si="0"/>
        <v>60.099964614295821</v>
      </c>
    </row>
    <row r="17" spans="1:9" ht="14.25" customHeight="1" thickBot="1" x14ac:dyDescent="0.35">
      <c r="A17" s="8">
        <v>15</v>
      </c>
      <c r="B17" s="130" t="s">
        <v>354</v>
      </c>
      <c r="C17" s="46" t="s">
        <v>107</v>
      </c>
      <c r="D17" s="40">
        <v>1</v>
      </c>
      <c r="E17" s="129" t="s">
        <v>106</v>
      </c>
      <c r="F17" s="40" t="s">
        <v>355</v>
      </c>
      <c r="G17" s="44">
        <v>60</v>
      </c>
      <c r="H17" s="45">
        <f>'Perhitungan LRP Pivot Holder'!K11*9</f>
        <v>1.7515923566878979</v>
      </c>
      <c r="I17" s="71">
        <f t="shared" si="0"/>
        <v>61.751592356687901</v>
      </c>
    </row>
    <row r="18" spans="1:9" ht="14.25" customHeight="1" thickBot="1" x14ac:dyDescent="0.35">
      <c r="A18" s="8">
        <v>24</v>
      </c>
      <c r="B18" s="130" t="s">
        <v>356</v>
      </c>
      <c r="C18" s="46" t="s">
        <v>107</v>
      </c>
      <c r="D18" s="40">
        <v>1</v>
      </c>
      <c r="E18" s="129" t="s">
        <v>106</v>
      </c>
      <c r="F18" s="40" t="s">
        <v>355</v>
      </c>
      <c r="G18" s="44">
        <v>60</v>
      </c>
      <c r="H18" s="45">
        <f>'Perhitungan LRP Pivot Holder'!K12</f>
        <v>0.194621372965322</v>
      </c>
      <c r="I18" s="71">
        <f t="shared" si="0"/>
        <v>60.194621372965322</v>
      </c>
    </row>
    <row r="19" spans="1:9" ht="14.25" customHeight="1" thickBot="1" x14ac:dyDescent="0.35">
      <c r="A19" s="8">
        <v>25</v>
      </c>
      <c r="B19" s="130" t="s">
        <v>108</v>
      </c>
      <c r="C19" s="46" t="s">
        <v>98</v>
      </c>
      <c r="D19" s="40"/>
      <c r="E19" s="129"/>
      <c r="F19" s="40" t="s">
        <v>109</v>
      </c>
      <c r="G19" s="44">
        <v>0</v>
      </c>
      <c r="H19" s="45">
        <v>120</v>
      </c>
      <c r="I19" s="71">
        <f t="shared" si="0"/>
        <v>120</v>
      </c>
    </row>
    <row r="20" spans="1:9" ht="14.25" customHeight="1" thickBot="1" x14ac:dyDescent="0.35">
      <c r="A20" s="8">
        <v>26</v>
      </c>
      <c r="B20" s="130" t="s">
        <v>110</v>
      </c>
      <c r="C20" s="46" t="s">
        <v>98</v>
      </c>
      <c r="D20" s="40"/>
      <c r="E20" s="129"/>
      <c r="F20" s="40" t="s">
        <v>100</v>
      </c>
      <c r="G20" s="44">
        <v>0</v>
      </c>
      <c r="H20" s="10">
        <v>0</v>
      </c>
      <c r="I20" s="71">
        <f t="shared" si="0"/>
        <v>0</v>
      </c>
    </row>
    <row r="21" spans="1:9" ht="14.25" customHeight="1" thickBot="1" x14ac:dyDescent="0.35">
      <c r="H21" s="16" t="s">
        <v>27</v>
      </c>
      <c r="I21" s="16">
        <f>SUM(I12:I20)</f>
        <v>605.79529370134469</v>
      </c>
    </row>
    <row r="22" spans="1:9" ht="14.25" customHeight="1" x14ac:dyDescent="0.3"/>
    <row r="23" spans="1:9" ht="14.25" customHeight="1" x14ac:dyDescent="0.3"/>
    <row r="24" spans="1:9" ht="14.25" customHeight="1" x14ac:dyDescent="0.3"/>
    <row r="25" spans="1:9" ht="14.25" customHeight="1" x14ac:dyDescent="0.3"/>
    <row r="26" spans="1:9" ht="14.25" customHeight="1" x14ac:dyDescent="0.3"/>
    <row r="27" spans="1:9" ht="14.25" customHeight="1" x14ac:dyDescent="0.3"/>
    <row r="28" spans="1:9" ht="14.25" customHeight="1" x14ac:dyDescent="0.3"/>
    <row r="29" spans="1:9" ht="14.25" customHeight="1" x14ac:dyDescent="0.3"/>
    <row r="30" spans="1:9" ht="14.25" customHeight="1" x14ac:dyDescent="0.3"/>
    <row r="31" spans="1:9" ht="14.25" customHeight="1" x14ac:dyDescent="0.3"/>
    <row r="32" spans="1:9"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24">
    <mergeCell ref="A9:I9"/>
    <mergeCell ref="A10:A11"/>
    <mergeCell ref="B10:B11"/>
    <mergeCell ref="C10:C11"/>
    <mergeCell ref="D10:E10"/>
    <mergeCell ref="F10:F11"/>
    <mergeCell ref="G10:G11"/>
    <mergeCell ref="H10:H11"/>
    <mergeCell ref="I10:I11"/>
    <mergeCell ref="B5:D5"/>
    <mergeCell ref="F5:I5"/>
    <mergeCell ref="A6:D6"/>
    <mergeCell ref="E6:E8"/>
    <mergeCell ref="G6:H6"/>
    <mergeCell ref="B7:D7"/>
    <mergeCell ref="G7:H7"/>
    <mergeCell ref="B8:D8"/>
    <mergeCell ref="G8:H8"/>
    <mergeCell ref="K1:N1"/>
    <mergeCell ref="A2:I2"/>
    <mergeCell ref="B3:D3"/>
    <mergeCell ref="F3:I3"/>
    <mergeCell ref="B4:D4"/>
    <mergeCell ref="F4:I4"/>
  </mergeCells>
  <pageMargins left="0.7" right="0.7" top="0.75" bottom="0.75" header="0" footer="0"/>
  <pageSetup orientation="landscape"/>
  <drawing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692A5-8517-4050-B35B-4E7FCD52BCA1}">
  <dimension ref="A1:AN1008"/>
  <sheetViews>
    <sheetView zoomScale="37" workbookViewId="0">
      <selection activeCell="O7" sqref="O7"/>
    </sheetView>
  </sheetViews>
  <sheetFormatPr defaultColWidth="14.44140625" defaultRowHeight="15" customHeight="1" x14ac:dyDescent="0.3"/>
  <cols>
    <col min="1" max="1" width="15" style="57" customWidth="1"/>
    <col min="2" max="2" width="60.5546875" style="57" customWidth="1"/>
    <col min="3" max="3" width="10" style="57" customWidth="1"/>
    <col min="4" max="4" width="9" style="57" customWidth="1"/>
    <col min="5" max="5" width="10.44140625" style="57" customWidth="1"/>
    <col min="6" max="7" width="12.5546875" style="57" customWidth="1"/>
    <col min="8" max="8" width="11.5546875" style="57" customWidth="1"/>
    <col min="9" max="9" width="21" style="57" customWidth="1"/>
    <col min="10" max="10" width="14" style="57" customWidth="1"/>
    <col min="11" max="11" width="16" style="57" customWidth="1"/>
    <col min="12" max="12" width="21.5546875" style="57" customWidth="1"/>
    <col min="13" max="13" width="17" style="57" customWidth="1"/>
    <col min="14" max="14" width="21" style="57" customWidth="1"/>
    <col min="15" max="15" width="20" style="57" customWidth="1"/>
    <col min="16" max="16" width="15" style="57" customWidth="1"/>
    <col min="17" max="17" width="18.44140625" style="57" customWidth="1"/>
    <col min="18" max="18" width="19.44140625" style="57" customWidth="1"/>
    <col min="19" max="19" width="18.44140625" style="57" customWidth="1"/>
    <col min="20" max="20" width="20" style="57" customWidth="1"/>
    <col min="21" max="40" width="9" style="57" customWidth="1"/>
    <col min="41" max="16384" width="14.44140625" style="57"/>
  </cols>
  <sheetData>
    <row r="1" spans="1:38" ht="14.25" customHeight="1" x14ac:dyDescent="0.3">
      <c r="A1" s="247" t="s">
        <v>28</v>
      </c>
      <c r="B1" s="248"/>
      <c r="C1" s="248"/>
      <c r="D1" s="248"/>
      <c r="E1" s="248"/>
      <c r="F1" s="248"/>
      <c r="G1" s="248"/>
      <c r="H1" s="248"/>
      <c r="I1" s="248"/>
      <c r="J1" s="248"/>
      <c r="K1" s="248"/>
      <c r="L1" s="248"/>
      <c r="M1" s="248"/>
      <c r="N1" s="248"/>
      <c r="O1" s="248"/>
      <c r="P1" s="248"/>
      <c r="Q1" s="248"/>
      <c r="R1" s="249"/>
      <c r="T1" s="253" t="s">
        <v>29</v>
      </c>
      <c r="U1" s="254"/>
      <c r="V1" s="254"/>
      <c r="W1" s="254"/>
      <c r="X1" s="254"/>
      <c r="Y1" s="254"/>
      <c r="Z1" s="254"/>
      <c r="AA1" s="254"/>
      <c r="AB1" s="254"/>
      <c r="AC1" s="254"/>
      <c r="AE1" s="253" t="s">
        <v>30</v>
      </c>
      <c r="AF1" s="254"/>
      <c r="AG1" s="254"/>
      <c r="AH1" s="254"/>
      <c r="AI1" s="254"/>
      <c r="AJ1" s="254"/>
      <c r="AK1" s="254"/>
      <c r="AL1" s="254"/>
    </row>
    <row r="2" spans="1:38" ht="14.25" customHeight="1" x14ac:dyDescent="0.3">
      <c r="A2" s="250"/>
      <c r="B2" s="251"/>
      <c r="C2" s="251"/>
      <c r="D2" s="251"/>
      <c r="E2" s="251"/>
      <c r="F2" s="251"/>
      <c r="G2" s="251"/>
      <c r="H2" s="251"/>
      <c r="I2" s="251"/>
      <c r="J2" s="251"/>
      <c r="K2" s="251"/>
      <c r="L2" s="251"/>
      <c r="M2" s="251"/>
      <c r="N2" s="251"/>
      <c r="O2" s="251"/>
      <c r="P2" s="251"/>
      <c r="Q2" s="251"/>
      <c r="R2" s="252"/>
      <c r="T2" s="254"/>
      <c r="U2" s="254"/>
      <c r="V2" s="254"/>
      <c r="W2" s="254"/>
      <c r="X2" s="254"/>
      <c r="Y2" s="254"/>
      <c r="Z2" s="254"/>
      <c r="AA2" s="254"/>
      <c r="AB2" s="254"/>
      <c r="AC2" s="254"/>
      <c r="AE2" s="254"/>
      <c r="AF2" s="254"/>
      <c r="AG2" s="254"/>
      <c r="AH2" s="254"/>
      <c r="AI2" s="254"/>
      <c r="AJ2" s="254"/>
      <c r="AK2" s="254"/>
      <c r="AL2" s="254"/>
    </row>
    <row r="3" spans="1:38" ht="14.25" customHeight="1" x14ac:dyDescent="0.3"/>
    <row r="4" spans="1:38" ht="14.25" customHeight="1" x14ac:dyDescent="0.3"/>
    <row r="5" spans="1:38" ht="14.25" customHeight="1" x14ac:dyDescent="0.3">
      <c r="A5" s="255" t="s">
        <v>31</v>
      </c>
      <c r="B5" s="246"/>
    </row>
    <row r="6" spans="1:38" ht="14.25" customHeight="1" x14ac:dyDescent="0.3">
      <c r="A6" s="76" t="s">
        <v>15</v>
      </c>
      <c r="B6" s="76" t="s">
        <v>32</v>
      </c>
      <c r="C6" s="77" t="s">
        <v>33</v>
      </c>
      <c r="D6" s="77" t="s">
        <v>34</v>
      </c>
      <c r="E6" s="77" t="s">
        <v>35</v>
      </c>
      <c r="F6" s="77" t="s">
        <v>36</v>
      </c>
      <c r="G6" s="77" t="s">
        <v>37</v>
      </c>
      <c r="H6" s="77" t="s">
        <v>38</v>
      </c>
      <c r="I6" s="77" t="s">
        <v>39</v>
      </c>
      <c r="J6" s="77" t="s">
        <v>40</v>
      </c>
      <c r="K6" s="77" t="s">
        <v>41</v>
      </c>
      <c r="L6" s="77" t="s">
        <v>42</v>
      </c>
      <c r="M6" s="77" t="s">
        <v>43</v>
      </c>
      <c r="N6" s="77" t="s">
        <v>44</v>
      </c>
      <c r="O6" s="77" t="s">
        <v>45</v>
      </c>
      <c r="P6" s="77" t="s">
        <v>46</v>
      </c>
      <c r="Q6" s="77" t="s">
        <v>47</v>
      </c>
    </row>
    <row r="7" spans="1:38" ht="13.8" customHeight="1" thickBot="1" x14ac:dyDescent="0.35">
      <c r="A7" s="62">
        <f>'LRP Pivot Holder'!A13</f>
        <v>2</v>
      </c>
      <c r="B7" s="63" t="str">
        <f>'LRP Pivot Holder'!B13</f>
        <v>End Mill Pocket Roughing (L=75 mm, d=2,7 mm, w=6 mm) (top side) 10x</v>
      </c>
      <c r="C7" s="78">
        <v>6</v>
      </c>
      <c r="D7" s="78">
        <v>2.7</v>
      </c>
      <c r="E7" s="78">
        <v>75</v>
      </c>
      <c r="F7" s="78">
        <f>(3.14*C7*G7)/1000</f>
        <v>226.08</v>
      </c>
      <c r="G7" s="78">
        <v>12000</v>
      </c>
      <c r="H7" s="78">
        <f>F7</f>
        <v>226.08</v>
      </c>
      <c r="I7" s="78">
        <v>6</v>
      </c>
      <c r="J7" s="78">
        <f>I7*D7</f>
        <v>16.200000000000003</v>
      </c>
      <c r="K7" s="78">
        <f>E7/H7</f>
        <v>0.33174097664543523</v>
      </c>
      <c r="L7" s="78">
        <f>K7*60</f>
        <v>19.904458598726112</v>
      </c>
      <c r="M7" s="78">
        <f>J7*H7</f>
        <v>3662.496000000001</v>
      </c>
      <c r="N7" s="78">
        <f>3.14*(10)^2*75</f>
        <v>23550</v>
      </c>
      <c r="O7" s="78">
        <f>K7*M7</f>
        <v>1215.0000000000002</v>
      </c>
      <c r="P7" s="78">
        <f>(O7/N7)*100%</f>
        <v>5.1592356687898099E-2</v>
      </c>
      <c r="Q7" s="78">
        <f>N7-O7</f>
        <v>22335</v>
      </c>
    </row>
    <row r="8" spans="1:38" ht="13.8" customHeight="1" thickBot="1" x14ac:dyDescent="0.35">
      <c r="A8" s="62">
        <f>'LRP Pivot Holder'!A14</f>
        <v>12</v>
      </c>
      <c r="B8" s="63" t="str">
        <f>'LRP Pivot Holder'!B14</f>
        <v>End Mill Pocket Finishing (L=75 mm, d=0,5 mm, w=6 mm) (top side)</v>
      </c>
      <c r="C8" s="78">
        <v>6</v>
      </c>
      <c r="D8" s="78">
        <v>0.5</v>
      </c>
      <c r="E8" s="78">
        <v>75</v>
      </c>
      <c r="F8" s="78">
        <f t="shared" ref="F8:F12" si="0">(3.14*C8*G8)/1000</f>
        <v>226.08</v>
      </c>
      <c r="G8" s="78">
        <v>12000</v>
      </c>
      <c r="H8" s="78">
        <f t="shared" ref="H8:H12" si="1">F8</f>
        <v>226.08</v>
      </c>
      <c r="I8" s="78">
        <v>6</v>
      </c>
      <c r="J8" s="78">
        <f t="shared" ref="J8:J12" si="2">I8*D8</f>
        <v>3</v>
      </c>
      <c r="K8" s="78">
        <f t="shared" ref="K8:K12" si="3">E8/H8</f>
        <v>0.33174097664543523</v>
      </c>
      <c r="L8" s="78">
        <f t="shared" ref="L8:L12" si="4">K8*60</f>
        <v>19.904458598726112</v>
      </c>
      <c r="M8" s="78">
        <f t="shared" ref="M8:M12" si="5">J8*H8</f>
        <v>678.24</v>
      </c>
      <c r="N8" s="78">
        <f t="shared" ref="N8:N12" si="6">3.14*(10)^2*75</f>
        <v>23550</v>
      </c>
      <c r="O8" s="78">
        <f t="shared" ref="O8:O12" si="7">K8*M8</f>
        <v>225</v>
      </c>
      <c r="P8" s="78">
        <f t="shared" ref="P8:P12" si="8">(O8/N8)*100%</f>
        <v>9.5541401273885346E-3</v>
      </c>
      <c r="Q8" s="78">
        <f t="shared" ref="Q8:Q12" si="9">N8-O8</f>
        <v>23325</v>
      </c>
    </row>
    <row r="9" spans="1:38" ht="13.8" customHeight="1" thickBot="1" x14ac:dyDescent="0.35">
      <c r="A9" s="62">
        <f>'LRP Pivot Holder'!A15</f>
        <v>13</v>
      </c>
      <c r="B9" s="63" t="str">
        <f>'LRP Pivot Holder'!B15</f>
        <v xml:space="preserve">End Mill Circular Pocket Roughing (L=22.6 mm, d=1 mm, w=6 mm) (top side) </v>
      </c>
      <c r="C9" s="78">
        <v>6</v>
      </c>
      <c r="D9" s="78">
        <v>1</v>
      </c>
      <c r="E9" s="78">
        <v>22.6</v>
      </c>
      <c r="F9" s="78">
        <f t="shared" si="0"/>
        <v>226.08</v>
      </c>
      <c r="G9" s="78">
        <v>12000</v>
      </c>
      <c r="H9" s="78">
        <f t="shared" si="1"/>
        <v>226.08</v>
      </c>
      <c r="I9" s="78">
        <v>6</v>
      </c>
      <c r="J9" s="78">
        <f t="shared" si="2"/>
        <v>6</v>
      </c>
      <c r="K9" s="78">
        <f t="shared" si="3"/>
        <v>9.9964614295824483E-2</v>
      </c>
      <c r="L9" s="78">
        <f t="shared" si="4"/>
        <v>5.9978768577494694</v>
      </c>
      <c r="M9" s="78">
        <f t="shared" si="5"/>
        <v>1356.48</v>
      </c>
      <c r="N9" s="78">
        <f t="shared" si="6"/>
        <v>23550</v>
      </c>
      <c r="O9" s="78">
        <f t="shared" si="7"/>
        <v>135.6</v>
      </c>
      <c r="P9" s="78">
        <f t="shared" si="8"/>
        <v>5.7579617834394902E-3</v>
      </c>
      <c r="Q9" s="78">
        <f t="shared" si="9"/>
        <v>23414.400000000001</v>
      </c>
    </row>
    <row r="10" spans="1:38" ht="13.8" customHeight="1" thickBot="1" x14ac:dyDescent="0.35">
      <c r="A10" s="62">
        <f>'LRP Pivot Holder'!A16</f>
        <v>14</v>
      </c>
      <c r="B10" s="63" t="str">
        <f>'LRP Pivot Holder'!B16</f>
        <v xml:space="preserve">End Mill Circular Pocket Finishing (L=22.6 mm, d=0,5 mm, w=6 mm) (top side) </v>
      </c>
      <c r="C10" s="78">
        <v>6</v>
      </c>
      <c r="D10" s="78">
        <v>0.5</v>
      </c>
      <c r="E10" s="78">
        <v>22.6</v>
      </c>
      <c r="F10" s="78">
        <f t="shared" si="0"/>
        <v>226.08</v>
      </c>
      <c r="G10" s="78">
        <v>12000</v>
      </c>
      <c r="H10" s="78">
        <f t="shared" si="1"/>
        <v>226.08</v>
      </c>
      <c r="I10" s="78">
        <v>6</v>
      </c>
      <c r="J10" s="78">
        <f t="shared" si="2"/>
        <v>3</v>
      </c>
      <c r="K10" s="78">
        <f t="shared" si="3"/>
        <v>9.9964614295824483E-2</v>
      </c>
      <c r="L10" s="78">
        <f t="shared" si="4"/>
        <v>5.9978768577494694</v>
      </c>
      <c r="M10" s="78">
        <f t="shared" si="5"/>
        <v>678.24</v>
      </c>
      <c r="N10" s="78">
        <f t="shared" si="6"/>
        <v>23550</v>
      </c>
      <c r="O10" s="78">
        <f t="shared" si="7"/>
        <v>67.8</v>
      </c>
      <c r="P10" s="78">
        <f t="shared" si="8"/>
        <v>2.8789808917197451E-3</v>
      </c>
      <c r="Q10" s="78">
        <f t="shared" si="9"/>
        <v>23482.2</v>
      </c>
    </row>
    <row r="11" spans="1:38" ht="13.8" customHeight="1" thickBot="1" x14ac:dyDescent="0.35">
      <c r="A11" s="62">
        <f>'LRP Pivot Holder'!A17</f>
        <v>15</v>
      </c>
      <c r="B11" s="63" t="str">
        <f>'LRP Pivot Holder'!B17</f>
        <v>End Mill Contour Roughing (L=44 mm, d=2.75 mm, w=6 mm) (top side) 9x</v>
      </c>
      <c r="C11" s="78">
        <v>6</v>
      </c>
      <c r="D11" s="78">
        <v>2.75</v>
      </c>
      <c r="E11" s="78">
        <v>44</v>
      </c>
      <c r="F11" s="78">
        <f t="shared" si="0"/>
        <v>226.08</v>
      </c>
      <c r="G11" s="78">
        <v>12000</v>
      </c>
      <c r="H11" s="78">
        <f t="shared" si="1"/>
        <v>226.08</v>
      </c>
      <c r="I11" s="78">
        <v>6</v>
      </c>
      <c r="J11" s="78">
        <f t="shared" si="2"/>
        <v>16.5</v>
      </c>
      <c r="K11" s="78">
        <f t="shared" si="3"/>
        <v>0.194621372965322</v>
      </c>
      <c r="L11" s="78">
        <f t="shared" si="4"/>
        <v>11.677282377919321</v>
      </c>
      <c r="M11" s="78">
        <f t="shared" si="5"/>
        <v>3730.32</v>
      </c>
      <c r="N11" s="78">
        <f t="shared" si="6"/>
        <v>23550</v>
      </c>
      <c r="O11" s="78">
        <f t="shared" si="7"/>
        <v>726</v>
      </c>
      <c r="P11" s="78">
        <f t="shared" si="8"/>
        <v>3.0828025477707008E-2</v>
      </c>
      <c r="Q11" s="78">
        <f t="shared" si="9"/>
        <v>22824</v>
      </c>
    </row>
    <row r="12" spans="1:38" ht="14.25" customHeight="1" thickBot="1" x14ac:dyDescent="0.35">
      <c r="A12" s="62">
        <f>'LRP Pivot Holder'!A18</f>
        <v>24</v>
      </c>
      <c r="B12" s="63" t="str">
        <f>'LRP Pivot Holder'!B18</f>
        <v xml:space="preserve">End Mill Contour Finishing (L=44 mm, d=2.75 mm, w=6 mm) (top side) </v>
      </c>
      <c r="C12" s="78">
        <v>6</v>
      </c>
      <c r="D12" s="78">
        <v>0.5</v>
      </c>
      <c r="E12" s="78">
        <v>44</v>
      </c>
      <c r="F12" s="78">
        <f t="shared" si="0"/>
        <v>226.08</v>
      </c>
      <c r="G12" s="78">
        <v>12000</v>
      </c>
      <c r="H12" s="78">
        <f t="shared" si="1"/>
        <v>226.08</v>
      </c>
      <c r="I12" s="78">
        <v>6</v>
      </c>
      <c r="J12" s="78">
        <f t="shared" si="2"/>
        <v>3</v>
      </c>
      <c r="K12" s="78">
        <f t="shared" si="3"/>
        <v>0.194621372965322</v>
      </c>
      <c r="L12" s="78">
        <f t="shared" si="4"/>
        <v>11.677282377919321</v>
      </c>
      <c r="M12" s="78">
        <f t="shared" si="5"/>
        <v>678.24</v>
      </c>
      <c r="N12" s="78">
        <f t="shared" si="6"/>
        <v>23550</v>
      </c>
      <c r="O12" s="78">
        <f t="shared" si="7"/>
        <v>132</v>
      </c>
      <c r="P12" s="78">
        <f t="shared" si="8"/>
        <v>5.6050955414012737E-3</v>
      </c>
      <c r="Q12" s="78">
        <f t="shared" si="9"/>
        <v>23418</v>
      </c>
    </row>
    <row r="13" spans="1:38" ht="14.25" customHeight="1" x14ac:dyDescent="0.3">
      <c r="B13" s="79"/>
      <c r="C13" s="80"/>
      <c r="D13" s="80"/>
      <c r="E13" s="80"/>
      <c r="F13" s="80"/>
      <c r="G13" s="80"/>
      <c r="H13" s="80"/>
      <c r="I13" s="80"/>
      <c r="J13" s="80"/>
      <c r="K13" s="80"/>
      <c r="L13" s="80"/>
      <c r="M13" s="80"/>
      <c r="N13" s="80"/>
      <c r="O13" s="80"/>
      <c r="P13" s="80"/>
      <c r="Q13" s="80"/>
      <c r="R13" s="80"/>
    </row>
    <row r="14" spans="1:38" ht="14.25" customHeight="1" x14ac:dyDescent="0.3"/>
    <row r="15" spans="1:38" ht="14.25" customHeight="1" x14ac:dyDescent="0.3">
      <c r="A15" s="256" t="s">
        <v>56</v>
      </c>
      <c r="B15" s="257"/>
    </row>
    <row r="16" spans="1:38" ht="14.25" customHeight="1" x14ac:dyDescent="0.3">
      <c r="A16" s="76" t="s">
        <v>15</v>
      </c>
      <c r="B16" s="76" t="s">
        <v>32</v>
      </c>
      <c r="C16" s="81" t="s">
        <v>33</v>
      </c>
      <c r="D16" s="81" t="s">
        <v>34</v>
      </c>
      <c r="E16" s="81" t="s">
        <v>52</v>
      </c>
      <c r="F16" s="81" t="s">
        <v>57</v>
      </c>
      <c r="G16" s="81" t="s">
        <v>37</v>
      </c>
      <c r="H16" s="81" t="s">
        <v>38</v>
      </c>
      <c r="I16" s="81" t="s">
        <v>41</v>
      </c>
      <c r="J16" s="81" t="s">
        <v>42</v>
      </c>
      <c r="K16" s="81" t="s">
        <v>43</v>
      </c>
      <c r="L16" s="81" t="s">
        <v>44</v>
      </c>
      <c r="M16" s="81" t="s">
        <v>45</v>
      </c>
      <c r="N16" s="81" t="s">
        <v>54</v>
      </c>
      <c r="O16" s="81" t="s">
        <v>47</v>
      </c>
    </row>
    <row r="17" spans="1:15" ht="14.25" customHeight="1" x14ac:dyDescent="0.3">
      <c r="A17" s="102"/>
      <c r="B17" s="82"/>
      <c r="C17" s="83"/>
      <c r="D17" s="84"/>
      <c r="E17" s="84"/>
      <c r="F17" s="84"/>
      <c r="G17" s="84"/>
      <c r="H17" s="84"/>
      <c r="I17" s="84"/>
      <c r="J17" s="84"/>
      <c r="K17" s="84"/>
      <c r="L17" s="84"/>
      <c r="M17" s="84"/>
      <c r="N17" s="84"/>
      <c r="O17" s="84"/>
    </row>
    <row r="18" spans="1:15" ht="14.25" customHeight="1" thickBot="1" x14ac:dyDescent="0.35">
      <c r="A18" s="102"/>
      <c r="B18" s="41"/>
      <c r="C18" s="83"/>
      <c r="D18" s="84"/>
      <c r="E18" s="84"/>
      <c r="F18" s="84"/>
      <c r="G18" s="84"/>
      <c r="H18" s="84"/>
      <c r="I18" s="84"/>
      <c r="J18" s="84"/>
      <c r="K18" s="84"/>
      <c r="L18" s="84"/>
      <c r="M18" s="84"/>
      <c r="N18" s="84"/>
      <c r="O18" s="84"/>
    </row>
    <row r="19" spans="1:15" ht="14.25" customHeight="1" x14ac:dyDescent="0.3">
      <c r="A19" s="102"/>
      <c r="B19" s="82"/>
      <c r="C19" s="83"/>
      <c r="D19" s="84"/>
      <c r="E19" s="84"/>
      <c r="F19" s="84"/>
      <c r="G19" s="84"/>
      <c r="H19" s="84"/>
      <c r="I19" s="84"/>
      <c r="J19" s="84"/>
      <c r="K19" s="84"/>
      <c r="L19" s="84"/>
      <c r="M19" s="84"/>
      <c r="N19" s="84"/>
      <c r="O19" s="84"/>
    </row>
    <row r="20" spans="1:15" ht="14.25" customHeight="1" x14ac:dyDescent="0.3">
      <c r="A20" s="102"/>
      <c r="B20" s="82"/>
      <c r="C20" s="83"/>
      <c r="D20" s="84"/>
      <c r="E20" s="84"/>
      <c r="F20" s="84"/>
      <c r="G20" s="84"/>
      <c r="H20" s="84"/>
      <c r="I20" s="84"/>
      <c r="J20" s="84"/>
      <c r="K20" s="84"/>
      <c r="L20" s="84"/>
      <c r="M20" s="84"/>
      <c r="N20" s="84"/>
      <c r="O20" s="84"/>
    </row>
    <row r="21" spans="1:15" ht="14.25" customHeight="1" x14ac:dyDescent="0.3"/>
    <row r="22" spans="1:15" ht="14.25" customHeight="1" x14ac:dyDescent="0.3">
      <c r="A22" s="245" t="s">
        <v>70</v>
      </c>
      <c r="B22" s="246"/>
    </row>
    <row r="23" spans="1:15" ht="14.25" customHeight="1" x14ac:dyDescent="0.3">
      <c r="A23" s="76" t="s">
        <v>15</v>
      </c>
      <c r="B23" s="76" t="s">
        <v>32</v>
      </c>
      <c r="C23" s="77" t="s">
        <v>40</v>
      </c>
      <c r="D23" s="77" t="s">
        <v>60</v>
      </c>
      <c r="E23" s="77" t="s">
        <v>71</v>
      </c>
      <c r="F23" s="77" t="s">
        <v>72</v>
      </c>
      <c r="G23" s="77" t="s">
        <v>45</v>
      </c>
      <c r="H23" s="77" t="s">
        <v>54</v>
      </c>
      <c r="I23" s="77" t="s">
        <v>47</v>
      </c>
    </row>
    <row r="24" spans="1:15" ht="14.25" customHeight="1" x14ac:dyDescent="0.3">
      <c r="A24" s="85"/>
      <c r="B24" s="86"/>
      <c r="C24" s="120"/>
      <c r="D24" s="120"/>
      <c r="E24" s="120"/>
      <c r="F24" s="87"/>
      <c r="G24" s="87"/>
      <c r="H24" s="88"/>
      <c r="I24" s="87"/>
    </row>
    <row r="25" spans="1:15" ht="14.25" customHeight="1" x14ac:dyDescent="0.3"/>
    <row r="26" spans="1:15" ht="14.25" customHeight="1" x14ac:dyDescent="0.3">
      <c r="A26" s="75"/>
      <c r="B26" s="75"/>
      <c r="C26" s="75"/>
      <c r="D26" s="75"/>
      <c r="E26" s="75"/>
      <c r="F26" s="75"/>
      <c r="G26" s="75"/>
      <c r="H26" s="75"/>
    </row>
    <row r="27" spans="1:15" ht="14.25" customHeight="1" x14ac:dyDescent="0.3"/>
    <row r="28" spans="1:15" ht="14.25" customHeight="1" x14ac:dyDescent="0.3">
      <c r="A28" s="59" t="s">
        <v>75</v>
      </c>
    </row>
    <row r="29" spans="1:15" ht="14.25" customHeight="1" x14ac:dyDescent="0.3"/>
    <row r="30" spans="1:15" ht="14.25" customHeight="1" x14ac:dyDescent="0.3">
      <c r="A30" s="59" t="s">
        <v>76</v>
      </c>
    </row>
    <row r="31" spans="1:15" ht="14.25" customHeight="1" x14ac:dyDescent="0.3"/>
    <row r="32" spans="1:15" ht="14.25" customHeight="1" x14ac:dyDescent="0.3">
      <c r="A32" s="59" t="s">
        <v>77</v>
      </c>
    </row>
    <row r="33" spans="1:40" ht="14.25" customHeight="1" x14ac:dyDescent="0.3">
      <c r="T33" s="253" t="s">
        <v>31</v>
      </c>
      <c r="U33" s="254"/>
      <c r="V33" s="254"/>
      <c r="W33" s="254"/>
      <c r="X33" s="254"/>
      <c r="Y33" s="254"/>
      <c r="Z33" s="254"/>
      <c r="AA33" s="254"/>
      <c r="AB33" s="254"/>
      <c r="AC33" s="254"/>
      <c r="AE33" s="253" t="s">
        <v>64</v>
      </c>
      <c r="AF33" s="254"/>
      <c r="AG33" s="254"/>
      <c r="AH33" s="254"/>
      <c r="AI33" s="254"/>
      <c r="AJ33" s="254"/>
      <c r="AK33" s="254"/>
      <c r="AL33" s="254"/>
      <c r="AM33" s="254"/>
      <c r="AN33" s="254"/>
    </row>
    <row r="34" spans="1:40" ht="14.25" customHeight="1" x14ac:dyDescent="0.3">
      <c r="A34" s="59" t="s">
        <v>78</v>
      </c>
      <c r="T34" s="254"/>
      <c r="U34" s="254"/>
      <c r="V34" s="254"/>
      <c r="W34" s="254"/>
      <c r="X34" s="254"/>
      <c r="Y34" s="254"/>
      <c r="Z34" s="254"/>
      <c r="AA34" s="254"/>
      <c r="AB34" s="254"/>
      <c r="AC34" s="254"/>
      <c r="AE34" s="254"/>
      <c r="AF34" s="254"/>
      <c r="AG34" s="254"/>
      <c r="AH34" s="254"/>
      <c r="AI34" s="254"/>
      <c r="AJ34" s="254"/>
      <c r="AK34" s="254"/>
      <c r="AL34" s="254"/>
      <c r="AM34" s="254"/>
      <c r="AN34" s="254"/>
    </row>
    <row r="35" spans="1:40" ht="14.25" customHeight="1" x14ac:dyDescent="0.3"/>
    <row r="36" spans="1:40" ht="14.25" customHeight="1" x14ac:dyDescent="0.3">
      <c r="A36" s="59" t="s">
        <v>79</v>
      </c>
    </row>
    <row r="37" spans="1:40" ht="14.25" customHeight="1" x14ac:dyDescent="0.3"/>
    <row r="38" spans="1:40" ht="14.25" customHeight="1" x14ac:dyDescent="0.3">
      <c r="A38" s="59" t="s">
        <v>80</v>
      </c>
    </row>
    <row r="39" spans="1:40" ht="14.25" customHeight="1" x14ac:dyDescent="0.3"/>
    <row r="40" spans="1:40" ht="14.25" customHeight="1" x14ac:dyDescent="0.3">
      <c r="B40" s="89"/>
    </row>
    <row r="41" spans="1:40" ht="14.25" customHeight="1" x14ac:dyDescent="0.3"/>
    <row r="42" spans="1:40" ht="14.25" customHeight="1" x14ac:dyDescent="0.3"/>
    <row r="43" spans="1:40" ht="14.25" customHeight="1" x14ac:dyDescent="0.3"/>
    <row r="44" spans="1:40" ht="14.25" customHeight="1" x14ac:dyDescent="0.3"/>
    <row r="45" spans="1:40" ht="14.25" customHeight="1" x14ac:dyDescent="0.3"/>
    <row r="46" spans="1:40" ht="14.25" customHeight="1" x14ac:dyDescent="0.3"/>
    <row r="47" spans="1:40" ht="14.25" customHeight="1" x14ac:dyDescent="0.3"/>
    <row r="48" spans="1:40" ht="19.5" customHeight="1" x14ac:dyDescent="0.3"/>
    <row r="49" spans="1:14" ht="14.25" customHeight="1" x14ac:dyDescent="0.3"/>
    <row r="50" spans="1:14" ht="14.25" customHeight="1" x14ac:dyDescent="0.3"/>
    <row r="51" spans="1:14" ht="14.25" customHeight="1" x14ac:dyDescent="0.3"/>
    <row r="52" spans="1:14" ht="14.25" customHeight="1" x14ac:dyDescent="0.3"/>
    <row r="53" spans="1:14" ht="14.25" customHeight="1" x14ac:dyDescent="0.3"/>
    <row r="54" spans="1:14" ht="14.25" customHeight="1" x14ac:dyDescent="0.3">
      <c r="B54" s="89"/>
    </row>
    <row r="55" spans="1:14" ht="14.25" customHeight="1" x14ac:dyDescent="0.3"/>
    <row r="56" spans="1:14" ht="14.25" customHeight="1" x14ac:dyDescent="0.3"/>
    <row r="57" spans="1:14" ht="14.25" customHeight="1" x14ac:dyDescent="0.3">
      <c r="B57" s="89"/>
    </row>
    <row r="58" spans="1:14" ht="14.25" customHeight="1" x14ac:dyDescent="0.3">
      <c r="B58" s="89"/>
    </row>
    <row r="59" spans="1:14" ht="14.25" customHeight="1" x14ac:dyDescent="0.3"/>
    <row r="60" spans="1:14" ht="15.75" customHeight="1" x14ac:dyDescent="0.3"/>
    <row r="61" spans="1:14" ht="14.25" customHeight="1" x14ac:dyDescent="0.3">
      <c r="J61" s="75"/>
      <c r="K61" s="75"/>
      <c r="L61" s="75"/>
      <c r="M61" s="75"/>
      <c r="N61" s="75"/>
    </row>
    <row r="62" spans="1:14" ht="14.25" customHeight="1" x14ac:dyDescent="0.3"/>
    <row r="63" spans="1:14" ht="14.25" customHeight="1" x14ac:dyDescent="0.3">
      <c r="B63" s="89"/>
    </row>
    <row r="64" spans="1:14" ht="14.25" customHeight="1" x14ac:dyDescent="0.3">
      <c r="A64" s="253" t="s">
        <v>82</v>
      </c>
      <c r="B64" s="254"/>
      <c r="C64" s="254"/>
      <c r="D64" s="254"/>
      <c r="E64" s="254"/>
      <c r="F64" s="254"/>
      <c r="G64" s="254"/>
      <c r="H64" s="254"/>
      <c r="I64" s="254"/>
      <c r="J64" s="254"/>
      <c r="K64" s="254"/>
      <c r="L64" s="254"/>
      <c r="M64" s="254"/>
      <c r="N64" s="254"/>
    </row>
    <row r="65" spans="1:32" ht="14.25" customHeight="1" x14ac:dyDescent="0.3"/>
    <row r="66" spans="1:32" ht="14.25" customHeight="1" x14ac:dyDescent="0.3">
      <c r="A66" s="59" t="s">
        <v>83</v>
      </c>
      <c r="B66" s="89"/>
    </row>
    <row r="67" spans="1:32" ht="14.25" customHeight="1" x14ac:dyDescent="0.3">
      <c r="B67" s="89"/>
    </row>
    <row r="68" spans="1:32" ht="14.25" customHeight="1" x14ac:dyDescent="0.3">
      <c r="A68" s="59" t="s">
        <v>84</v>
      </c>
    </row>
    <row r="69" spans="1:32" ht="14.25" customHeight="1" x14ac:dyDescent="0.3"/>
    <row r="70" spans="1:32" ht="14.25" customHeight="1" x14ac:dyDescent="0.3">
      <c r="A70" s="59" t="s">
        <v>85</v>
      </c>
      <c r="B70" s="89"/>
      <c r="U70" s="258" t="s">
        <v>81</v>
      </c>
      <c r="V70" s="254"/>
      <c r="W70" s="254"/>
      <c r="X70" s="254"/>
      <c r="Y70" s="254"/>
      <c r="Z70" s="254"/>
      <c r="AA70" s="254"/>
      <c r="AB70" s="254"/>
      <c r="AC70" s="254"/>
      <c r="AD70" s="254"/>
      <c r="AE70" s="254"/>
      <c r="AF70" s="254"/>
    </row>
    <row r="71" spans="1:32" ht="14.25" customHeight="1" x14ac:dyDescent="0.3">
      <c r="A71" s="59" t="s">
        <v>86</v>
      </c>
      <c r="B71" s="89"/>
      <c r="U71" s="254"/>
      <c r="V71" s="254"/>
      <c r="W71" s="254"/>
      <c r="X71" s="254"/>
      <c r="Y71" s="254"/>
      <c r="Z71" s="254"/>
      <c r="AA71" s="254"/>
      <c r="AB71" s="254"/>
      <c r="AC71" s="254"/>
      <c r="AD71" s="254"/>
      <c r="AE71" s="254"/>
      <c r="AF71" s="254"/>
    </row>
    <row r="72" spans="1:32" ht="14.25" customHeight="1" x14ac:dyDescent="0.3"/>
    <row r="73" spans="1:32" ht="14.25" customHeight="1" x14ac:dyDescent="0.3">
      <c r="A73" s="59" t="s">
        <v>87</v>
      </c>
    </row>
    <row r="74" spans="1:32" ht="14.25" customHeight="1" x14ac:dyDescent="0.3">
      <c r="B74" s="89"/>
    </row>
    <row r="75" spans="1:32" ht="14.25" customHeight="1" x14ac:dyDescent="0.3">
      <c r="A75" s="59" t="s">
        <v>88</v>
      </c>
      <c r="B75" s="89"/>
    </row>
    <row r="76" spans="1:32" ht="14.25" customHeight="1" x14ac:dyDescent="0.3"/>
    <row r="77" spans="1:32" ht="14.25" customHeight="1" x14ac:dyDescent="0.3"/>
    <row r="78" spans="1:32" ht="14.25" customHeight="1" x14ac:dyDescent="0.3"/>
    <row r="79" spans="1:32" ht="14.25" customHeight="1" x14ac:dyDescent="0.3"/>
    <row r="80" spans="1:32" ht="14.25" customHeight="1" x14ac:dyDescent="0.3"/>
    <row r="81" spans="2:2" ht="14.25" customHeight="1" x14ac:dyDescent="0.3"/>
    <row r="82" spans="2:2" ht="14.25" customHeight="1" x14ac:dyDescent="0.3"/>
    <row r="83" spans="2:2" ht="14.25" customHeight="1" x14ac:dyDescent="0.3"/>
    <row r="84" spans="2:2" ht="14.25" customHeight="1" x14ac:dyDescent="0.3"/>
    <row r="85" spans="2:2" ht="14.25" customHeight="1" x14ac:dyDescent="0.3"/>
    <row r="86" spans="2:2" ht="14.25" customHeight="1" x14ac:dyDescent="0.3">
      <c r="B86" s="90"/>
    </row>
    <row r="87" spans="2:2" ht="21.75" customHeight="1" x14ac:dyDescent="0.3"/>
    <row r="88" spans="2:2" ht="14.25" customHeight="1" x14ac:dyDescent="0.3"/>
    <row r="89" spans="2:2" ht="14.25" customHeight="1" x14ac:dyDescent="0.3"/>
    <row r="90" spans="2:2" ht="14.25" customHeight="1" x14ac:dyDescent="0.3"/>
    <row r="91" spans="2:2" ht="14.25" customHeight="1" x14ac:dyDescent="0.3"/>
    <row r="92" spans="2:2" ht="14.25" customHeight="1" x14ac:dyDescent="0.3"/>
    <row r="93" spans="2:2" ht="14.25" customHeight="1" x14ac:dyDescent="0.3"/>
    <row r="94" spans="2:2" ht="14.25" customHeight="1" x14ac:dyDescent="0.3"/>
    <row r="95" spans="2:2" ht="14.25" customHeight="1" x14ac:dyDescent="0.3"/>
    <row r="96" spans="2:2" ht="14.25" customHeight="1" x14ac:dyDescent="0.3"/>
    <row r="97" spans="1:14" ht="14.25" customHeight="1" x14ac:dyDescent="0.3">
      <c r="J97" s="91"/>
      <c r="K97" s="91"/>
      <c r="L97" s="91"/>
      <c r="M97" s="91"/>
      <c r="N97" s="91"/>
    </row>
    <row r="98" spans="1:14" ht="14.25" customHeight="1" x14ac:dyDescent="0.3">
      <c r="J98" s="75"/>
      <c r="K98" s="75"/>
      <c r="L98" s="75"/>
      <c r="M98" s="75"/>
      <c r="N98" s="75"/>
    </row>
    <row r="99" spans="1:14" ht="14.25" customHeight="1" x14ac:dyDescent="0.3"/>
    <row r="100" spans="1:14" ht="14.25" customHeight="1" x14ac:dyDescent="0.3">
      <c r="A100" s="91"/>
      <c r="B100" s="91"/>
      <c r="C100" s="91"/>
      <c r="D100" s="91"/>
      <c r="E100" s="91"/>
      <c r="F100" s="91"/>
      <c r="G100" s="91"/>
      <c r="H100" s="91"/>
      <c r="I100" s="91"/>
    </row>
    <row r="101" spans="1:14" ht="14.25" customHeight="1" x14ac:dyDescent="0.3">
      <c r="A101" s="253" t="s">
        <v>89</v>
      </c>
      <c r="B101" s="254"/>
      <c r="C101" s="254"/>
      <c r="D101" s="254"/>
      <c r="E101" s="254"/>
      <c r="F101" s="254"/>
      <c r="G101" s="254"/>
      <c r="H101" s="254"/>
      <c r="I101" s="254"/>
      <c r="J101" s="254"/>
      <c r="K101" s="254"/>
      <c r="L101" s="254"/>
      <c r="M101" s="254"/>
      <c r="N101" s="254"/>
    </row>
    <row r="102" spans="1:14" ht="14.25" customHeight="1" x14ac:dyDescent="0.3">
      <c r="A102" s="59" t="s">
        <v>90</v>
      </c>
    </row>
    <row r="103" spans="1:14" ht="14.25" customHeight="1" x14ac:dyDescent="0.3"/>
    <row r="104" spans="1:14" ht="14.25" customHeight="1" x14ac:dyDescent="0.3">
      <c r="A104" s="59" t="s">
        <v>84</v>
      </c>
    </row>
    <row r="105" spans="1:14" ht="14.25" customHeight="1" x14ac:dyDescent="0.3"/>
    <row r="106" spans="1:14" ht="14.25" customHeight="1" x14ac:dyDescent="0.3">
      <c r="A106" s="59" t="s">
        <v>91</v>
      </c>
    </row>
    <row r="107" spans="1:14" ht="14.25" customHeight="1" x14ac:dyDescent="0.3"/>
    <row r="108" spans="1:14" ht="14.25" customHeight="1" x14ac:dyDescent="0.3">
      <c r="A108" s="59" t="s">
        <v>92</v>
      </c>
    </row>
    <row r="109" spans="1:14" ht="14.25" customHeight="1" x14ac:dyDescent="0.3"/>
    <row r="110" spans="1:14" ht="14.25" customHeight="1" x14ac:dyDescent="0.3"/>
    <row r="111" spans="1:14" ht="14.25" customHeight="1" x14ac:dyDescent="0.3"/>
    <row r="112" spans="1:14"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6.5" customHeight="1" x14ac:dyDescent="0.3"/>
    <row r="121" ht="14.25" customHeight="1" x14ac:dyDescent="0.3"/>
    <row r="122" ht="14.25" customHeight="1" x14ac:dyDescent="0.3"/>
    <row r="123" ht="14.25" customHeight="1" x14ac:dyDescent="0.3"/>
    <row r="124" ht="30"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row r="1001" ht="15.75" customHeight="1" x14ac:dyDescent="0.3"/>
    <row r="1002" ht="15.75" customHeight="1" x14ac:dyDescent="0.3"/>
    <row r="1003" ht="15.75" customHeight="1" x14ac:dyDescent="0.3"/>
    <row r="1004" ht="15.75" customHeight="1" x14ac:dyDescent="0.3"/>
    <row r="1005" ht="15.75" customHeight="1" x14ac:dyDescent="0.3"/>
    <row r="1006" ht="15.75" customHeight="1" x14ac:dyDescent="0.3"/>
    <row r="1007" ht="15.75" customHeight="1" x14ac:dyDescent="0.3"/>
    <row r="1008" ht="15.75" customHeight="1" x14ac:dyDescent="0.3"/>
  </sheetData>
  <mergeCells count="11">
    <mergeCell ref="T33:AC34"/>
    <mergeCell ref="AE33:AN34"/>
    <mergeCell ref="A64:N64"/>
    <mergeCell ref="U70:AF71"/>
    <mergeCell ref="A101:N101"/>
    <mergeCell ref="A22:B22"/>
    <mergeCell ref="A1:R2"/>
    <mergeCell ref="T1:AC2"/>
    <mergeCell ref="AE1:AL2"/>
    <mergeCell ref="A5:B5"/>
    <mergeCell ref="A15:B15"/>
  </mergeCells>
  <pageMargins left="0.7" right="0.7" top="0.75" bottom="0.75" header="0" footer="0"/>
  <pageSetup orientation="landscape"/>
  <drawing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385C49-75B5-4B2D-A4B3-D5B758B3F98C}">
  <sheetPr>
    <outlinePr summaryBelow="0" summaryRight="0"/>
  </sheetPr>
  <dimension ref="A1:N994"/>
  <sheetViews>
    <sheetView zoomScale="108" zoomScaleNormal="90" workbookViewId="0">
      <selection activeCell="H21" sqref="H21"/>
    </sheetView>
  </sheetViews>
  <sheetFormatPr defaultColWidth="14.44140625" defaultRowHeight="15" customHeight="1" x14ac:dyDescent="0.3"/>
  <cols>
    <col min="1" max="1" width="9" style="57" customWidth="1"/>
    <col min="2" max="2" width="49.5546875" style="57" bestFit="1" customWidth="1"/>
    <col min="3" max="3" width="10.44140625" style="57" bestFit="1" customWidth="1"/>
    <col min="4" max="4" width="9" style="57" customWidth="1"/>
    <col min="5" max="5" width="10.6640625" style="57" customWidth="1"/>
    <col min="6" max="6" width="17" style="57" customWidth="1"/>
    <col min="7" max="14" width="9" style="57" customWidth="1"/>
    <col min="15" max="16384" width="14.44140625" style="57"/>
  </cols>
  <sheetData>
    <row r="1" spans="1:14" ht="14.25" customHeight="1" thickBot="1" x14ac:dyDescent="0.35">
      <c r="A1" s="214" t="s">
        <v>0</v>
      </c>
      <c r="B1" s="215"/>
      <c r="C1" s="215"/>
      <c r="D1" s="215"/>
      <c r="E1" s="215"/>
      <c r="F1" s="215"/>
      <c r="G1" s="215"/>
      <c r="H1" s="215"/>
      <c r="I1" s="216"/>
      <c r="K1" s="217" t="s">
        <v>1</v>
      </c>
      <c r="L1" s="202"/>
      <c r="M1" s="202"/>
      <c r="N1" s="203"/>
    </row>
    <row r="2" spans="1:14" ht="14.25" customHeight="1" thickBot="1" x14ac:dyDescent="0.35">
      <c r="A2" s="201"/>
      <c r="B2" s="202"/>
      <c r="C2" s="202"/>
      <c r="D2" s="202"/>
      <c r="E2" s="202"/>
      <c r="F2" s="202"/>
      <c r="G2" s="202"/>
      <c r="H2" s="202"/>
      <c r="I2" s="203"/>
      <c r="K2" s="58"/>
      <c r="L2" s="59"/>
      <c r="M2" s="59"/>
      <c r="N2" s="60"/>
    </row>
    <row r="3" spans="1:14" ht="14.25" customHeight="1" thickBot="1" x14ac:dyDescent="0.35">
      <c r="A3" s="61" t="s">
        <v>2</v>
      </c>
      <c r="B3" s="213">
        <v>2</v>
      </c>
      <c r="C3" s="202"/>
      <c r="D3" s="203"/>
      <c r="E3" s="62" t="s">
        <v>3</v>
      </c>
      <c r="F3" s="213">
        <v>1</v>
      </c>
      <c r="G3" s="202"/>
      <c r="H3" s="202"/>
      <c r="I3" s="203"/>
      <c r="K3" s="58"/>
      <c r="L3" s="59"/>
      <c r="M3" s="59"/>
      <c r="N3" s="60"/>
    </row>
    <row r="4" spans="1:14" ht="14.25" customHeight="1" thickBot="1" x14ac:dyDescent="0.35">
      <c r="A4" s="61" t="s">
        <v>4</v>
      </c>
      <c r="B4" s="213">
        <v>2</v>
      </c>
      <c r="C4" s="202"/>
      <c r="D4" s="203"/>
      <c r="E4" s="62" t="s">
        <v>5</v>
      </c>
      <c r="F4" s="210" t="s">
        <v>111</v>
      </c>
      <c r="G4" s="202"/>
      <c r="H4" s="202"/>
      <c r="I4" s="203"/>
      <c r="K4" s="58"/>
      <c r="L4" s="59"/>
      <c r="M4" s="59"/>
      <c r="N4" s="60"/>
    </row>
    <row r="5" spans="1:14" ht="14.25" customHeight="1" thickBot="1" x14ac:dyDescent="0.35">
      <c r="A5" s="61" t="s">
        <v>6</v>
      </c>
      <c r="B5" s="210" t="s">
        <v>357</v>
      </c>
      <c r="C5" s="202"/>
      <c r="D5" s="203"/>
      <c r="E5" s="62" t="s">
        <v>7</v>
      </c>
      <c r="F5" s="210" t="s">
        <v>94</v>
      </c>
      <c r="G5" s="202"/>
      <c r="H5" s="202"/>
      <c r="I5" s="203"/>
      <c r="K5" s="58"/>
      <c r="L5" s="59"/>
      <c r="M5" s="59"/>
      <c r="N5" s="60"/>
    </row>
    <row r="6" spans="1:14" ht="14.25" customHeight="1" thickBot="1" x14ac:dyDescent="0.35">
      <c r="A6" s="210"/>
      <c r="B6" s="202"/>
      <c r="C6" s="202"/>
      <c r="D6" s="203"/>
      <c r="E6" s="206" t="s">
        <v>8</v>
      </c>
      <c r="F6" s="63" t="s">
        <v>9</v>
      </c>
      <c r="G6" s="201"/>
      <c r="H6" s="202"/>
      <c r="I6" s="64" t="s">
        <v>10</v>
      </c>
      <c r="K6" s="58"/>
      <c r="L6" s="59"/>
      <c r="M6" s="59"/>
      <c r="N6" s="60"/>
    </row>
    <row r="7" spans="1:14" ht="14.25" customHeight="1" thickBot="1" x14ac:dyDescent="0.35">
      <c r="A7" s="61" t="s">
        <v>11</v>
      </c>
      <c r="B7" s="210" t="s">
        <v>95</v>
      </c>
      <c r="C7" s="202"/>
      <c r="D7" s="203"/>
      <c r="E7" s="211"/>
      <c r="F7" s="63" t="s">
        <v>12</v>
      </c>
      <c r="G7" s="201">
        <v>20</v>
      </c>
      <c r="H7" s="202"/>
      <c r="I7" s="64" t="s">
        <v>10</v>
      </c>
      <c r="K7" s="58"/>
      <c r="L7" s="59"/>
      <c r="M7" s="59"/>
      <c r="N7" s="60"/>
    </row>
    <row r="8" spans="1:14" ht="14.25" customHeight="1" thickBot="1" x14ac:dyDescent="0.35">
      <c r="A8" s="61" t="s">
        <v>13</v>
      </c>
      <c r="B8" s="212" t="s">
        <v>96</v>
      </c>
      <c r="C8" s="202"/>
      <c r="D8" s="203"/>
      <c r="E8" s="205"/>
      <c r="F8" s="63" t="s">
        <v>14</v>
      </c>
      <c r="G8" s="201">
        <v>75</v>
      </c>
      <c r="H8" s="202"/>
      <c r="I8" s="64" t="s">
        <v>10</v>
      </c>
      <c r="K8" s="65"/>
      <c r="L8" s="66"/>
      <c r="M8" s="66"/>
      <c r="N8" s="67"/>
    </row>
    <row r="9" spans="1:14" ht="14.25" customHeight="1" thickBot="1" x14ac:dyDescent="0.35">
      <c r="A9" s="201"/>
      <c r="B9" s="202"/>
      <c r="C9" s="202"/>
      <c r="D9" s="202"/>
      <c r="E9" s="202"/>
      <c r="F9" s="202"/>
      <c r="G9" s="202"/>
      <c r="H9" s="202"/>
      <c r="I9" s="203"/>
    </row>
    <row r="10" spans="1:14" ht="14.25" customHeight="1" thickBot="1" x14ac:dyDescent="0.35">
      <c r="A10" s="204" t="s">
        <v>15</v>
      </c>
      <c r="B10" s="206" t="s">
        <v>16</v>
      </c>
      <c r="C10" s="206" t="s">
        <v>17</v>
      </c>
      <c r="D10" s="207" t="s">
        <v>18</v>
      </c>
      <c r="E10" s="203"/>
      <c r="F10" s="208" t="s">
        <v>19</v>
      </c>
      <c r="G10" s="209" t="s">
        <v>20</v>
      </c>
      <c r="H10" s="209" t="s">
        <v>21</v>
      </c>
      <c r="I10" s="209" t="s">
        <v>22</v>
      </c>
    </row>
    <row r="11" spans="1:14" ht="14.25" customHeight="1" thickBot="1" x14ac:dyDescent="0.35">
      <c r="A11" s="205"/>
      <c r="B11" s="205"/>
      <c r="C11" s="205"/>
      <c r="D11" s="62" t="s">
        <v>23</v>
      </c>
      <c r="E11" s="62" t="s">
        <v>24</v>
      </c>
      <c r="F11" s="205"/>
      <c r="G11" s="205"/>
      <c r="H11" s="205"/>
      <c r="I11" s="205"/>
    </row>
    <row r="12" spans="1:14" ht="14.25" customHeight="1" thickBot="1" x14ac:dyDescent="0.35">
      <c r="A12" s="68">
        <v>1</v>
      </c>
      <c r="B12" s="63" t="s">
        <v>97</v>
      </c>
      <c r="C12" s="62" t="s">
        <v>98</v>
      </c>
      <c r="D12" s="62" t="s">
        <v>99</v>
      </c>
      <c r="E12" s="62"/>
      <c r="F12" s="69" t="s">
        <v>100</v>
      </c>
      <c r="G12" s="70">
        <v>0</v>
      </c>
      <c r="H12" s="71">
        <v>0</v>
      </c>
      <c r="I12" s="71">
        <v>0</v>
      </c>
    </row>
    <row r="13" spans="1:14" ht="14.25" customHeight="1" thickBot="1" x14ac:dyDescent="0.35">
      <c r="A13" s="68">
        <v>2</v>
      </c>
      <c r="B13" s="63" t="s">
        <v>358</v>
      </c>
      <c r="C13" s="72" t="s">
        <v>129</v>
      </c>
      <c r="D13" s="62">
        <v>1</v>
      </c>
      <c r="E13" s="62" t="s">
        <v>102</v>
      </c>
      <c r="F13" s="62" t="s">
        <v>103</v>
      </c>
      <c r="G13" s="70">
        <v>180</v>
      </c>
      <c r="H13" s="71">
        <f>'Perhitungan LRP Guide Male'!M17</f>
        <v>24</v>
      </c>
      <c r="I13" s="71">
        <f t="shared" ref="I13:I20" si="0">G13+H13</f>
        <v>204</v>
      </c>
    </row>
    <row r="14" spans="1:14" ht="14.25" customHeight="1" thickBot="1" x14ac:dyDescent="0.35">
      <c r="A14" s="68">
        <v>3</v>
      </c>
      <c r="B14" s="63" t="s">
        <v>359</v>
      </c>
      <c r="C14" s="72" t="s">
        <v>129</v>
      </c>
      <c r="D14" s="62">
        <v>1</v>
      </c>
      <c r="E14" s="62" t="s">
        <v>102</v>
      </c>
      <c r="F14" s="62" t="s">
        <v>103</v>
      </c>
      <c r="G14" s="70">
        <v>120</v>
      </c>
      <c r="H14" s="71">
        <f>'Perhitungan LRP Guide Male'!M18</f>
        <v>4.5</v>
      </c>
      <c r="I14" s="71">
        <f>G14+H14</f>
        <v>124.5</v>
      </c>
    </row>
    <row r="15" spans="1:14" ht="14.25" customHeight="1" thickBot="1" x14ac:dyDescent="0.35">
      <c r="A15" s="68">
        <v>4</v>
      </c>
      <c r="B15" s="63" t="s">
        <v>360</v>
      </c>
      <c r="C15" s="72" t="s">
        <v>129</v>
      </c>
      <c r="D15" s="62">
        <v>1</v>
      </c>
      <c r="E15" s="62" t="s">
        <v>102</v>
      </c>
      <c r="F15" s="62" t="s">
        <v>103</v>
      </c>
      <c r="G15" s="70">
        <v>120</v>
      </c>
      <c r="H15" s="71">
        <f>'Perhitungan LRP Guide Male'!M19</f>
        <v>3.75</v>
      </c>
      <c r="I15" s="71">
        <f t="shared" si="0"/>
        <v>123.75</v>
      </c>
    </row>
    <row r="16" spans="1:14" ht="14.25" customHeight="1" thickBot="1" x14ac:dyDescent="0.35">
      <c r="A16" s="68">
        <v>5</v>
      </c>
      <c r="B16" s="63" t="s">
        <v>361</v>
      </c>
      <c r="C16" s="72" t="s">
        <v>129</v>
      </c>
      <c r="D16" s="62">
        <v>1</v>
      </c>
      <c r="E16" s="62" t="s">
        <v>102</v>
      </c>
      <c r="F16" s="62" t="s">
        <v>103</v>
      </c>
      <c r="G16" s="70">
        <v>120</v>
      </c>
      <c r="H16" s="71">
        <v>60</v>
      </c>
      <c r="I16" s="71">
        <f t="shared" si="0"/>
        <v>180</v>
      </c>
    </row>
    <row r="17" spans="1:9" ht="14.25" customHeight="1" thickBot="1" x14ac:dyDescent="0.35">
      <c r="A17" s="68">
        <v>6</v>
      </c>
      <c r="B17" s="63" t="s">
        <v>362</v>
      </c>
      <c r="C17" s="72" t="s">
        <v>129</v>
      </c>
      <c r="D17" s="62">
        <v>1</v>
      </c>
      <c r="E17" s="62" t="s">
        <v>102</v>
      </c>
      <c r="F17" s="62" t="s">
        <v>103</v>
      </c>
      <c r="G17" s="70">
        <v>120</v>
      </c>
      <c r="H17" s="71">
        <v>60</v>
      </c>
      <c r="I17" s="71">
        <f t="shared" si="0"/>
        <v>180</v>
      </c>
    </row>
    <row r="18" spans="1:9" ht="14.25" customHeight="1" thickBot="1" x14ac:dyDescent="0.35">
      <c r="A18" s="68">
        <v>7</v>
      </c>
      <c r="B18" s="63" t="s">
        <v>363</v>
      </c>
      <c r="C18" s="72" t="s">
        <v>98</v>
      </c>
      <c r="D18" s="62">
        <v>1</v>
      </c>
      <c r="E18" s="62" t="s">
        <v>106</v>
      </c>
      <c r="F18" s="62" t="s">
        <v>103</v>
      </c>
      <c r="G18" s="70">
        <v>120</v>
      </c>
      <c r="H18" s="71">
        <v>60</v>
      </c>
      <c r="I18" s="71">
        <f t="shared" si="0"/>
        <v>180</v>
      </c>
    </row>
    <row r="19" spans="1:9" ht="14.25" customHeight="1" thickBot="1" x14ac:dyDescent="0.35">
      <c r="A19" s="68">
        <v>8</v>
      </c>
      <c r="B19" s="63" t="s">
        <v>108</v>
      </c>
      <c r="C19" s="68" t="s">
        <v>98</v>
      </c>
      <c r="D19" s="62"/>
      <c r="E19" s="62"/>
      <c r="F19" s="62" t="s">
        <v>109</v>
      </c>
      <c r="G19" s="73">
        <v>0</v>
      </c>
      <c r="H19" s="73">
        <v>0</v>
      </c>
      <c r="I19" s="71">
        <f t="shared" si="0"/>
        <v>0</v>
      </c>
    </row>
    <row r="20" spans="1:9" ht="14.25" customHeight="1" thickBot="1" x14ac:dyDescent="0.35">
      <c r="A20" s="68">
        <v>9</v>
      </c>
      <c r="B20" s="63" t="s">
        <v>110</v>
      </c>
      <c r="C20" s="68" t="s">
        <v>98</v>
      </c>
      <c r="D20" s="62"/>
      <c r="E20" s="62"/>
      <c r="F20" s="62" t="s">
        <v>100</v>
      </c>
      <c r="G20" s="73">
        <v>0</v>
      </c>
      <c r="H20" s="73">
        <v>120</v>
      </c>
      <c r="I20" s="71">
        <f t="shared" si="0"/>
        <v>120</v>
      </c>
    </row>
    <row r="21" spans="1:9" ht="14.25" customHeight="1" thickBot="1" x14ac:dyDescent="0.35">
      <c r="H21" s="73" t="s">
        <v>27</v>
      </c>
      <c r="I21" s="73">
        <f>SUM(I12:I20)</f>
        <v>1112.25</v>
      </c>
    </row>
    <row r="27" spans="1:9" ht="14.25" customHeight="1" x14ac:dyDescent="0.3"/>
    <row r="28" spans="1:9" ht="14.25" customHeight="1" x14ac:dyDescent="0.3"/>
    <row r="29" spans="1:9" ht="14.25" customHeight="1" x14ac:dyDescent="0.3"/>
    <row r="30" spans="1:9" ht="14.25" customHeight="1" x14ac:dyDescent="0.3"/>
    <row r="31" spans="1:9" ht="14.25" customHeight="1" x14ac:dyDescent="0.3"/>
    <row r="32" spans="1:9"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sheetData>
  <mergeCells count="25">
    <mergeCell ref="B4:D4"/>
    <mergeCell ref="F4:I4"/>
    <mergeCell ref="A1:I1"/>
    <mergeCell ref="K1:N1"/>
    <mergeCell ref="A2:I2"/>
    <mergeCell ref="B3:D3"/>
    <mergeCell ref="F3:I3"/>
    <mergeCell ref="B5:D5"/>
    <mergeCell ref="F5:I5"/>
    <mergeCell ref="A6:D6"/>
    <mergeCell ref="E6:E8"/>
    <mergeCell ref="G6:H6"/>
    <mergeCell ref="B7:D7"/>
    <mergeCell ref="G7:H7"/>
    <mergeCell ref="B8:D8"/>
    <mergeCell ref="G8:H8"/>
    <mergeCell ref="A9:I9"/>
    <mergeCell ref="A10:A11"/>
    <mergeCell ref="B10:B11"/>
    <mergeCell ref="C10:C11"/>
    <mergeCell ref="D10:E10"/>
    <mergeCell ref="F10:F11"/>
    <mergeCell ref="G10:G11"/>
    <mergeCell ref="H10:H11"/>
    <mergeCell ref="I10:I11"/>
  </mergeCells>
  <pageMargins left="0.7" right="0.7" top="0.75" bottom="0.75" header="0" footer="0"/>
  <pageSetup orientation="landscape"/>
  <drawing r:id="rId1"/>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81C31F-69E6-4103-B0E2-71D6CA244D00}">
  <dimension ref="A1:AL996"/>
  <sheetViews>
    <sheetView topLeftCell="B2" zoomScale="88" zoomScaleNormal="69" workbookViewId="0">
      <selection activeCell="G31" sqref="G31"/>
    </sheetView>
  </sheetViews>
  <sheetFormatPr defaultColWidth="14.44140625" defaultRowHeight="15" customHeight="1" x14ac:dyDescent="0.3"/>
  <cols>
    <col min="1" max="1" width="15" style="57" customWidth="1"/>
    <col min="2" max="2" width="58.5546875" style="57" customWidth="1"/>
    <col min="3" max="3" width="10.21875" style="57" customWidth="1"/>
    <col min="4" max="4" width="9" style="57" customWidth="1"/>
    <col min="5" max="5" width="10.44140625" style="57" customWidth="1"/>
    <col min="6" max="7" width="12.5546875" style="57" customWidth="1"/>
    <col min="8" max="8" width="13" style="57" bestFit="1" customWidth="1"/>
    <col min="9" max="9" width="9.44140625" style="57" customWidth="1"/>
    <col min="10" max="10" width="10.44140625" style="57" bestFit="1" customWidth="1"/>
    <col min="11" max="11" width="14.44140625" style="57"/>
    <col min="12" max="12" width="12.21875" style="57" customWidth="1"/>
    <col min="13" max="13" width="15" style="57" bestFit="1" customWidth="1"/>
    <col min="14" max="14" width="17.77734375" style="57" bestFit="1" customWidth="1"/>
    <col min="15" max="15" width="18" style="57" customWidth="1"/>
    <col min="16" max="16" width="15.21875" style="57" customWidth="1"/>
    <col min="17" max="17" width="18.44140625" style="57" customWidth="1"/>
    <col min="18" max="18" width="18" style="57" customWidth="1"/>
    <col min="19" max="19" width="18.44140625" style="57" customWidth="1"/>
    <col min="20" max="40" width="8.5546875" style="57" customWidth="1"/>
    <col min="41" max="16384" width="14.44140625" style="57"/>
  </cols>
  <sheetData>
    <row r="1" spans="1:38" ht="14.25" customHeight="1" x14ac:dyDescent="0.3">
      <c r="A1" s="247" t="s">
        <v>28</v>
      </c>
      <c r="B1" s="248"/>
      <c r="C1" s="248"/>
      <c r="D1" s="248"/>
      <c r="E1" s="248"/>
      <c r="F1" s="248"/>
      <c r="G1" s="248"/>
      <c r="H1" s="248"/>
      <c r="I1" s="248"/>
      <c r="J1" s="248"/>
      <c r="K1" s="248"/>
      <c r="L1" s="248"/>
      <c r="M1" s="248"/>
      <c r="N1" s="248"/>
      <c r="O1" s="248"/>
      <c r="P1" s="248"/>
      <c r="Q1" s="248"/>
      <c r="R1" s="249"/>
      <c r="T1" s="253" t="s">
        <v>29</v>
      </c>
      <c r="U1" s="254"/>
      <c r="V1" s="254"/>
      <c r="W1" s="254"/>
      <c r="X1" s="254"/>
      <c r="Y1" s="254"/>
      <c r="Z1" s="254"/>
      <c r="AA1" s="254"/>
      <c r="AB1" s="254"/>
      <c r="AC1" s="254"/>
      <c r="AE1" s="253" t="s">
        <v>30</v>
      </c>
      <c r="AF1" s="254"/>
      <c r="AG1" s="254"/>
      <c r="AH1" s="254"/>
      <c r="AI1" s="254"/>
      <c r="AJ1" s="254"/>
      <c r="AK1" s="254"/>
      <c r="AL1" s="254"/>
    </row>
    <row r="2" spans="1:38" ht="14.25" customHeight="1" x14ac:dyDescent="0.3">
      <c r="A2" s="250"/>
      <c r="B2" s="251"/>
      <c r="C2" s="251"/>
      <c r="D2" s="251"/>
      <c r="E2" s="251"/>
      <c r="F2" s="251"/>
      <c r="G2" s="251"/>
      <c r="H2" s="251"/>
      <c r="I2" s="251"/>
      <c r="J2" s="251"/>
      <c r="K2" s="251"/>
      <c r="L2" s="251"/>
      <c r="M2" s="251"/>
      <c r="N2" s="251"/>
      <c r="O2" s="251"/>
      <c r="P2" s="251"/>
      <c r="Q2" s="251"/>
      <c r="R2" s="252"/>
      <c r="T2" s="254"/>
      <c r="U2" s="254"/>
      <c r="V2" s="254"/>
      <c r="W2" s="254"/>
      <c r="X2" s="254"/>
      <c r="Y2" s="254"/>
      <c r="Z2" s="254"/>
      <c r="AA2" s="254"/>
      <c r="AB2" s="254"/>
      <c r="AC2" s="254"/>
      <c r="AE2" s="254"/>
      <c r="AF2" s="254"/>
      <c r="AG2" s="254"/>
      <c r="AH2" s="254"/>
      <c r="AI2" s="254"/>
      <c r="AJ2" s="254"/>
      <c r="AK2" s="254"/>
      <c r="AL2" s="254"/>
    </row>
    <row r="3" spans="1:38" ht="14.25" customHeight="1" x14ac:dyDescent="0.3"/>
    <row r="4" spans="1:38" ht="14.25" customHeight="1" x14ac:dyDescent="0.3"/>
    <row r="5" spans="1:38" ht="14.25" customHeight="1" x14ac:dyDescent="0.3">
      <c r="A5" s="255" t="s">
        <v>31</v>
      </c>
      <c r="B5" s="246"/>
    </row>
    <row r="6" spans="1:38" ht="14.25" customHeight="1" x14ac:dyDescent="0.3">
      <c r="A6" s="76" t="s">
        <v>15</v>
      </c>
      <c r="B6" s="76" t="s">
        <v>32</v>
      </c>
      <c r="C6" s="77" t="s">
        <v>33</v>
      </c>
      <c r="D6" s="81" t="s">
        <v>34</v>
      </c>
      <c r="E6" s="81" t="s">
        <v>35</v>
      </c>
      <c r="F6" s="81" t="s">
        <v>36</v>
      </c>
      <c r="G6" s="81" t="s">
        <v>37</v>
      </c>
      <c r="H6" s="81" t="s">
        <v>38</v>
      </c>
      <c r="I6" s="81" t="s">
        <v>39</v>
      </c>
      <c r="J6" s="81" t="s">
        <v>40</v>
      </c>
      <c r="K6" s="81" t="s">
        <v>41</v>
      </c>
      <c r="L6" s="81" t="s">
        <v>42</v>
      </c>
      <c r="M6" s="81" t="s">
        <v>43</v>
      </c>
      <c r="N6" s="81" t="s">
        <v>44</v>
      </c>
      <c r="O6" s="81" t="s">
        <v>45</v>
      </c>
      <c r="P6" s="81" t="s">
        <v>46</v>
      </c>
      <c r="Q6" s="81" t="s">
        <v>47</v>
      </c>
    </row>
    <row r="7" spans="1:38" ht="14.25" customHeight="1" x14ac:dyDescent="0.3">
      <c r="A7" s="115"/>
      <c r="B7" s="116"/>
      <c r="C7" s="117"/>
      <c r="D7" s="118"/>
      <c r="E7" s="119"/>
      <c r="F7" s="78"/>
      <c r="G7" s="78"/>
      <c r="H7" s="78"/>
      <c r="I7" s="78"/>
      <c r="J7" s="78"/>
      <c r="K7" s="78"/>
      <c r="L7" s="78"/>
      <c r="M7" s="78"/>
      <c r="N7" s="78"/>
      <c r="O7" s="78"/>
      <c r="P7" s="78"/>
      <c r="Q7" s="78"/>
    </row>
    <row r="8" spans="1:38" ht="14.25" customHeight="1" x14ac:dyDescent="0.3">
      <c r="A8" s="115"/>
      <c r="B8" s="116"/>
      <c r="C8" s="117"/>
      <c r="D8" s="118"/>
      <c r="E8" s="119"/>
      <c r="F8" s="78"/>
      <c r="G8" s="78"/>
      <c r="H8" s="78"/>
      <c r="I8" s="78"/>
      <c r="J8" s="78"/>
      <c r="K8" s="78"/>
      <c r="L8" s="78"/>
      <c r="M8" s="78"/>
      <c r="N8" s="78"/>
      <c r="O8" s="78"/>
      <c r="P8" s="78"/>
      <c r="Q8" s="78"/>
    </row>
    <row r="9" spans="1:38" ht="14.25" customHeight="1" x14ac:dyDescent="0.3">
      <c r="A9" s="115"/>
      <c r="B9" s="116"/>
      <c r="C9" s="117"/>
      <c r="D9" s="118"/>
      <c r="E9" s="119"/>
      <c r="F9" s="78"/>
      <c r="G9" s="78"/>
      <c r="H9" s="78"/>
      <c r="I9" s="78"/>
      <c r="J9" s="78"/>
      <c r="K9" s="78"/>
      <c r="L9" s="78"/>
      <c r="M9" s="78"/>
      <c r="N9" s="78"/>
      <c r="O9" s="78"/>
      <c r="P9" s="78"/>
      <c r="Q9" s="78"/>
    </row>
    <row r="10" spans="1:38" ht="14.25" customHeight="1" x14ac:dyDescent="0.3">
      <c r="A10" s="115"/>
      <c r="B10" s="116"/>
      <c r="C10" s="117"/>
      <c r="D10" s="118"/>
      <c r="E10" s="119"/>
      <c r="F10" s="78"/>
      <c r="G10" s="78"/>
      <c r="H10" s="78"/>
      <c r="I10" s="78"/>
      <c r="J10" s="78"/>
      <c r="K10" s="78"/>
      <c r="L10" s="78"/>
      <c r="M10" s="78"/>
      <c r="N10" s="78"/>
      <c r="O10" s="78"/>
      <c r="P10" s="78"/>
      <c r="Q10" s="78"/>
    </row>
    <row r="11" spans="1:38" ht="14.25" customHeight="1" x14ac:dyDescent="0.3">
      <c r="A11" s="115"/>
      <c r="B11" s="116"/>
      <c r="C11" s="117"/>
      <c r="D11" s="118"/>
      <c r="E11" s="119"/>
      <c r="F11" s="78"/>
      <c r="G11" s="78"/>
      <c r="H11" s="78"/>
      <c r="I11" s="78"/>
      <c r="J11" s="78"/>
      <c r="K11" s="78"/>
      <c r="L11" s="78"/>
      <c r="M11" s="78"/>
      <c r="N11" s="78"/>
      <c r="O11" s="78"/>
      <c r="P11" s="78"/>
      <c r="Q11" s="78"/>
    </row>
    <row r="12" spans="1:38" ht="14.25" customHeight="1" x14ac:dyDescent="0.3">
      <c r="A12" s="115"/>
      <c r="B12" s="116"/>
      <c r="C12" s="117"/>
      <c r="D12" s="118"/>
      <c r="E12" s="119"/>
      <c r="F12" s="78"/>
      <c r="G12" s="78"/>
      <c r="H12" s="78"/>
      <c r="I12" s="78"/>
      <c r="J12" s="78"/>
      <c r="K12" s="78"/>
      <c r="L12" s="78"/>
      <c r="M12" s="78"/>
      <c r="N12" s="78"/>
      <c r="O12" s="78"/>
      <c r="P12" s="78"/>
      <c r="Q12" s="78"/>
    </row>
    <row r="13" spans="1:38" ht="14.25" customHeight="1" x14ac:dyDescent="0.3">
      <c r="B13" s="79"/>
      <c r="C13" s="80"/>
      <c r="D13" s="80"/>
      <c r="E13" s="80"/>
      <c r="F13" s="80"/>
      <c r="G13" s="80"/>
      <c r="H13" s="80"/>
      <c r="I13" s="80"/>
      <c r="J13" s="80"/>
      <c r="K13" s="80"/>
      <c r="L13" s="80"/>
      <c r="M13" s="80"/>
      <c r="N13" s="80"/>
      <c r="O13" s="80"/>
      <c r="P13" s="80"/>
      <c r="Q13" s="80"/>
      <c r="R13" s="80"/>
    </row>
    <row r="14" spans="1:38" ht="14.25" customHeight="1" x14ac:dyDescent="0.3"/>
    <row r="15" spans="1:38" ht="14.25" customHeight="1" x14ac:dyDescent="0.3">
      <c r="A15" s="255" t="s">
        <v>30</v>
      </c>
      <c r="B15" s="246"/>
    </row>
    <row r="16" spans="1:38" ht="14.25" customHeight="1" x14ac:dyDescent="0.3">
      <c r="A16" s="76" t="s">
        <v>15</v>
      </c>
      <c r="B16" s="76" t="s">
        <v>32</v>
      </c>
      <c r="C16" s="77" t="s">
        <v>49</v>
      </c>
      <c r="D16" s="81" t="s">
        <v>50</v>
      </c>
      <c r="E16" s="81" t="s">
        <v>34</v>
      </c>
      <c r="F16" s="81" t="s">
        <v>51</v>
      </c>
      <c r="G16" s="81" t="s">
        <v>35</v>
      </c>
      <c r="H16" s="81" t="s">
        <v>52</v>
      </c>
      <c r="I16" s="81" t="s">
        <v>36</v>
      </c>
      <c r="J16" s="81" t="s">
        <v>37</v>
      </c>
      <c r="K16" s="81" t="s">
        <v>38</v>
      </c>
      <c r="L16" s="81" t="s">
        <v>41</v>
      </c>
      <c r="M16" s="81" t="s">
        <v>42</v>
      </c>
      <c r="N16" s="81" t="s">
        <v>53</v>
      </c>
      <c r="O16" s="81" t="s">
        <v>44</v>
      </c>
      <c r="P16" s="81" t="s">
        <v>45</v>
      </c>
      <c r="Q16" s="81" t="s">
        <v>54</v>
      </c>
      <c r="R16" s="81" t="s">
        <v>47</v>
      </c>
    </row>
    <row r="17" spans="1:18" ht="14.25" customHeight="1" x14ac:dyDescent="0.3">
      <c r="A17" s="115">
        <v>2</v>
      </c>
      <c r="B17" s="116" t="str">
        <f>'LRP Guide Male'!B13</f>
        <v>Face Turning (L=160 mm, Do=16 mm, Df=14 mm)</v>
      </c>
      <c r="C17" s="120">
        <v>16</v>
      </c>
      <c r="D17" s="83">
        <v>14</v>
      </c>
      <c r="E17" s="84">
        <f>(C17-D17)/2</f>
        <v>1</v>
      </c>
      <c r="F17" s="84">
        <f>5*H17</f>
        <v>0.5</v>
      </c>
      <c r="G17" s="84">
        <v>160</v>
      </c>
      <c r="H17" s="84">
        <v>0.1</v>
      </c>
      <c r="I17" s="84">
        <v>400</v>
      </c>
      <c r="J17" s="84">
        <f>(1000*I17)/(3.14*AVERAGE(C17:D17))</f>
        <v>8492.5690021231421</v>
      </c>
      <c r="K17" s="84">
        <f>I17</f>
        <v>400</v>
      </c>
      <c r="L17" s="84">
        <f>G17/K17</f>
        <v>0.4</v>
      </c>
      <c r="M17" s="84">
        <f>L17*60</f>
        <v>24</v>
      </c>
      <c r="N17" s="84">
        <f>I17*H17*E17</f>
        <v>40</v>
      </c>
      <c r="O17" s="84">
        <f>3.14*(75/2)^2*20</f>
        <v>88312.5</v>
      </c>
      <c r="P17" s="84">
        <f>M17*N17</f>
        <v>960</v>
      </c>
      <c r="Q17" s="84">
        <f>(O17-P17)*100%</f>
        <v>87352.5</v>
      </c>
      <c r="R17" s="84">
        <f>O17-P17</f>
        <v>87352.5</v>
      </c>
    </row>
    <row r="18" spans="1:18" ht="14.25" customHeight="1" x14ac:dyDescent="0.3">
      <c r="A18" s="115">
        <v>3</v>
      </c>
      <c r="B18" s="116" t="str">
        <f>'LRP Guide Male'!B14</f>
        <v>Face Turning (L=30 mm, Do=14 mm, Df=10 mm)</v>
      </c>
      <c r="C18" s="120">
        <v>14</v>
      </c>
      <c r="D18" s="83">
        <v>10</v>
      </c>
      <c r="E18" s="84">
        <f>(C18-D18)/2</f>
        <v>2</v>
      </c>
      <c r="F18" s="84">
        <f t="shared" ref="F18:F19" si="0">5*H18</f>
        <v>0.5</v>
      </c>
      <c r="G18" s="84">
        <v>30</v>
      </c>
      <c r="H18" s="84">
        <v>0.1</v>
      </c>
      <c r="I18" s="84">
        <v>400</v>
      </c>
      <c r="J18" s="84">
        <f>(1000*I18)/(3.14*AVERAGE(C18:D18))</f>
        <v>10615.711252653928</v>
      </c>
      <c r="K18" s="84">
        <f>I18</f>
        <v>400</v>
      </c>
      <c r="L18" s="84">
        <f>G18/K18</f>
        <v>7.4999999999999997E-2</v>
      </c>
      <c r="M18" s="84">
        <f>L18*60</f>
        <v>4.5</v>
      </c>
      <c r="N18" s="84">
        <f>I18*H18*E18</f>
        <v>80</v>
      </c>
      <c r="O18" s="84">
        <f>R17</f>
        <v>87352.5</v>
      </c>
      <c r="P18" s="84">
        <f>M18*N18</f>
        <v>360</v>
      </c>
      <c r="Q18" s="84">
        <f>(O18-P18)*100%</f>
        <v>86992.5</v>
      </c>
      <c r="R18" s="84">
        <f>O18-P18</f>
        <v>86992.5</v>
      </c>
    </row>
    <row r="19" spans="1:18" ht="14.25" customHeight="1" x14ac:dyDescent="0.3">
      <c r="A19" s="115">
        <v>5</v>
      </c>
      <c r="B19" s="116" t="str">
        <f>'LRP Guide Male'!B16</f>
        <v>Thread Turning (L=25 mm, M10 x 1.5)</v>
      </c>
      <c r="C19" s="120">
        <v>10</v>
      </c>
      <c r="D19" s="83">
        <v>10</v>
      </c>
      <c r="E19" s="84">
        <v>0</v>
      </c>
      <c r="F19" s="84">
        <f t="shared" si="0"/>
        <v>0.5</v>
      </c>
      <c r="G19" s="84">
        <v>25</v>
      </c>
      <c r="H19" s="84">
        <v>0.1</v>
      </c>
      <c r="I19" s="84">
        <v>400</v>
      </c>
      <c r="J19" s="84">
        <f>(1000*I19)/(3.14*AVERAGE(C19:D19))</f>
        <v>12738.853503184713</v>
      </c>
      <c r="K19" s="84">
        <f>I19</f>
        <v>400</v>
      </c>
      <c r="L19" s="84">
        <f>G19/K19</f>
        <v>6.25E-2</v>
      </c>
      <c r="M19" s="84">
        <f>L19*60</f>
        <v>3.75</v>
      </c>
      <c r="N19" s="84">
        <f>I19*H19*E19</f>
        <v>0</v>
      </c>
      <c r="O19" s="84">
        <f>R18</f>
        <v>86992.5</v>
      </c>
      <c r="P19" s="84">
        <f>M19*N19</f>
        <v>0</v>
      </c>
      <c r="Q19" s="84">
        <f>(O19-P19)*100%</f>
        <v>86992.5</v>
      </c>
      <c r="R19" s="84">
        <f>O19-P19</f>
        <v>86992.5</v>
      </c>
    </row>
    <row r="20" spans="1:18" ht="14.25" customHeight="1" x14ac:dyDescent="0.3">
      <c r="E20" s="57" t="s">
        <v>55</v>
      </c>
    </row>
    <row r="21" spans="1:18" ht="14.25" customHeight="1" x14ac:dyDescent="0.3"/>
    <row r="22" spans="1:18" ht="14.25" customHeight="1" x14ac:dyDescent="0.3">
      <c r="A22" s="245" t="s">
        <v>56</v>
      </c>
      <c r="B22" s="246"/>
    </row>
    <row r="23" spans="1:18" ht="14.25" customHeight="1" x14ac:dyDescent="0.3">
      <c r="A23" s="76" t="s">
        <v>15</v>
      </c>
      <c r="B23" s="76" t="s">
        <v>32</v>
      </c>
      <c r="C23" s="77" t="s">
        <v>33</v>
      </c>
      <c r="D23" s="81" t="s">
        <v>34</v>
      </c>
      <c r="E23" s="81" t="s">
        <v>52</v>
      </c>
      <c r="F23" s="81" t="s">
        <v>57</v>
      </c>
      <c r="G23" s="81" t="s">
        <v>37</v>
      </c>
      <c r="H23" s="81" t="s">
        <v>38</v>
      </c>
      <c r="I23" s="121" t="s">
        <v>41</v>
      </c>
      <c r="J23" s="122" t="s">
        <v>42</v>
      </c>
      <c r="K23" s="122" t="s">
        <v>43</v>
      </c>
      <c r="L23" s="123" t="s">
        <v>44</v>
      </c>
      <c r="M23" s="81" t="s">
        <v>45</v>
      </c>
      <c r="N23" s="81" t="s">
        <v>54</v>
      </c>
      <c r="O23" s="81" t="s">
        <v>47</v>
      </c>
    </row>
    <row r="24" spans="1:18" ht="14.25" customHeight="1" x14ac:dyDescent="0.3">
      <c r="A24" s="115"/>
      <c r="B24" s="116"/>
      <c r="C24" s="120"/>
      <c r="D24" s="83"/>
      <c r="E24" s="84"/>
      <c r="F24" s="84"/>
      <c r="G24" s="84"/>
      <c r="H24" s="84"/>
      <c r="I24" s="124"/>
      <c r="J24" s="120"/>
      <c r="K24" s="125"/>
      <c r="L24" s="83"/>
      <c r="M24" s="84"/>
      <c r="N24" s="84"/>
      <c r="O24" s="84"/>
    </row>
    <row r="25" spans="1:18" ht="14.25" customHeight="1" x14ac:dyDescent="0.3">
      <c r="A25" s="115"/>
      <c r="B25" s="116"/>
      <c r="C25" s="120"/>
      <c r="D25" s="83"/>
      <c r="E25" s="84"/>
      <c r="F25" s="84"/>
      <c r="G25" s="84"/>
      <c r="H25" s="84"/>
      <c r="I25" s="124"/>
      <c r="J25" s="120"/>
      <c r="K25" s="125"/>
      <c r="L25" s="83"/>
      <c r="M25" s="84"/>
      <c r="N25" s="84"/>
      <c r="O25" s="84"/>
    </row>
    <row r="26" spans="1:18" ht="14.25" customHeight="1" x14ac:dyDescent="0.3">
      <c r="A26" s="115"/>
      <c r="B26" s="116"/>
      <c r="C26" s="120"/>
      <c r="D26" s="83"/>
      <c r="E26" s="84"/>
      <c r="F26" s="84"/>
      <c r="G26" s="84"/>
      <c r="H26" s="84"/>
      <c r="I26" s="124"/>
      <c r="J26" s="120"/>
      <c r="K26" s="125"/>
      <c r="L26" s="83"/>
      <c r="M26" s="84"/>
      <c r="N26" s="84"/>
      <c r="O26" s="84"/>
    </row>
    <row r="27" spans="1:18" ht="14.25" customHeight="1" x14ac:dyDescent="0.3"/>
    <row r="28" spans="1:18" ht="14.25" customHeight="1" x14ac:dyDescent="0.3"/>
    <row r="29" spans="1:18" ht="14.25" customHeight="1" x14ac:dyDescent="0.3">
      <c r="A29" s="245" t="s">
        <v>70</v>
      </c>
      <c r="B29" s="246"/>
    </row>
    <row r="30" spans="1:18" ht="14.25" customHeight="1" x14ac:dyDescent="0.3">
      <c r="A30" s="76" t="s">
        <v>15</v>
      </c>
      <c r="B30" s="76" t="s">
        <v>32</v>
      </c>
      <c r="C30" s="81" t="s">
        <v>40</v>
      </c>
      <c r="D30" s="81" t="s">
        <v>60</v>
      </c>
      <c r="E30" s="77" t="s">
        <v>71</v>
      </c>
      <c r="F30" s="81" t="s">
        <v>72</v>
      </c>
      <c r="G30" s="81" t="s">
        <v>45</v>
      </c>
      <c r="H30" s="81" t="s">
        <v>54</v>
      </c>
      <c r="I30" s="81" t="s">
        <v>47</v>
      </c>
    </row>
    <row r="31" spans="1:18" ht="14.25" customHeight="1" thickBot="1" x14ac:dyDescent="0.35">
      <c r="A31" s="115"/>
      <c r="B31" s="63" t="str">
        <f>'LRP Guide Male'!B15</f>
        <v>Chamfering (d=2 mm, ϑ= 45°)</v>
      </c>
      <c r="C31" s="83"/>
      <c r="D31" s="124">
        <v>2</v>
      </c>
      <c r="E31" s="199">
        <v>45</v>
      </c>
      <c r="F31" s="83">
        <f>R19</f>
        <v>86992.5</v>
      </c>
      <c r="G31" s="84">
        <f>(1/3)*3.14*D31^3</f>
        <v>8.3733333333333331</v>
      </c>
      <c r="H31" s="104">
        <f>(G31/F31)</f>
        <v>9.6253508444214535E-5</v>
      </c>
      <c r="I31" s="84">
        <f>F31-G31</f>
        <v>86984.126666666663</v>
      </c>
    </row>
    <row r="32" spans="1:18" ht="14.25" customHeight="1" x14ac:dyDescent="0.3">
      <c r="A32" s="115"/>
      <c r="B32" s="86" t="str">
        <f>'LRP Guide Male'!B17</f>
        <v>Chamfering (d=1 mm, ϑ= 45°)</v>
      </c>
      <c r="C32" s="83"/>
      <c r="D32" s="124">
        <v>1</v>
      </c>
      <c r="E32" s="199">
        <v>45</v>
      </c>
      <c r="F32" s="83">
        <f>I31</f>
        <v>86984.126666666663</v>
      </c>
      <c r="G32" s="84">
        <f>(1/3)*3.14*D32^3</f>
        <v>1.0466666666666666</v>
      </c>
      <c r="H32" s="104">
        <f t="shared" ref="H32:H33" si="1">(G32/F32)</f>
        <v>1.2032846759243966E-5</v>
      </c>
      <c r="I32" s="84">
        <f>F32-G32</f>
        <v>86983.08</v>
      </c>
    </row>
    <row r="33" spans="1:14" ht="14.25" customHeight="1" x14ac:dyDescent="0.3">
      <c r="A33" s="115"/>
      <c r="B33" s="116" t="str">
        <f>'LRP Guide Male'!B18</f>
        <v>Filetting (R=5 mm)</v>
      </c>
      <c r="C33" s="83"/>
      <c r="D33" s="124">
        <v>5</v>
      </c>
      <c r="E33" s="198"/>
      <c r="F33" s="83">
        <f>I32</f>
        <v>86983.08</v>
      </c>
      <c r="G33" s="84">
        <f>(1/3)*3.14*D33^3</f>
        <v>130.83333333333334</v>
      </c>
      <c r="H33" s="104">
        <f t="shared" si="1"/>
        <v>1.5041239437984185E-3</v>
      </c>
      <c r="I33" s="84">
        <f>F33-G33</f>
        <v>86852.246666666673</v>
      </c>
    </row>
    <row r="34" spans="1:14" ht="14.25" customHeight="1" x14ac:dyDescent="0.3">
      <c r="A34" s="85"/>
      <c r="B34" s="86"/>
      <c r="C34" s="87"/>
      <c r="D34" s="87"/>
      <c r="E34" s="87"/>
      <c r="F34" s="87"/>
      <c r="G34" s="87"/>
      <c r="H34" s="88"/>
      <c r="I34" s="87"/>
    </row>
    <row r="35" spans="1:14" ht="14.25" customHeight="1" x14ac:dyDescent="0.3"/>
    <row r="36" spans="1:14" ht="19.5" customHeight="1" x14ac:dyDescent="0.3">
      <c r="A36" s="253" t="s">
        <v>74</v>
      </c>
      <c r="B36" s="254"/>
      <c r="C36" s="254"/>
      <c r="D36" s="254"/>
      <c r="E36" s="254"/>
      <c r="F36" s="254"/>
      <c r="G36" s="254"/>
      <c r="H36" s="254"/>
      <c r="I36" s="254"/>
      <c r="J36" s="254"/>
      <c r="K36" s="254"/>
      <c r="L36" s="254"/>
      <c r="M36" s="254"/>
      <c r="N36" s="254"/>
    </row>
    <row r="37" spans="1:14" ht="14.25" customHeight="1" x14ac:dyDescent="0.3">
      <c r="A37" s="75"/>
      <c r="B37" s="75"/>
      <c r="C37" s="75"/>
      <c r="D37" s="75"/>
      <c r="E37" s="75"/>
      <c r="F37" s="75"/>
      <c r="G37" s="75"/>
      <c r="H37" s="75"/>
    </row>
    <row r="38" spans="1:14" ht="14.25" customHeight="1" x14ac:dyDescent="0.3"/>
    <row r="39" spans="1:14" ht="14.25" customHeight="1" x14ac:dyDescent="0.3">
      <c r="A39" s="59" t="s">
        <v>75</v>
      </c>
    </row>
    <row r="40" spans="1:14" ht="14.25" customHeight="1" x14ac:dyDescent="0.3"/>
    <row r="41" spans="1:14" ht="14.25" customHeight="1" x14ac:dyDescent="0.3">
      <c r="A41" s="59" t="s">
        <v>76</v>
      </c>
    </row>
    <row r="42" spans="1:14" ht="14.25" customHeight="1" x14ac:dyDescent="0.3"/>
    <row r="43" spans="1:14" ht="14.25" customHeight="1" x14ac:dyDescent="0.3">
      <c r="A43" s="59" t="s">
        <v>77</v>
      </c>
    </row>
    <row r="44" spans="1:14" ht="14.25" customHeight="1" x14ac:dyDescent="0.3"/>
    <row r="45" spans="1:14" ht="14.25" customHeight="1" x14ac:dyDescent="0.3">
      <c r="A45" s="59" t="s">
        <v>78</v>
      </c>
    </row>
    <row r="46" spans="1:14" ht="14.25" customHeight="1" x14ac:dyDescent="0.3"/>
    <row r="47" spans="1:14" ht="14.25" customHeight="1" x14ac:dyDescent="0.3">
      <c r="A47" s="59" t="s">
        <v>79</v>
      </c>
    </row>
    <row r="48" spans="1:14" ht="15.75" customHeight="1" x14ac:dyDescent="0.3"/>
    <row r="49" spans="1:32" ht="14.25" customHeight="1" x14ac:dyDescent="0.3">
      <c r="A49" s="59" t="s">
        <v>80</v>
      </c>
    </row>
    <row r="50" spans="1:32" ht="14.25" customHeight="1" x14ac:dyDescent="0.3"/>
    <row r="51" spans="1:32" ht="14.25" customHeight="1" x14ac:dyDescent="0.3">
      <c r="B51" s="89"/>
    </row>
    <row r="52" spans="1:32" ht="14.25" customHeight="1" x14ac:dyDescent="0.3"/>
    <row r="53" spans="1:32" ht="14.25" customHeight="1" x14ac:dyDescent="0.3"/>
    <row r="54" spans="1:32" ht="14.25" customHeight="1" x14ac:dyDescent="0.3"/>
    <row r="55" spans="1:32" ht="14.25" customHeight="1" x14ac:dyDescent="0.3"/>
    <row r="56" spans="1:32" ht="14.25" customHeight="1" x14ac:dyDescent="0.3"/>
    <row r="57" spans="1:32" ht="14.25" customHeight="1" x14ac:dyDescent="0.3"/>
    <row r="58" spans="1:32" ht="14.25" customHeight="1" x14ac:dyDescent="0.3">
      <c r="U58" s="258" t="s">
        <v>81</v>
      </c>
      <c r="V58" s="254"/>
      <c r="W58" s="254"/>
      <c r="X58" s="254"/>
      <c r="Y58" s="254"/>
      <c r="Z58" s="254"/>
      <c r="AA58" s="254"/>
      <c r="AB58" s="254"/>
      <c r="AC58" s="254"/>
      <c r="AD58" s="254"/>
      <c r="AE58" s="254"/>
      <c r="AF58" s="254"/>
    </row>
    <row r="59" spans="1:32" ht="14.25" customHeight="1" x14ac:dyDescent="0.3">
      <c r="U59" s="254"/>
      <c r="V59" s="254"/>
      <c r="W59" s="254"/>
      <c r="X59" s="254"/>
      <c r="Y59" s="254"/>
      <c r="Z59" s="254"/>
      <c r="AA59" s="254"/>
      <c r="AB59" s="254"/>
      <c r="AC59" s="254"/>
      <c r="AD59" s="254"/>
      <c r="AE59" s="254"/>
      <c r="AF59" s="254"/>
    </row>
    <row r="60" spans="1:32" ht="14.25" customHeight="1" x14ac:dyDescent="0.3"/>
    <row r="61" spans="1:32" ht="14.25" customHeight="1" x14ac:dyDescent="0.3"/>
    <row r="62" spans="1:32" ht="14.25" customHeight="1" x14ac:dyDescent="0.3"/>
    <row r="63" spans="1:32" ht="14.25" customHeight="1" x14ac:dyDescent="0.3"/>
    <row r="64" spans="1:32" ht="14.25" customHeight="1" x14ac:dyDescent="0.3"/>
    <row r="65" spans="1:14" ht="14.25" customHeight="1" x14ac:dyDescent="0.3">
      <c r="B65" s="89"/>
    </row>
    <row r="66" spans="1:14" ht="14.25" customHeight="1" x14ac:dyDescent="0.3"/>
    <row r="67" spans="1:14" ht="14.25" customHeight="1" x14ac:dyDescent="0.3"/>
    <row r="68" spans="1:14" ht="14.25" customHeight="1" x14ac:dyDescent="0.3">
      <c r="B68" s="89"/>
    </row>
    <row r="69" spans="1:14" ht="14.25" customHeight="1" x14ac:dyDescent="0.3">
      <c r="B69" s="89"/>
    </row>
    <row r="70" spans="1:14" ht="14.25" customHeight="1" x14ac:dyDescent="0.3"/>
    <row r="71" spans="1:14" ht="14.25" customHeight="1" x14ac:dyDescent="0.3"/>
    <row r="72" spans="1:14" ht="14.25" customHeight="1" x14ac:dyDescent="0.3">
      <c r="J72" s="75"/>
      <c r="K72" s="75"/>
      <c r="L72" s="75"/>
      <c r="M72" s="75"/>
      <c r="N72" s="75"/>
    </row>
    <row r="73" spans="1:14" ht="14.25" customHeight="1" x14ac:dyDescent="0.3"/>
    <row r="74" spans="1:14" ht="14.25" customHeight="1" x14ac:dyDescent="0.3">
      <c r="B74" s="89"/>
    </row>
    <row r="75" spans="1:14" ht="21.75" customHeight="1" x14ac:dyDescent="0.3">
      <c r="A75" s="253" t="s">
        <v>82</v>
      </c>
      <c r="B75" s="254"/>
      <c r="C75" s="254"/>
      <c r="D75" s="254"/>
      <c r="E75" s="254"/>
      <c r="F75" s="254"/>
      <c r="G75" s="254"/>
      <c r="H75" s="254"/>
      <c r="I75" s="254"/>
      <c r="J75" s="254"/>
      <c r="K75" s="254"/>
      <c r="L75" s="254"/>
      <c r="M75" s="254"/>
      <c r="N75" s="254"/>
    </row>
    <row r="76" spans="1:14" ht="14.25" customHeight="1" x14ac:dyDescent="0.3"/>
    <row r="77" spans="1:14" ht="14.25" customHeight="1" x14ac:dyDescent="0.3">
      <c r="A77" s="59" t="s">
        <v>83</v>
      </c>
      <c r="B77" s="89"/>
    </row>
    <row r="78" spans="1:14" ht="14.25" customHeight="1" x14ac:dyDescent="0.3">
      <c r="B78" s="89"/>
    </row>
    <row r="79" spans="1:14" ht="14.25" customHeight="1" x14ac:dyDescent="0.3">
      <c r="A79" s="59" t="s">
        <v>84</v>
      </c>
    </row>
    <row r="80" spans="1:14" ht="14.25" customHeight="1" x14ac:dyDescent="0.3"/>
    <row r="81" spans="1:2" ht="14.25" customHeight="1" x14ac:dyDescent="0.3">
      <c r="A81" s="59" t="s">
        <v>85</v>
      </c>
      <c r="B81" s="89"/>
    </row>
    <row r="82" spans="1:2" ht="14.25" customHeight="1" x14ac:dyDescent="0.3">
      <c r="A82" s="59" t="s">
        <v>86</v>
      </c>
      <c r="B82" s="89"/>
    </row>
    <row r="83" spans="1:2" ht="14.25" customHeight="1" x14ac:dyDescent="0.3"/>
    <row r="84" spans="1:2" ht="14.25" customHeight="1" x14ac:dyDescent="0.3">
      <c r="A84" s="59" t="s">
        <v>87</v>
      </c>
    </row>
    <row r="85" spans="1:2" ht="14.25" customHeight="1" x14ac:dyDescent="0.3">
      <c r="B85" s="89"/>
    </row>
    <row r="86" spans="1:2" ht="14.25" customHeight="1" x14ac:dyDescent="0.3">
      <c r="A86" s="59" t="s">
        <v>88</v>
      </c>
      <c r="B86" s="89"/>
    </row>
    <row r="87" spans="1:2" ht="14.25" customHeight="1" x14ac:dyDescent="0.3"/>
    <row r="88" spans="1:2" ht="14.25" customHeight="1" x14ac:dyDescent="0.3"/>
    <row r="89" spans="1:2" ht="14.25" customHeight="1" x14ac:dyDescent="0.3"/>
    <row r="90" spans="1:2" ht="14.25" customHeight="1" x14ac:dyDescent="0.3"/>
    <row r="91" spans="1:2" ht="14.25" customHeight="1" x14ac:dyDescent="0.3"/>
    <row r="92" spans="1:2" ht="14.25" customHeight="1" x14ac:dyDescent="0.3"/>
    <row r="93" spans="1:2" ht="14.25" customHeight="1" x14ac:dyDescent="0.3"/>
    <row r="94" spans="1:2" ht="14.25" customHeight="1" x14ac:dyDescent="0.3"/>
    <row r="95" spans="1:2" ht="14.25" customHeight="1" x14ac:dyDescent="0.3"/>
    <row r="96" spans="1:2" ht="14.25" customHeight="1" x14ac:dyDescent="0.3"/>
    <row r="97" spans="1:14" ht="14.25" customHeight="1" x14ac:dyDescent="0.3">
      <c r="B97" s="90"/>
    </row>
    <row r="98" spans="1:14" ht="14.25" customHeight="1" x14ac:dyDescent="0.3"/>
    <row r="99" spans="1:14" ht="14.25" customHeight="1" x14ac:dyDescent="0.3"/>
    <row r="100" spans="1:14" ht="14.25" customHeight="1" x14ac:dyDescent="0.3"/>
    <row r="101" spans="1:14" ht="14.25" customHeight="1" x14ac:dyDescent="0.3"/>
    <row r="102" spans="1:14" ht="14.25" customHeight="1" x14ac:dyDescent="0.3"/>
    <row r="103" spans="1:14" ht="14.25" customHeight="1" x14ac:dyDescent="0.3"/>
    <row r="104" spans="1:14" ht="14.25" customHeight="1" x14ac:dyDescent="0.3"/>
    <row r="105" spans="1:14" ht="14.25" customHeight="1" x14ac:dyDescent="0.3"/>
    <row r="106" spans="1:14" ht="14.25" customHeight="1" x14ac:dyDescent="0.3"/>
    <row r="107" spans="1:14" ht="14.25" customHeight="1" x14ac:dyDescent="0.3"/>
    <row r="108" spans="1:14" ht="16.5" customHeight="1" x14ac:dyDescent="0.3">
      <c r="J108" s="91"/>
      <c r="K108" s="91"/>
      <c r="L108" s="91"/>
      <c r="M108" s="91"/>
      <c r="N108" s="91"/>
    </row>
    <row r="109" spans="1:14" ht="14.25" customHeight="1" x14ac:dyDescent="0.3">
      <c r="J109" s="75"/>
      <c r="K109" s="75"/>
      <c r="L109" s="75"/>
      <c r="M109" s="75"/>
      <c r="N109" s="75"/>
    </row>
    <row r="110" spans="1:14" ht="14.25" customHeight="1" x14ac:dyDescent="0.3"/>
    <row r="111" spans="1:14" ht="14.25" customHeight="1" x14ac:dyDescent="0.3">
      <c r="A111" s="91"/>
      <c r="B111" s="91"/>
      <c r="C111" s="91"/>
      <c r="D111" s="91"/>
      <c r="E111" s="91"/>
      <c r="F111" s="91"/>
      <c r="G111" s="91"/>
      <c r="H111" s="91"/>
      <c r="I111" s="91"/>
    </row>
    <row r="112" spans="1:14" ht="30" customHeight="1" x14ac:dyDescent="0.3">
      <c r="A112" s="253" t="s">
        <v>89</v>
      </c>
      <c r="B112" s="254"/>
      <c r="C112" s="254"/>
      <c r="D112" s="254"/>
      <c r="E112" s="254"/>
      <c r="F112" s="254"/>
      <c r="G112" s="254"/>
      <c r="H112" s="254"/>
      <c r="I112" s="254"/>
      <c r="J112" s="254"/>
      <c r="K112" s="254"/>
      <c r="L112" s="254"/>
      <c r="M112" s="254"/>
      <c r="N112" s="254"/>
    </row>
    <row r="113" spans="1:27" ht="14.25" customHeight="1" x14ac:dyDescent="0.3">
      <c r="A113" s="59" t="s">
        <v>90</v>
      </c>
    </row>
    <row r="114" spans="1:27" ht="14.25" customHeight="1" x14ac:dyDescent="0.3"/>
    <row r="115" spans="1:27" ht="14.25" customHeight="1" x14ac:dyDescent="0.3">
      <c r="A115" s="59" t="s">
        <v>84</v>
      </c>
      <c r="Y115" s="259" t="s">
        <v>163</v>
      </c>
      <c r="Z115" s="259"/>
      <c r="AA115" s="259"/>
    </row>
    <row r="116" spans="1:27" ht="14.25" customHeight="1" x14ac:dyDescent="0.3">
      <c r="Y116" s="126" t="s">
        <v>164</v>
      </c>
      <c r="Z116" s="126" t="s">
        <v>165</v>
      </c>
      <c r="AA116" s="126" t="s">
        <v>166</v>
      </c>
    </row>
    <row r="117" spans="1:27" ht="14.25" customHeight="1" x14ac:dyDescent="0.3">
      <c r="A117" s="59" t="s">
        <v>91</v>
      </c>
      <c r="Y117" s="126" t="s">
        <v>167</v>
      </c>
      <c r="Z117" s="126">
        <v>142</v>
      </c>
      <c r="AA117" s="126">
        <v>2559.35</v>
      </c>
    </row>
    <row r="118" spans="1:27" ht="14.25" customHeight="1" x14ac:dyDescent="0.3">
      <c r="Y118" s="126" t="s">
        <v>110</v>
      </c>
      <c r="Z118" s="126">
        <v>1</v>
      </c>
      <c r="AA118" s="126">
        <v>0</v>
      </c>
    </row>
    <row r="119" spans="1:27" ht="14.25" customHeight="1" x14ac:dyDescent="0.3">
      <c r="A119" s="59" t="s">
        <v>92</v>
      </c>
      <c r="Y119" s="126" t="s">
        <v>27</v>
      </c>
      <c r="Z119" s="126">
        <v>143</v>
      </c>
      <c r="AA119" s="126">
        <f>AA117+0</f>
        <v>2559.35</v>
      </c>
    </row>
    <row r="120" spans="1:27" ht="14.25" customHeight="1" x14ac:dyDescent="0.3"/>
    <row r="121" spans="1:27" ht="14.25" customHeight="1" x14ac:dyDescent="0.3"/>
    <row r="122" spans="1:27" ht="14.25" customHeight="1" x14ac:dyDescent="0.3"/>
    <row r="123" spans="1:27" ht="14.25" customHeight="1" x14ac:dyDescent="0.3"/>
    <row r="124" spans="1:27" ht="14.25" customHeight="1" x14ac:dyDescent="0.3"/>
    <row r="125" spans="1:27" ht="14.25" customHeight="1" x14ac:dyDescent="0.3"/>
    <row r="126" spans="1:27" ht="14.25" customHeight="1" x14ac:dyDescent="0.3"/>
    <row r="127" spans="1:27" ht="14.25" customHeight="1" x14ac:dyDescent="0.3"/>
    <row r="128" spans="1:27"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sheetData>
  <mergeCells count="12">
    <mergeCell ref="Y115:AA115"/>
    <mergeCell ref="A1:R2"/>
    <mergeCell ref="T1:AC2"/>
    <mergeCell ref="AE1:AL2"/>
    <mergeCell ref="A5:B5"/>
    <mergeCell ref="A15:B15"/>
    <mergeCell ref="A22:B22"/>
    <mergeCell ref="A29:B29"/>
    <mergeCell ref="A36:N36"/>
    <mergeCell ref="U58:AF59"/>
    <mergeCell ref="A75:N75"/>
    <mergeCell ref="A112:N112"/>
  </mergeCells>
  <pageMargins left="0.7" right="0.7" top="0.75" bottom="0.75" header="0" footer="0"/>
  <pageSetup orientation="landscape"/>
  <drawing r:id="rId1"/>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135EE9-0061-4DEC-BBBD-BF82C2734A48}">
  <sheetPr>
    <outlinePr summaryBelow="0" summaryRight="0"/>
  </sheetPr>
  <dimension ref="A1:N995"/>
  <sheetViews>
    <sheetView topLeftCell="A8" zoomScale="123" zoomScaleNormal="90" workbookViewId="0">
      <selection activeCell="B13" sqref="B13"/>
    </sheetView>
  </sheetViews>
  <sheetFormatPr defaultColWidth="14.44140625" defaultRowHeight="15" customHeight="1" x14ac:dyDescent="0.3"/>
  <cols>
    <col min="1" max="1" width="9" style="57" customWidth="1"/>
    <col min="2" max="2" width="49.5546875" style="57" bestFit="1" customWidth="1"/>
    <col min="3" max="3" width="10.44140625" style="57" bestFit="1" customWidth="1"/>
    <col min="4" max="4" width="9" style="57" customWidth="1"/>
    <col min="5" max="5" width="9.44140625" style="57" customWidth="1"/>
    <col min="6" max="6" width="17" style="57" customWidth="1"/>
    <col min="7" max="14" width="9" style="57" customWidth="1"/>
    <col min="15" max="16384" width="14.44140625" style="57"/>
  </cols>
  <sheetData>
    <row r="1" spans="1:14" ht="14.25" customHeight="1" thickBot="1" x14ac:dyDescent="0.35">
      <c r="A1" s="214" t="s">
        <v>0</v>
      </c>
      <c r="B1" s="215"/>
      <c r="C1" s="215"/>
      <c r="D1" s="215"/>
      <c r="E1" s="215"/>
      <c r="F1" s="215"/>
      <c r="G1" s="215"/>
      <c r="H1" s="215"/>
      <c r="I1" s="216"/>
      <c r="K1" s="217" t="s">
        <v>1</v>
      </c>
      <c r="L1" s="202"/>
      <c r="M1" s="202"/>
      <c r="N1" s="203"/>
    </row>
    <row r="2" spans="1:14" ht="14.25" customHeight="1" thickBot="1" x14ac:dyDescent="0.35">
      <c r="A2" s="201"/>
      <c r="B2" s="202"/>
      <c r="C2" s="202"/>
      <c r="D2" s="202"/>
      <c r="E2" s="202"/>
      <c r="F2" s="202"/>
      <c r="G2" s="202"/>
      <c r="H2" s="202"/>
      <c r="I2" s="203"/>
      <c r="K2" s="58"/>
      <c r="L2" s="59"/>
      <c r="M2" s="59"/>
      <c r="N2" s="60"/>
    </row>
    <row r="3" spans="1:14" ht="14.25" customHeight="1" thickBot="1" x14ac:dyDescent="0.35">
      <c r="A3" s="61" t="s">
        <v>2</v>
      </c>
      <c r="B3" s="213">
        <v>2</v>
      </c>
      <c r="C3" s="202"/>
      <c r="D3" s="203"/>
      <c r="E3" s="62" t="s">
        <v>3</v>
      </c>
      <c r="F3" s="213">
        <v>1</v>
      </c>
      <c r="G3" s="202"/>
      <c r="H3" s="202"/>
      <c r="I3" s="203"/>
      <c r="K3" s="58"/>
      <c r="L3" s="59"/>
      <c r="M3" s="59"/>
      <c r="N3" s="60"/>
    </row>
    <row r="4" spans="1:14" ht="14.25" customHeight="1" thickBot="1" x14ac:dyDescent="0.35">
      <c r="A4" s="61" t="s">
        <v>4</v>
      </c>
      <c r="B4" s="213">
        <v>2</v>
      </c>
      <c r="C4" s="202"/>
      <c r="D4" s="203"/>
      <c r="E4" s="62" t="s">
        <v>5</v>
      </c>
      <c r="F4" s="210" t="s">
        <v>111</v>
      </c>
      <c r="G4" s="202"/>
      <c r="H4" s="202"/>
      <c r="I4" s="203"/>
      <c r="K4" s="58"/>
      <c r="L4" s="59"/>
      <c r="M4" s="59"/>
      <c r="N4" s="60"/>
    </row>
    <row r="5" spans="1:14" ht="14.25" customHeight="1" thickBot="1" x14ac:dyDescent="0.35">
      <c r="A5" s="61" t="s">
        <v>6</v>
      </c>
      <c r="B5" s="210" t="s">
        <v>112</v>
      </c>
      <c r="C5" s="202"/>
      <c r="D5" s="203"/>
      <c r="E5" s="62" t="s">
        <v>7</v>
      </c>
      <c r="F5" s="210" t="s">
        <v>94</v>
      </c>
      <c r="G5" s="202"/>
      <c r="H5" s="202"/>
      <c r="I5" s="203"/>
      <c r="K5" s="58"/>
      <c r="L5" s="59"/>
      <c r="M5" s="59"/>
      <c r="N5" s="60"/>
    </row>
    <row r="6" spans="1:14" ht="14.25" customHeight="1" thickBot="1" x14ac:dyDescent="0.35">
      <c r="A6" s="210"/>
      <c r="B6" s="202"/>
      <c r="C6" s="202"/>
      <c r="D6" s="203"/>
      <c r="E6" s="206" t="s">
        <v>8</v>
      </c>
      <c r="F6" s="63" t="s">
        <v>9</v>
      </c>
      <c r="G6" s="201"/>
      <c r="H6" s="202"/>
      <c r="I6" s="64" t="s">
        <v>10</v>
      </c>
      <c r="K6" s="58"/>
      <c r="L6" s="59"/>
      <c r="M6" s="59"/>
      <c r="N6" s="60"/>
    </row>
    <row r="7" spans="1:14" ht="14.25" customHeight="1" thickBot="1" x14ac:dyDescent="0.35">
      <c r="A7" s="61" t="s">
        <v>11</v>
      </c>
      <c r="B7" s="210" t="s">
        <v>95</v>
      </c>
      <c r="C7" s="202"/>
      <c r="D7" s="203"/>
      <c r="E7" s="211"/>
      <c r="F7" s="63" t="s">
        <v>12</v>
      </c>
      <c r="G7" s="201">
        <v>70</v>
      </c>
      <c r="H7" s="202"/>
      <c r="I7" s="64" t="s">
        <v>10</v>
      </c>
      <c r="K7" s="58"/>
      <c r="L7" s="59"/>
      <c r="M7" s="59"/>
      <c r="N7" s="60"/>
    </row>
    <row r="8" spans="1:14" ht="14.25" customHeight="1" thickBot="1" x14ac:dyDescent="0.35">
      <c r="A8" s="61" t="s">
        <v>13</v>
      </c>
      <c r="B8" s="212" t="s">
        <v>96</v>
      </c>
      <c r="C8" s="202"/>
      <c r="D8" s="203"/>
      <c r="E8" s="205"/>
      <c r="F8" s="63" t="s">
        <v>14</v>
      </c>
      <c r="G8" s="201">
        <v>10</v>
      </c>
      <c r="H8" s="202"/>
      <c r="I8" s="64" t="s">
        <v>10</v>
      </c>
      <c r="K8" s="65"/>
      <c r="L8" s="66"/>
      <c r="M8" s="66"/>
      <c r="N8" s="67"/>
    </row>
    <row r="9" spans="1:14" ht="14.25" customHeight="1" thickBot="1" x14ac:dyDescent="0.35">
      <c r="A9" s="201"/>
      <c r="B9" s="202"/>
      <c r="C9" s="202"/>
      <c r="D9" s="202"/>
      <c r="E9" s="202"/>
      <c r="F9" s="202"/>
      <c r="G9" s="202"/>
      <c r="H9" s="202"/>
      <c r="I9" s="203"/>
    </row>
    <row r="10" spans="1:14" ht="14.25" customHeight="1" thickBot="1" x14ac:dyDescent="0.35">
      <c r="A10" s="204" t="s">
        <v>15</v>
      </c>
      <c r="B10" s="206" t="s">
        <v>16</v>
      </c>
      <c r="C10" s="206" t="s">
        <v>17</v>
      </c>
      <c r="D10" s="207" t="s">
        <v>18</v>
      </c>
      <c r="E10" s="203"/>
      <c r="F10" s="208" t="s">
        <v>19</v>
      </c>
      <c r="G10" s="209" t="s">
        <v>20</v>
      </c>
      <c r="H10" s="209" t="s">
        <v>21</v>
      </c>
      <c r="I10" s="209" t="s">
        <v>22</v>
      </c>
    </row>
    <row r="11" spans="1:14" ht="14.25" customHeight="1" thickBot="1" x14ac:dyDescent="0.35">
      <c r="A11" s="205"/>
      <c r="B11" s="205"/>
      <c r="C11" s="205"/>
      <c r="D11" s="62" t="s">
        <v>23</v>
      </c>
      <c r="E11" s="62" t="s">
        <v>24</v>
      </c>
      <c r="F11" s="205"/>
      <c r="G11" s="205"/>
      <c r="H11" s="205"/>
      <c r="I11" s="205"/>
    </row>
    <row r="12" spans="1:14" ht="14.25" customHeight="1" thickBot="1" x14ac:dyDescent="0.35">
      <c r="A12" s="68">
        <v>1</v>
      </c>
      <c r="B12" s="63" t="s">
        <v>97</v>
      </c>
      <c r="C12" s="62" t="s">
        <v>98</v>
      </c>
      <c r="D12" s="62" t="s">
        <v>99</v>
      </c>
      <c r="E12" s="62"/>
      <c r="F12" s="69" t="s">
        <v>100</v>
      </c>
      <c r="G12" s="70">
        <v>0</v>
      </c>
      <c r="H12" s="71">
        <v>0</v>
      </c>
      <c r="I12" s="71">
        <v>0</v>
      </c>
    </row>
    <row r="13" spans="1:14" ht="14.25" customHeight="1" thickBot="1" x14ac:dyDescent="0.35">
      <c r="A13" s="68">
        <v>2</v>
      </c>
      <c r="B13" s="63" t="s">
        <v>113</v>
      </c>
      <c r="C13" s="72" t="s">
        <v>107</v>
      </c>
      <c r="D13" s="62">
        <v>1</v>
      </c>
      <c r="E13" s="62" t="s">
        <v>106</v>
      </c>
      <c r="F13" s="62" t="s">
        <v>114</v>
      </c>
      <c r="G13" s="70">
        <v>180</v>
      </c>
      <c r="H13" s="71">
        <f>'Perhitungan LRP Bottom Base 2'!L7</f>
        <v>146.36160000000001</v>
      </c>
      <c r="I13" s="71">
        <f t="shared" ref="I13:I15" si="0">G13+H13</f>
        <v>326.36160000000001</v>
      </c>
    </row>
    <row r="14" spans="1:14" ht="14.25" customHeight="1" thickBot="1" x14ac:dyDescent="0.35">
      <c r="A14" s="68">
        <v>5</v>
      </c>
      <c r="B14" s="63" t="s">
        <v>115</v>
      </c>
      <c r="C14" s="72" t="s">
        <v>107</v>
      </c>
      <c r="D14" s="62">
        <f t="shared" ref="D14:D20" si="1">A14-1</f>
        <v>4</v>
      </c>
      <c r="E14" s="62" t="s">
        <v>106</v>
      </c>
      <c r="F14" s="62" t="s">
        <v>114</v>
      </c>
      <c r="G14" s="70">
        <v>60</v>
      </c>
      <c r="H14" s="71">
        <f>'Perhitungan LRP Bottom Base 2'!L8</f>
        <v>50.937600000000003</v>
      </c>
      <c r="I14" s="71">
        <f>G14+H14</f>
        <v>110.9376</v>
      </c>
    </row>
    <row r="15" spans="1:14" ht="14.25" customHeight="1" thickBot="1" x14ac:dyDescent="0.35">
      <c r="A15" s="68">
        <v>6</v>
      </c>
      <c r="B15" s="63" t="s">
        <v>116</v>
      </c>
      <c r="C15" s="72" t="s">
        <v>107</v>
      </c>
      <c r="D15" s="62">
        <f t="shared" si="1"/>
        <v>5</v>
      </c>
      <c r="E15" s="62" t="s">
        <v>106</v>
      </c>
      <c r="F15" s="62" t="s">
        <v>114</v>
      </c>
      <c r="G15" s="70">
        <v>60</v>
      </c>
      <c r="H15" s="71">
        <f>'Perhitungan LRP Bottom Base 2'!L9</f>
        <v>332.64000000000004</v>
      </c>
      <c r="I15" s="71">
        <f t="shared" si="0"/>
        <v>392.64000000000004</v>
      </c>
    </row>
    <row r="16" spans="1:14" ht="14.25" customHeight="1" thickBot="1" x14ac:dyDescent="0.35">
      <c r="A16" s="68">
        <v>9</v>
      </c>
      <c r="B16" s="63" t="s">
        <v>117</v>
      </c>
      <c r="C16" s="72" t="s">
        <v>107</v>
      </c>
      <c r="D16" s="62">
        <f t="shared" si="1"/>
        <v>8</v>
      </c>
      <c r="E16" s="62" t="s">
        <v>106</v>
      </c>
      <c r="F16" s="62" t="s">
        <v>114</v>
      </c>
      <c r="G16" s="70">
        <v>60</v>
      </c>
      <c r="H16" s="71">
        <f>'Perhitungan LRP Bottom Base 2'!L10</f>
        <v>115.76727272727273</v>
      </c>
      <c r="I16" s="71">
        <f t="shared" ref="I16:I21" si="2">G16+H16</f>
        <v>175.76727272727271</v>
      </c>
    </row>
    <row r="17" spans="1:9" ht="14.25" customHeight="1" thickBot="1" x14ac:dyDescent="0.35">
      <c r="A17" s="68">
        <v>10</v>
      </c>
      <c r="B17" s="63" t="s">
        <v>118</v>
      </c>
      <c r="C17" s="72" t="s">
        <v>107</v>
      </c>
      <c r="D17" s="62">
        <f t="shared" si="1"/>
        <v>9</v>
      </c>
      <c r="E17" s="62" t="s">
        <v>106</v>
      </c>
      <c r="F17" s="62" t="s">
        <v>119</v>
      </c>
      <c r="G17" s="70">
        <v>120</v>
      </c>
      <c r="H17" s="71">
        <f>'Perhitungan LRP Bottom Base 2'!L11</f>
        <v>90</v>
      </c>
      <c r="I17" s="71">
        <f t="shared" si="2"/>
        <v>210</v>
      </c>
    </row>
    <row r="18" spans="1:9" ht="14.25" customHeight="1" thickBot="1" x14ac:dyDescent="0.35">
      <c r="A18" s="68">
        <v>16</v>
      </c>
      <c r="B18" s="63" t="s">
        <v>120</v>
      </c>
      <c r="C18" s="72" t="s">
        <v>107</v>
      </c>
      <c r="D18" s="62">
        <f t="shared" si="1"/>
        <v>15</v>
      </c>
      <c r="E18" s="62" t="s">
        <v>106</v>
      </c>
      <c r="F18" s="62" t="s">
        <v>119</v>
      </c>
      <c r="G18" s="70">
        <v>60</v>
      </c>
      <c r="H18" s="71">
        <f>'Perhitungan LRP Bottom Base 2'!L12</f>
        <v>81.818181818181813</v>
      </c>
      <c r="I18" s="71">
        <f t="shared" si="2"/>
        <v>141.81818181818181</v>
      </c>
    </row>
    <row r="19" spans="1:9" ht="14.25" customHeight="1" thickBot="1" x14ac:dyDescent="0.35">
      <c r="A19" s="68">
        <v>19</v>
      </c>
      <c r="B19" s="63" t="s">
        <v>121</v>
      </c>
      <c r="C19" s="68" t="s">
        <v>105</v>
      </c>
      <c r="D19" s="62">
        <f t="shared" si="1"/>
        <v>18</v>
      </c>
      <c r="E19" s="62" t="s">
        <v>106</v>
      </c>
      <c r="F19" s="62" t="s">
        <v>122</v>
      </c>
      <c r="G19" s="73">
        <v>180</v>
      </c>
      <c r="H19" s="73">
        <f>'Perhitungan LRP Bottom Base 2'!J17</f>
        <v>3.2044245066615886</v>
      </c>
      <c r="I19" s="71">
        <f t="shared" si="2"/>
        <v>183.20442450666158</v>
      </c>
    </row>
    <row r="20" spans="1:9" ht="14.25" customHeight="1" thickBot="1" x14ac:dyDescent="0.35">
      <c r="A20" s="68">
        <v>22</v>
      </c>
      <c r="B20" s="63" t="s">
        <v>123</v>
      </c>
      <c r="C20" s="68" t="s">
        <v>105</v>
      </c>
      <c r="D20" s="62">
        <f t="shared" si="1"/>
        <v>21</v>
      </c>
      <c r="E20" s="62" t="s">
        <v>106</v>
      </c>
      <c r="F20" s="62" t="s">
        <v>124</v>
      </c>
      <c r="G20" s="73">
        <v>120</v>
      </c>
      <c r="H20" s="73">
        <f>'Perhitungan LRP Bottom Base 2'!J18</f>
        <v>0.62831853071795851</v>
      </c>
      <c r="I20" s="71">
        <f t="shared" si="2"/>
        <v>120.62831853071796</v>
      </c>
    </row>
    <row r="21" spans="1:9" ht="14.25" customHeight="1" thickBot="1" x14ac:dyDescent="0.35">
      <c r="A21" s="68">
        <v>23</v>
      </c>
      <c r="B21" s="74" t="s">
        <v>110</v>
      </c>
      <c r="C21" s="68" t="s">
        <v>98</v>
      </c>
      <c r="D21" s="68" t="s">
        <v>99</v>
      </c>
      <c r="E21" s="62"/>
      <c r="F21" s="69" t="s">
        <v>100</v>
      </c>
      <c r="G21" s="73">
        <v>0</v>
      </c>
      <c r="H21" s="73">
        <v>0</v>
      </c>
      <c r="I21" s="71">
        <f t="shared" si="2"/>
        <v>0</v>
      </c>
    </row>
    <row r="22" spans="1:9" ht="14.25" customHeight="1" thickBot="1" x14ac:dyDescent="0.35">
      <c r="H22" s="73" t="s">
        <v>27</v>
      </c>
      <c r="I22" s="73">
        <f>SUM(I12:I21)</f>
        <v>1661.357397582834</v>
      </c>
    </row>
    <row r="28" spans="1:9" ht="14.25" customHeight="1" x14ac:dyDescent="0.3"/>
    <row r="29" spans="1:9" ht="14.25" customHeight="1" x14ac:dyDescent="0.3"/>
    <row r="30" spans="1:9" ht="14.25" customHeight="1" x14ac:dyDescent="0.3"/>
    <row r="31" spans="1:9" ht="14.25" customHeight="1" x14ac:dyDescent="0.3"/>
    <row r="32" spans="1:9"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sheetData>
  <mergeCells count="25">
    <mergeCell ref="B4:D4"/>
    <mergeCell ref="F4:I4"/>
    <mergeCell ref="A1:I1"/>
    <mergeCell ref="K1:N1"/>
    <mergeCell ref="A2:I2"/>
    <mergeCell ref="B3:D3"/>
    <mergeCell ref="F3:I3"/>
    <mergeCell ref="B5:D5"/>
    <mergeCell ref="F5:I5"/>
    <mergeCell ref="A6:D6"/>
    <mergeCell ref="E6:E8"/>
    <mergeCell ref="G6:H6"/>
    <mergeCell ref="B7:D7"/>
    <mergeCell ref="G7:H7"/>
    <mergeCell ref="B8:D8"/>
    <mergeCell ref="G8:H8"/>
    <mergeCell ref="A9:I9"/>
    <mergeCell ref="A10:A11"/>
    <mergeCell ref="B10:B11"/>
    <mergeCell ref="C10:C11"/>
    <mergeCell ref="D10:E10"/>
    <mergeCell ref="F10:F11"/>
    <mergeCell ref="G10:G11"/>
    <mergeCell ref="H10:H11"/>
    <mergeCell ref="I10:I11"/>
  </mergeCells>
  <pageMargins left="0.7" right="0.7" top="0.75" bottom="0.75" header="0" footer="0"/>
  <pageSetup orientation="landscape"/>
  <drawing r:id="rId1"/>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CC2108-C335-446F-91B6-E406C88F1689}">
  <dimension ref="A1:AN1006"/>
  <sheetViews>
    <sheetView topLeftCell="C1" zoomScale="89" workbookViewId="0">
      <selection activeCell="B51" sqref="B51"/>
    </sheetView>
  </sheetViews>
  <sheetFormatPr defaultColWidth="14.44140625" defaultRowHeight="15" customHeight="1" x14ac:dyDescent="0.3"/>
  <cols>
    <col min="1" max="1" width="15" style="57" customWidth="1"/>
    <col min="2" max="2" width="60.5546875" style="57" customWidth="1"/>
    <col min="3" max="3" width="10" style="57" customWidth="1"/>
    <col min="4" max="4" width="9" style="57" customWidth="1"/>
    <col min="5" max="5" width="10.44140625" style="57" customWidth="1"/>
    <col min="6" max="7" width="12.5546875" style="57" customWidth="1"/>
    <col min="8" max="8" width="11.5546875" style="57" customWidth="1"/>
    <col min="9" max="9" width="21" style="57" customWidth="1"/>
    <col min="10" max="10" width="14" style="57" customWidth="1"/>
    <col min="11" max="11" width="16" style="57" customWidth="1"/>
    <col min="12" max="12" width="21.5546875" style="57" customWidth="1"/>
    <col min="13" max="13" width="17" style="57" customWidth="1"/>
    <col min="14" max="14" width="21" style="57" customWidth="1"/>
    <col min="15" max="15" width="20" style="57" customWidth="1"/>
    <col min="16" max="16" width="15" style="57" customWidth="1"/>
    <col min="17" max="17" width="18.44140625" style="57" customWidth="1"/>
    <col min="18" max="18" width="19.44140625" style="57" customWidth="1"/>
    <col min="19" max="19" width="18.44140625" style="57" customWidth="1"/>
    <col min="20" max="20" width="20" style="57" customWidth="1"/>
    <col min="21" max="40" width="9" style="57" customWidth="1"/>
    <col min="41" max="16384" width="14.44140625" style="57"/>
  </cols>
  <sheetData>
    <row r="1" spans="1:38" ht="14.25" customHeight="1" x14ac:dyDescent="0.3">
      <c r="A1" s="247" t="s">
        <v>28</v>
      </c>
      <c r="B1" s="248"/>
      <c r="C1" s="248"/>
      <c r="D1" s="248"/>
      <c r="E1" s="248"/>
      <c r="F1" s="248"/>
      <c r="G1" s="248"/>
      <c r="H1" s="248"/>
      <c r="I1" s="248"/>
      <c r="J1" s="248"/>
      <c r="K1" s="248"/>
      <c r="L1" s="248"/>
      <c r="M1" s="248"/>
      <c r="N1" s="248"/>
      <c r="O1" s="248"/>
      <c r="P1" s="248"/>
      <c r="Q1" s="248"/>
      <c r="R1" s="249"/>
      <c r="T1" s="253" t="s">
        <v>29</v>
      </c>
      <c r="U1" s="254"/>
      <c r="V1" s="254"/>
      <c r="W1" s="254"/>
      <c r="X1" s="254"/>
      <c r="Y1" s="254"/>
      <c r="Z1" s="254"/>
      <c r="AA1" s="254"/>
      <c r="AB1" s="254"/>
      <c r="AC1" s="254"/>
      <c r="AE1" s="253" t="s">
        <v>30</v>
      </c>
      <c r="AF1" s="254"/>
      <c r="AG1" s="254"/>
      <c r="AH1" s="254"/>
      <c r="AI1" s="254"/>
      <c r="AJ1" s="254"/>
      <c r="AK1" s="254"/>
      <c r="AL1" s="254"/>
    </row>
    <row r="2" spans="1:38" ht="14.25" customHeight="1" x14ac:dyDescent="0.3">
      <c r="A2" s="250"/>
      <c r="B2" s="251"/>
      <c r="C2" s="251"/>
      <c r="D2" s="251"/>
      <c r="E2" s="251"/>
      <c r="F2" s="251"/>
      <c r="G2" s="251"/>
      <c r="H2" s="251"/>
      <c r="I2" s="251"/>
      <c r="J2" s="251"/>
      <c r="K2" s="251"/>
      <c r="L2" s="251"/>
      <c r="M2" s="251"/>
      <c r="N2" s="251"/>
      <c r="O2" s="251"/>
      <c r="P2" s="251"/>
      <c r="Q2" s="251"/>
      <c r="R2" s="252"/>
      <c r="T2" s="254"/>
      <c r="U2" s="254"/>
      <c r="V2" s="254"/>
      <c r="W2" s="254"/>
      <c r="X2" s="254"/>
      <c r="Y2" s="254"/>
      <c r="Z2" s="254"/>
      <c r="AA2" s="254"/>
      <c r="AB2" s="254"/>
      <c r="AC2" s="254"/>
      <c r="AE2" s="254"/>
      <c r="AF2" s="254"/>
      <c r="AG2" s="254"/>
      <c r="AH2" s="254"/>
      <c r="AI2" s="254"/>
      <c r="AJ2" s="254"/>
      <c r="AK2" s="254"/>
      <c r="AL2" s="254"/>
    </row>
    <row r="3" spans="1:38" ht="14.25" customHeight="1" x14ac:dyDescent="0.3"/>
    <row r="4" spans="1:38" ht="14.25" customHeight="1" x14ac:dyDescent="0.3"/>
    <row r="5" spans="1:38" ht="14.25" customHeight="1" x14ac:dyDescent="0.3">
      <c r="A5" s="255" t="s">
        <v>31</v>
      </c>
      <c r="B5" s="246"/>
    </row>
    <row r="6" spans="1:38" ht="14.25" customHeight="1" x14ac:dyDescent="0.3">
      <c r="A6" s="76" t="s">
        <v>15</v>
      </c>
      <c r="B6" s="76" t="s">
        <v>32</v>
      </c>
      <c r="C6" s="77" t="s">
        <v>33</v>
      </c>
      <c r="D6" s="77" t="s">
        <v>34</v>
      </c>
      <c r="E6" s="77" t="s">
        <v>35</v>
      </c>
      <c r="F6" s="77" t="s">
        <v>36</v>
      </c>
      <c r="G6" s="77" t="s">
        <v>37</v>
      </c>
      <c r="H6" s="77" t="s">
        <v>38</v>
      </c>
      <c r="I6" s="77" t="s">
        <v>39</v>
      </c>
      <c r="J6" s="77" t="s">
        <v>40</v>
      </c>
      <c r="K6" s="77" t="s">
        <v>41</v>
      </c>
      <c r="L6" s="77" t="s">
        <v>42</v>
      </c>
      <c r="M6" s="77" t="s">
        <v>43</v>
      </c>
      <c r="N6" s="77" t="s">
        <v>44</v>
      </c>
      <c r="O6" s="77" t="s">
        <v>45</v>
      </c>
      <c r="P6" s="77" t="s">
        <v>46</v>
      </c>
      <c r="Q6" s="77" t="s">
        <v>47</v>
      </c>
    </row>
    <row r="7" spans="1:38" ht="14.25" customHeight="1" thickBot="1" x14ac:dyDescent="0.35">
      <c r="A7" s="63">
        <f>'LRP Bottom Base 2'!A13</f>
        <v>2</v>
      </c>
      <c r="B7" s="63" t="str">
        <f>'LRP Bottom Base 2'!B13</f>
        <v>Shell End Milling Roughing (L=198.28mm, d=4.5mm, w=5mm) (top side)3x</v>
      </c>
      <c r="C7" s="78">
        <v>5</v>
      </c>
      <c r="D7" s="78">
        <v>4.5</v>
      </c>
      <c r="E7" s="78">
        <v>198.28</v>
      </c>
      <c r="F7" s="78">
        <v>200000</v>
      </c>
      <c r="G7" s="78">
        <f>F7/(PI()*C7)</f>
        <v>12732.395447351628</v>
      </c>
      <c r="H7" s="78">
        <v>250</v>
      </c>
      <c r="I7" s="78">
        <v>5</v>
      </c>
      <c r="J7" s="78">
        <f>C7/2</f>
        <v>2.5</v>
      </c>
      <c r="K7" s="78">
        <f>(E7+(2*J7))*3/H7</f>
        <v>2.4393600000000002</v>
      </c>
      <c r="L7" s="78">
        <f>K7*60</f>
        <v>146.36160000000001</v>
      </c>
      <c r="M7" s="78">
        <f>I7*D7*H7</f>
        <v>5625</v>
      </c>
      <c r="N7" s="78">
        <f>3.14*35*35*10</f>
        <v>38465</v>
      </c>
      <c r="O7" s="78">
        <f>(E7/H7*M7)</f>
        <v>4461.3</v>
      </c>
      <c r="P7" s="78">
        <f>(M7*K7)/N7</f>
        <v>0.35672429481346685</v>
      </c>
      <c r="Q7" s="78">
        <f t="shared" ref="Q7:Q12" si="0">N7-O7</f>
        <v>34003.699999999997</v>
      </c>
    </row>
    <row r="8" spans="1:38" ht="14.25" customHeight="1" thickBot="1" x14ac:dyDescent="0.35">
      <c r="A8" s="63">
        <f>'LRP Bottom Base 2'!A14</f>
        <v>5</v>
      </c>
      <c r="B8" s="63" t="str">
        <f>'LRP Bottom Base 2'!B14</f>
        <v>Shell End Milling Roughing (L=207.24mm, d=4.5mm, w=5mm) (top side)</v>
      </c>
      <c r="C8" s="78">
        <v>5</v>
      </c>
      <c r="D8" s="78">
        <v>4.5</v>
      </c>
      <c r="E8" s="78">
        <v>207.24</v>
      </c>
      <c r="F8" s="78">
        <v>200000</v>
      </c>
      <c r="G8" s="78">
        <f t="shared" ref="G8:G12" si="1">F8/(PI()*C8)</f>
        <v>12732.395447351628</v>
      </c>
      <c r="H8" s="78">
        <v>250</v>
      </c>
      <c r="I8" s="78">
        <v>5</v>
      </c>
      <c r="J8" s="78">
        <f t="shared" ref="J8:J11" si="2">C8/2</f>
        <v>2.5</v>
      </c>
      <c r="K8" s="78">
        <f>(E8+(2*J8))/H8</f>
        <v>0.84896000000000005</v>
      </c>
      <c r="L8" s="78">
        <f t="shared" ref="L8:L12" si="3">K8*60</f>
        <v>50.937600000000003</v>
      </c>
      <c r="M8" s="78">
        <f t="shared" ref="M8:M12" si="4">I8*D8*H8</f>
        <v>5625</v>
      </c>
      <c r="N8" s="78">
        <f>Q7</f>
        <v>34003.699999999997</v>
      </c>
      <c r="O8" s="78">
        <f t="shared" ref="O8:O12" si="5">(E8/H8*M8)</f>
        <v>4662.9000000000005</v>
      </c>
      <c r="P8" s="78">
        <f t="shared" ref="P8:P12" si="6">M8*K8/N8</f>
        <v>0.14043765825483701</v>
      </c>
      <c r="Q8" s="78">
        <f t="shared" si="0"/>
        <v>29340.799999999996</v>
      </c>
    </row>
    <row r="9" spans="1:38" ht="14.25" customHeight="1" thickBot="1" x14ac:dyDescent="0.35">
      <c r="A9" s="63">
        <f>'LRP Bottom Base 2'!A15</f>
        <v>6</v>
      </c>
      <c r="B9" s="63" t="str">
        <f>'LRP Bottom Base 2'!B15</f>
        <v>Shell End Milling Finishing (L=198.28mm, d=0.5mm, w=5mm) (top side)3x</v>
      </c>
      <c r="C9" s="78">
        <v>5</v>
      </c>
      <c r="D9" s="78">
        <v>0.5</v>
      </c>
      <c r="E9" s="78">
        <v>198.28</v>
      </c>
      <c r="F9" s="78">
        <v>250000</v>
      </c>
      <c r="G9" s="78">
        <f t="shared" si="1"/>
        <v>15915.494309189535</v>
      </c>
      <c r="H9" s="78">
        <v>110</v>
      </c>
      <c r="I9" s="78">
        <v>5</v>
      </c>
      <c r="J9" s="78">
        <f t="shared" si="2"/>
        <v>2.5</v>
      </c>
      <c r="K9" s="78">
        <f t="shared" ref="K9" si="7">(E9+(2*J9))*3/H9</f>
        <v>5.5440000000000005</v>
      </c>
      <c r="L9" s="78">
        <f t="shared" si="3"/>
        <v>332.64000000000004</v>
      </c>
      <c r="M9" s="78">
        <f t="shared" si="4"/>
        <v>275</v>
      </c>
      <c r="N9" s="78">
        <f>Q8</f>
        <v>29340.799999999996</v>
      </c>
      <c r="O9" s="78">
        <f t="shared" si="5"/>
        <v>495.7</v>
      </c>
      <c r="P9" s="78">
        <f t="shared" si="6"/>
        <v>5.196177336677938E-2</v>
      </c>
      <c r="Q9" s="78">
        <f t="shared" si="0"/>
        <v>28845.099999999995</v>
      </c>
    </row>
    <row r="10" spans="1:38" ht="14.25" customHeight="1" thickBot="1" x14ac:dyDescent="0.35">
      <c r="A10" s="63">
        <f>'LRP Bottom Base 2'!A16</f>
        <v>9</v>
      </c>
      <c r="B10" s="63" t="str">
        <f>'LRP Bottom Base 2'!B16</f>
        <v>Shell End Milling Finishing (L=207.24mm, d=0.5mm, w=5mm) (top side)</v>
      </c>
      <c r="C10" s="78">
        <v>5</v>
      </c>
      <c r="D10" s="78">
        <v>0.5</v>
      </c>
      <c r="E10" s="78">
        <v>207.24</v>
      </c>
      <c r="F10" s="78">
        <v>250000</v>
      </c>
      <c r="G10" s="78">
        <f t="shared" si="1"/>
        <v>15915.494309189535</v>
      </c>
      <c r="H10" s="78">
        <v>110</v>
      </c>
      <c r="I10" s="78">
        <v>5</v>
      </c>
      <c r="J10" s="78">
        <f t="shared" si="2"/>
        <v>2.5</v>
      </c>
      <c r="K10" s="78">
        <f t="shared" ref="K10" si="8">(E10+(2*J10))/H10</f>
        <v>1.9294545454545455</v>
      </c>
      <c r="L10" s="78">
        <f t="shared" si="3"/>
        <v>115.76727272727273</v>
      </c>
      <c r="M10" s="78">
        <f t="shared" si="4"/>
        <v>275</v>
      </c>
      <c r="N10" s="78">
        <f t="shared" ref="N10:N12" si="9">Q9</f>
        <v>28845.099999999995</v>
      </c>
      <c r="O10" s="78">
        <f t="shared" si="5"/>
        <v>518.1</v>
      </c>
      <c r="P10" s="78">
        <f t="shared" si="6"/>
        <v>1.8394805356889043E-2</v>
      </c>
      <c r="Q10" s="78">
        <f t="shared" si="0"/>
        <v>28326.999999999996</v>
      </c>
    </row>
    <row r="11" spans="1:38" ht="14.25" customHeight="1" thickBot="1" x14ac:dyDescent="0.35">
      <c r="A11" s="63">
        <f>'LRP Bottom Base 2'!A17</f>
        <v>10</v>
      </c>
      <c r="B11" s="63" t="str">
        <f>'LRP Bottom Base 2'!B17</f>
        <v>Shell End Milling Roughing (L=60mm, d=5mm, w=2.5mm) (top side) 6x</v>
      </c>
      <c r="C11" s="78">
        <v>2.5</v>
      </c>
      <c r="D11" s="78">
        <v>5</v>
      </c>
      <c r="E11" s="78">
        <v>60</v>
      </c>
      <c r="F11" s="78">
        <v>200000</v>
      </c>
      <c r="G11" s="78">
        <f t="shared" si="1"/>
        <v>25464.790894703256</v>
      </c>
      <c r="H11" s="78">
        <v>250</v>
      </c>
      <c r="I11" s="78">
        <v>2.5</v>
      </c>
      <c r="J11" s="78">
        <f t="shared" si="2"/>
        <v>1.25</v>
      </c>
      <c r="K11" s="78">
        <f>(E11+(2*J11))*6/H11</f>
        <v>1.5</v>
      </c>
      <c r="L11" s="78">
        <f t="shared" si="3"/>
        <v>90</v>
      </c>
      <c r="M11" s="78">
        <f t="shared" si="4"/>
        <v>3125</v>
      </c>
      <c r="N11" s="78">
        <f t="shared" si="9"/>
        <v>28326.999999999996</v>
      </c>
      <c r="O11" s="78">
        <f t="shared" si="5"/>
        <v>750</v>
      </c>
      <c r="P11" s="78">
        <f t="shared" si="6"/>
        <v>0.16547816570762877</v>
      </c>
      <c r="Q11" s="78">
        <f t="shared" si="0"/>
        <v>27576.999999999996</v>
      </c>
    </row>
    <row r="12" spans="1:38" ht="14.25" customHeight="1" thickBot="1" x14ac:dyDescent="0.35">
      <c r="A12" s="63">
        <f>'LRP Bottom Base 2'!A18</f>
        <v>16</v>
      </c>
      <c r="B12" s="63" t="str">
        <f>'LRP Bottom Base 2'!B18</f>
        <v>Shell End Milling Finishing (L=48mm, d=5mm, w=0.5mm) (top side) 3x</v>
      </c>
      <c r="C12" s="78">
        <v>2.5</v>
      </c>
      <c r="D12" s="78">
        <v>5</v>
      </c>
      <c r="E12" s="78">
        <v>48</v>
      </c>
      <c r="F12" s="78">
        <v>250000</v>
      </c>
      <c r="G12" s="78">
        <f t="shared" si="1"/>
        <v>31830.98861837907</v>
      </c>
      <c r="H12" s="78">
        <v>110</v>
      </c>
      <c r="I12" s="78">
        <v>0.5</v>
      </c>
      <c r="J12" s="78">
        <f>SQRT(I12*(C12-I12))</f>
        <v>1</v>
      </c>
      <c r="K12" s="78">
        <f>(E12+(2*J12))*3/H12</f>
        <v>1.3636363636363635</v>
      </c>
      <c r="L12" s="78">
        <f t="shared" si="3"/>
        <v>81.818181818181813</v>
      </c>
      <c r="M12" s="78">
        <f t="shared" si="4"/>
        <v>275</v>
      </c>
      <c r="N12" s="78">
        <f t="shared" si="9"/>
        <v>27576.999999999996</v>
      </c>
      <c r="O12" s="78">
        <f t="shared" si="5"/>
        <v>120</v>
      </c>
      <c r="P12" s="78">
        <f t="shared" si="6"/>
        <v>1.3598288428763101E-2</v>
      </c>
      <c r="Q12" s="78">
        <f t="shared" si="0"/>
        <v>27456.999999999996</v>
      </c>
    </row>
    <row r="13" spans="1:38" ht="14.25" customHeight="1" x14ac:dyDescent="0.3">
      <c r="B13" s="79"/>
      <c r="C13" s="80"/>
      <c r="D13" s="80"/>
      <c r="E13" s="80"/>
      <c r="F13" s="80"/>
      <c r="G13" s="80"/>
      <c r="H13" s="80"/>
      <c r="I13" s="80"/>
      <c r="J13" s="80"/>
      <c r="K13" s="80"/>
      <c r="L13" s="80"/>
      <c r="M13" s="80"/>
      <c r="N13" s="80"/>
      <c r="O13" s="80"/>
      <c r="P13" s="80"/>
      <c r="Q13" s="80"/>
      <c r="R13" s="80"/>
    </row>
    <row r="14" spans="1:38" ht="14.25" customHeight="1" x14ac:dyDescent="0.3"/>
    <row r="15" spans="1:38" ht="14.25" customHeight="1" x14ac:dyDescent="0.3">
      <c r="A15" s="256" t="s">
        <v>56</v>
      </c>
      <c r="B15" s="257"/>
    </row>
    <row r="16" spans="1:38" ht="14.25" customHeight="1" x14ac:dyDescent="0.3">
      <c r="A16" s="76" t="s">
        <v>15</v>
      </c>
      <c r="B16" s="76" t="s">
        <v>32</v>
      </c>
      <c r="C16" s="81" t="s">
        <v>33</v>
      </c>
      <c r="D16" s="81" t="s">
        <v>34</v>
      </c>
      <c r="E16" s="81" t="s">
        <v>52</v>
      </c>
      <c r="F16" s="81" t="s">
        <v>57</v>
      </c>
      <c r="G16" s="81" t="s">
        <v>37</v>
      </c>
      <c r="H16" s="81" t="s">
        <v>38</v>
      </c>
      <c r="I16" s="81" t="s">
        <v>41</v>
      </c>
      <c r="J16" s="81" t="s">
        <v>42</v>
      </c>
      <c r="K16" s="81" t="s">
        <v>43</v>
      </c>
      <c r="L16" s="81" t="s">
        <v>44</v>
      </c>
      <c r="M16" s="81" t="s">
        <v>45</v>
      </c>
      <c r="N16" s="81" t="s">
        <v>54</v>
      </c>
      <c r="O16" s="81" t="s">
        <v>47</v>
      </c>
    </row>
    <row r="17" spans="1:40" ht="14.25" customHeight="1" x14ac:dyDescent="0.3">
      <c r="A17" s="82">
        <f>'LRP Bottom Base 2'!A19</f>
        <v>19</v>
      </c>
      <c r="B17" s="82" t="str">
        <f>'LRP Bottom Base 2'!B19</f>
        <v>Drilling (D=10mm, d=17mm) (left side) 3x</v>
      </c>
      <c r="C17" s="83">
        <v>10</v>
      </c>
      <c r="D17" s="84">
        <v>17</v>
      </c>
      <c r="E17" s="84">
        <v>0.2</v>
      </c>
      <c r="F17" s="84">
        <v>150000</v>
      </c>
      <c r="G17" s="84">
        <f>F17/(PI()*C17)</f>
        <v>4774.6482927568604</v>
      </c>
      <c r="H17" s="84">
        <f>G17*E17</f>
        <v>954.92965855137209</v>
      </c>
      <c r="I17" s="84">
        <f>D17*3/H17</f>
        <v>5.3407075111026478E-2</v>
      </c>
      <c r="J17" s="84">
        <f>I17*60</f>
        <v>3.2044245066615886</v>
      </c>
      <c r="K17" s="84">
        <f>(PI()*C17*C17*H17)/4</f>
        <v>75000</v>
      </c>
      <c r="L17" s="84">
        <f>Q12</f>
        <v>27456.999999999996</v>
      </c>
      <c r="M17" s="84">
        <f>I17*K17</f>
        <v>4005.5306333269859</v>
      </c>
      <c r="N17" s="84">
        <f>K17*I17/L17</f>
        <v>0.14588376855909191</v>
      </c>
      <c r="O17" s="84">
        <f>L17-M17</f>
        <v>23451.469366673009</v>
      </c>
    </row>
    <row r="18" spans="1:40" ht="14.25" customHeight="1" x14ac:dyDescent="0.3">
      <c r="A18" s="82">
        <f>'LRP Bottom Base 2'!A20</f>
        <v>22</v>
      </c>
      <c r="B18" s="82" t="str">
        <f>'LRP Bottom Base 2'!B20</f>
        <v>Drilling (D=11mm, d=10mm) (bottom side)</v>
      </c>
      <c r="C18" s="83">
        <v>11</v>
      </c>
      <c r="D18" s="84">
        <v>10</v>
      </c>
      <c r="E18" s="84">
        <f>11/10*0.2</f>
        <v>0.22000000000000003</v>
      </c>
      <c r="F18" s="84">
        <v>150000</v>
      </c>
      <c r="G18" s="84">
        <f>F18/(PI()*C18)</f>
        <v>4340.5893570516919</v>
      </c>
      <c r="H18" s="84">
        <f>G18*E18</f>
        <v>954.92965855137231</v>
      </c>
      <c r="I18" s="84">
        <f>D18/H18</f>
        <v>1.0471975511965975E-2</v>
      </c>
      <c r="J18" s="84">
        <f>I18*60</f>
        <v>0.62831853071795851</v>
      </c>
      <c r="K18" s="84">
        <f>(PI()*C18*C18*H18)/4</f>
        <v>90750.000000000015</v>
      </c>
      <c r="L18" s="84">
        <f>O17</f>
        <v>23451.469366673009</v>
      </c>
      <c r="M18" s="84">
        <f>I18*K18</f>
        <v>950.33177771091232</v>
      </c>
      <c r="N18" s="84">
        <f>K18*I18/L18</f>
        <v>4.0523336207727488E-2</v>
      </c>
      <c r="O18" s="84">
        <f>L18-M18</f>
        <v>22501.137588962098</v>
      </c>
    </row>
    <row r="19" spans="1:40" ht="14.25" customHeight="1" x14ac:dyDescent="0.3"/>
    <row r="20" spans="1:40" ht="14.25" customHeight="1" x14ac:dyDescent="0.3">
      <c r="A20" s="245" t="s">
        <v>349</v>
      </c>
      <c r="B20" s="246"/>
    </row>
    <row r="21" spans="1:40" ht="14.25" customHeight="1" x14ac:dyDescent="0.3">
      <c r="A21" s="76" t="s">
        <v>15</v>
      </c>
      <c r="B21" s="76" t="s">
        <v>32</v>
      </c>
      <c r="C21" s="77" t="s">
        <v>40</v>
      </c>
      <c r="D21" s="77" t="s">
        <v>60</v>
      </c>
      <c r="E21" s="77" t="s">
        <v>71</v>
      </c>
      <c r="F21" s="77" t="s">
        <v>72</v>
      </c>
      <c r="G21" s="77" t="s">
        <v>45</v>
      </c>
      <c r="H21" s="77" t="s">
        <v>54</v>
      </c>
      <c r="I21" s="77" t="s">
        <v>47</v>
      </c>
    </row>
    <row r="22" spans="1:40" ht="14.25" customHeight="1" x14ac:dyDescent="0.3">
      <c r="A22" s="85"/>
      <c r="B22" s="86"/>
      <c r="C22" s="87"/>
      <c r="D22" s="87"/>
      <c r="E22" s="87"/>
      <c r="F22" s="87"/>
      <c r="G22" s="87"/>
      <c r="H22" s="88"/>
      <c r="I22" s="87"/>
    </row>
    <row r="23" spans="1:40" ht="14.25" customHeight="1" x14ac:dyDescent="0.3"/>
    <row r="24" spans="1:40" ht="14.25" customHeight="1" x14ac:dyDescent="0.3">
      <c r="A24" s="75"/>
      <c r="B24" s="75"/>
      <c r="C24" s="75"/>
      <c r="D24" s="75"/>
      <c r="E24" s="75"/>
      <c r="F24" s="75"/>
      <c r="G24" s="75"/>
      <c r="H24" s="75"/>
    </row>
    <row r="25" spans="1:40" ht="14.25" customHeight="1" x14ac:dyDescent="0.3"/>
    <row r="26" spans="1:40" ht="14.25" customHeight="1" x14ac:dyDescent="0.3">
      <c r="A26" s="59" t="s">
        <v>75</v>
      </c>
    </row>
    <row r="27" spans="1:40" ht="14.25" customHeight="1" x14ac:dyDescent="0.3"/>
    <row r="28" spans="1:40" ht="14.25" customHeight="1" x14ac:dyDescent="0.3">
      <c r="A28" s="59" t="s">
        <v>76</v>
      </c>
    </row>
    <row r="29" spans="1:40" ht="14.25" customHeight="1" x14ac:dyDescent="0.3"/>
    <row r="30" spans="1:40" ht="14.25" customHeight="1" x14ac:dyDescent="0.3">
      <c r="A30" s="59" t="s">
        <v>77</v>
      </c>
    </row>
    <row r="31" spans="1:40" ht="14.25" customHeight="1" x14ac:dyDescent="0.3">
      <c r="T31" s="253" t="s">
        <v>31</v>
      </c>
      <c r="U31" s="254"/>
      <c r="V31" s="254"/>
      <c r="W31" s="254"/>
      <c r="X31" s="254"/>
      <c r="Y31" s="254"/>
      <c r="Z31" s="254"/>
      <c r="AA31" s="254"/>
      <c r="AB31" s="254"/>
      <c r="AC31" s="254"/>
      <c r="AE31" s="253" t="s">
        <v>64</v>
      </c>
      <c r="AF31" s="254"/>
      <c r="AG31" s="254"/>
      <c r="AH31" s="254"/>
      <c r="AI31" s="254"/>
      <c r="AJ31" s="254"/>
      <c r="AK31" s="254"/>
      <c r="AL31" s="254"/>
      <c r="AM31" s="254"/>
      <c r="AN31" s="254"/>
    </row>
    <row r="32" spans="1:40" ht="14.25" customHeight="1" x14ac:dyDescent="0.3">
      <c r="A32" s="59" t="s">
        <v>78</v>
      </c>
      <c r="T32" s="254"/>
      <c r="U32" s="254"/>
      <c r="V32" s="254"/>
      <c r="W32" s="254"/>
      <c r="X32" s="254"/>
      <c r="Y32" s="254"/>
      <c r="Z32" s="254"/>
      <c r="AA32" s="254"/>
      <c r="AB32" s="254"/>
      <c r="AC32" s="254"/>
      <c r="AE32" s="254"/>
      <c r="AF32" s="254"/>
      <c r="AG32" s="254"/>
      <c r="AH32" s="254"/>
      <c r="AI32" s="254"/>
      <c r="AJ32" s="254"/>
      <c r="AK32" s="254"/>
      <c r="AL32" s="254"/>
      <c r="AM32" s="254"/>
      <c r="AN32" s="254"/>
    </row>
    <row r="33" spans="1:2" ht="14.25" customHeight="1" x14ac:dyDescent="0.3"/>
    <row r="34" spans="1:2" ht="14.25" customHeight="1" x14ac:dyDescent="0.3">
      <c r="A34" s="59" t="s">
        <v>79</v>
      </c>
    </row>
    <row r="35" spans="1:2" ht="14.25" customHeight="1" x14ac:dyDescent="0.3"/>
    <row r="36" spans="1:2" ht="14.25" customHeight="1" x14ac:dyDescent="0.3">
      <c r="A36" s="59" t="s">
        <v>80</v>
      </c>
    </row>
    <row r="37" spans="1:2" ht="14.25" customHeight="1" x14ac:dyDescent="0.3"/>
    <row r="38" spans="1:2" ht="14.25" customHeight="1" x14ac:dyDescent="0.3">
      <c r="B38" s="89"/>
    </row>
    <row r="39" spans="1:2" ht="14.25" customHeight="1" x14ac:dyDescent="0.3"/>
    <row r="40" spans="1:2" ht="14.25" customHeight="1" x14ac:dyDescent="0.3"/>
    <row r="41" spans="1:2" ht="14.25" customHeight="1" x14ac:dyDescent="0.3"/>
    <row r="42" spans="1:2" ht="14.25" customHeight="1" x14ac:dyDescent="0.3"/>
    <row r="43" spans="1:2" ht="14.25" customHeight="1" x14ac:dyDescent="0.3"/>
    <row r="44" spans="1:2" ht="14.25" customHeight="1" x14ac:dyDescent="0.3"/>
    <row r="45" spans="1:2" ht="14.25" customHeight="1" x14ac:dyDescent="0.3"/>
    <row r="46" spans="1:2" ht="19.5" customHeight="1" x14ac:dyDescent="0.3"/>
    <row r="47" spans="1:2" ht="14.25" customHeight="1" x14ac:dyDescent="0.3"/>
    <row r="48" spans="1:2" ht="14.25" customHeight="1" x14ac:dyDescent="0.3"/>
    <row r="49" spans="1:14" ht="14.25" customHeight="1" x14ac:dyDescent="0.3"/>
    <row r="50" spans="1:14" ht="14.25" customHeight="1" x14ac:dyDescent="0.3"/>
    <row r="51" spans="1:14" ht="14.25" customHeight="1" x14ac:dyDescent="0.3"/>
    <row r="52" spans="1:14" ht="14.25" customHeight="1" x14ac:dyDescent="0.3">
      <c r="B52" s="89"/>
    </row>
    <row r="53" spans="1:14" ht="14.25" customHeight="1" x14ac:dyDescent="0.3"/>
    <row r="54" spans="1:14" ht="14.25" customHeight="1" x14ac:dyDescent="0.3"/>
    <row r="55" spans="1:14" ht="14.25" customHeight="1" x14ac:dyDescent="0.3">
      <c r="B55" s="89"/>
    </row>
    <row r="56" spans="1:14" ht="14.25" customHeight="1" x14ac:dyDescent="0.3">
      <c r="B56" s="89"/>
    </row>
    <row r="57" spans="1:14" ht="14.25" customHeight="1" x14ac:dyDescent="0.3"/>
    <row r="58" spans="1:14" ht="15.75" customHeight="1" x14ac:dyDescent="0.3"/>
    <row r="59" spans="1:14" ht="14.25" customHeight="1" x14ac:dyDescent="0.3">
      <c r="J59" s="75"/>
      <c r="K59" s="75"/>
      <c r="L59" s="75"/>
      <c r="M59" s="75"/>
      <c r="N59" s="75"/>
    </row>
    <row r="60" spans="1:14" ht="14.25" customHeight="1" x14ac:dyDescent="0.3"/>
    <row r="61" spans="1:14" ht="14.25" customHeight="1" x14ac:dyDescent="0.3">
      <c r="B61" s="89"/>
    </row>
    <row r="62" spans="1:14" ht="14.25" customHeight="1" x14ac:dyDescent="0.3">
      <c r="A62" s="253" t="s">
        <v>82</v>
      </c>
      <c r="B62" s="254"/>
      <c r="C62" s="254"/>
      <c r="D62" s="254"/>
      <c r="E62" s="254"/>
      <c r="F62" s="254"/>
      <c r="G62" s="254"/>
      <c r="H62" s="254"/>
      <c r="I62" s="254"/>
      <c r="J62" s="254"/>
      <c r="K62" s="254"/>
      <c r="L62" s="254"/>
      <c r="M62" s="254"/>
      <c r="N62" s="254"/>
    </row>
    <row r="63" spans="1:14" ht="14.25" customHeight="1" x14ac:dyDescent="0.3"/>
    <row r="64" spans="1:14" ht="14.25" customHeight="1" x14ac:dyDescent="0.3">
      <c r="A64" s="59" t="s">
        <v>83</v>
      </c>
      <c r="B64" s="89"/>
    </row>
    <row r="65" spans="1:32" ht="14.25" customHeight="1" x14ac:dyDescent="0.3">
      <c r="B65" s="89"/>
    </row>
    <row r="66" spans="1:32" ht="14.25" customHeight="1" x14ac:dyDescent="0.3">
      <c r="A66" s="59" t="s">
        <v>84</v>
      </c>
    </row>
    <row r="67" spans="1:32" ht="14.25" customHeight="1" x14ac:dyDescent="0.3"/>
    <row r="68" spans="1:32" ht="14.25" customHeight="1" x14ac:dyDescent="0.3">
      <c r="A68" s="59" t="s">
        <v>85</v>
      </c>
      <c r="B68" s="89"/>
      <c r="U68" s="258" t="s">
        <v>81</v>
      </c>
      <c r="V68" s="254"/>
      <c r="W68" s="254"/>
      <c r="X68" s="254"/>
      <c r="Y68" s="254"/>
      <c r="Z68" s="254"/>
      <c r="AA68" s="254"/>
      <c r="AB68" s="254"/>
      <c r="AC68" s="254"/>
      <c r="AD68" s="254"/>
      <c r="AE68" s="254"/>
      <c r="AF68" s="254"/>
    </row>
    <row r="69" spans="1:32" ht="14.25" customHeight="1" x14ac:dyDescent="0.3">
      <c r="A69" s="59" t="s">
        <v>86</v>
      </c>
      <c r="B69" s="89"/>
      <c r="U69" s="254"/>
      <c r="V69" s="254"/>
      <c r="W69" s="254"/>
      <c r="X69" s="254"/>
      <c r="Y69" s="254"/>
      <c r="Z69" s="254"/>
      <c r="AA69" s="254"/>
      <c r="AB69" s="254"/>
      <c r="AC69" s="254"/>
      <c r="AD69" s="254"/>
      <c r="AE69" s="254"/>
      <c r="AF69" s="254"/>
    </row>
    <row r="70" spans="1:32" ht="14.25" customHeight="1" x14ac:dyDescent="0.3"/>
    <row r="71" spans="1:32" ht="14.25" customHeight="1" x14ac:dyDescent="0.3">
      <c r="A71" s="59" t="s">
        <v>87</v>
      </c>
    </row>
    <row r="72" spans="1:32" ht="14.25" customHeight="1" x14ac:dyDescent="0.3">
      <c r="B72" s="89"/>
    </row>
    <row r="73" spans="1:32" ht="14.25" customHeight="1" x14ac:dyDescent="0.3">
      <c r="A73" s="59" t="s">
        <v>88</v>
      </c>
      <c r="B73" s="89"/>
    </row>
    <row r="74" spans="1:32" ht="14.25" customHeight="1" x14ac:dyDescent="0.3"/>
    <row r="75" spans="1:32" ht="14.25" customHeight="1" x14ac:dyDescent="0.3"/>
    <row r="76" spans="1:32" ht="14.25" customHeight="1" x14ac:dyDescent="0.3"/>
    <row r="77" spans="1:32" ht="14.25" customHeight="1" x14ac:dyDescent="0.3"/>
    <row r="78" spans="1:32" ht="14.25" customHeight="1" x14ac:dyDescent="0.3"/>
    <row r="79" spans="1:32" ht="14.25" customHeight="1" x14ac:dyDescent="0.3"/>
    <row r="80" spans="1:32" ht="14.25" customHeight="1" x14ac:dyDescent="0.3"/>
    <row r="81" spans="2:14" ht="14.25" customHeight="1" x14ac:dyDescent="0.3"/>
    <row r="82" spans="2:14" ht="14.25" customHeight="1" x14ac:dyDescent="0.3"/>
    <row r="83" spans="2:14" ht="14.25" customHeight="1" x14ac:dyDescent="0.3"/>
    <row r="84" spans="2:14" ht="14.25" customHeight="1" x14ac:dyDescent="0.3">
      <c r="B84" s="90"/>
    </row>
    <row r="85" spans="2:14" ht="21.75" customHeight="1" x14ac:dyDescent="0.3"/>
    <row r="86" spans="2:14" ht="14.25" customHeight="1" x14ac:dyDescent="0.3"/>
    <row r="87" spans="2:14" ht="14.25" customHeight="1" x14ac:dyDescent="0.3"/>
    <row r="88" spans="2:14" ht="14.25" customHeight="1" x14ac:dyDescent="0.3"/>
    <row r="89" spans="2:14" ht="14.25" customHeight="1" x14ac:dyDescent="0.3"/>
    <row r="90" spans="2:14" ht="14.25" customHeight="1" x14ac:dyDescent="0.3"/>
    <row r="91" spans="2:14" ht="14.25" customHeight="1" x14ac:dyDescent="0.3"/>
    <row r="92" spans="2:14" ht="14.25" customHeight="1" x14ac:dyDescent="0.3"/>
    <row r="93" spans="2:14" ht="14.25" customHeight="1" x14ac:dyDescent="0.3"/>
    <row r="94" spans="2:14" ht="14.25" customHeight="1" x14ac:dyDescent="0.3"/>
    <row r="95" spans="2:14" ht="14.25" customHeight="1" x14ac:dyDescent="0.3">
      <c r="J95" s="91"/>
      <c r="K95" s="91"/>
      <c r="L95" s="91"/>
      <c r="M95" s="91"/>
      <c r="N95" s="91"/>
    </row>
    <row r="96" spans="2:14" ht="14.25" customHeight="1" x14ac:dyDescent="0.3">
      <c r="J96" s="75"/>
      <c r="K96" s="75"/>
      <c r="L96" s="75"/>
      <c r="M96" s="75"/>
      <c r="N96" s="75"/>
    </row>
    <row r="97" spans="1:14" ht="14.25" customHeight="1" x14ac:dyDescent="0.3"/>
    <row r="98" spans="1:14" ht="14.25" customHeight="1" x14ac:dyDescent="0.3">
      <c r="A98" s="91"/>
      <c r="B98" s="91"/>
      <c r="C98" s="91"/>
      <c r="D98" s="91"/>
      <c r="E98" s="91"/>
      <c r="F98" s="91"/>
      <c r="G98" s="91"/>
      <c r="H98" s="91"/>
      <c r="I98" s="91"/>
    </row>
    <row r="99" spans="1:14" ht="14.25" customHeight="1" x14ac:dyDescent="0.3">
      <c r="A99" s="253" t="s">
        <v>89</v>
      </c>
      <c r="B99" s="254"/>
      <c r="C99" s="254"/>
      <c r="D99" s="254"/>
      <c r="E99" s="254"/>
      <c r="F99" s="254"/>
      <c r="G99" s="254"/>
      <c r="H99" s="254"/>
      <c r="I99" s="254"/>
      <c r="J99" s="254"/>
      <c r="K99" s="254"/>
      <c r="L99" s="254"/>
      <c r="M99" s="254"/>
      <c r="N99" s="254"/>
    </row>
    <row r="100" spans="1:14" ht="14.25" customHeight="1" x14ac:dyDescent="0.3">
      <c r="A100" s="59" t="s">
        <v>90</v>
      </c>
    </row>
    <row r="101" spans="1:14" ht="14.25" customHeight="1" x14ac:dyDescent="0.3"/>
    <row r="102" spans="1:14" ht="14.25" customHeight="1" x14ac:dyDescent="0.3">
      <c r="A102" s="59" t="s">
        <v>84</v>
      </c>
    </row>
    <row r="103" spans="1:14" ht="14.25" customHeight="1" x14ac:dyDescent="0.3"/>
    <row r="104" spans="1:14" ht="14.25" customHeight="1" x14ac:dyDescent="0.3">
      <c r="A104" s="59" t="s">
        <v>91</v>
      </c>
    </row>
    <row r="105" spans="1:14" ht="14.25" customHeight="1" x14ac:dyDescent="0.3"/>
    <row r="106" spans="1:14" ht="14.25" customHeight="1" x14ac:dyDescent="0.3">
      <c r="A106" s="59" t="s">
        <v>92</v>
      </c>
    </row>
    <row r="107" spans="1:14" ht="14.25" customHeight="1" x14ac:dyDescent="0.3"/>
    <row r="108" spans="1:14" ht="14.25" customHeight="1" x14ac:dyDescent="0.3"/>
    <row r="109" spans="1:14" ht="14.25" customHeight="1" x14ac:dyDescent="0.3"/>
    <row r="110" spans="1:14" ht="14.25" customHeight="1" x14ac:dyDescent="0.3"/>
    <row r="111" spans="1:14" ht="14.25" customHeight="1" x14ac:dyDescent="0.3"/>
    <row r="112" spans="1:14"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6.5" customHeight="1" x14ac:dyDescent="0.3"/>
    <row r="119" ht="14.25" customHeight="1" x14ac:dyDescent="0.3"/>
    <row r="120" ht="14.25" customHeight="1" x14ac:dyDescent="0.3"/>
    <row r="121" ht="14.25" customHeight="1" x14ac:dyDescent="0.3"/>
    <row r="122" ht="30"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row r="1001" ht="15.75" customHeight="1" x14ac:dyDescent="0.3"/>
    <row r="1002" ht="15.75" customHeight="1" x14ac:dyDescent="0.3"/>
    <row r="1003" ht="15.75" customHeight="1" x14ac:dyDescent="0.3"/>
    <row r="1004" ht="15.75" customHeight="1" x14ac:dyDescent="0.3"/>
    <row r="1005" ht="15.75" customHeight="1" x14ac:dyDescent="0.3"/>
    <row r="1006" ht="15.75" customHeight="1" x14ac:dyDescent="0.3"/>
  </sheetData>
  <mergeCells count="11">
    <mergeCell ref="A20:B20"/>
    <mergeCell ref="A1:R2"/>
    <mergeCell ref="T1:AC2"/>
    <mergeCell ref="AE1:AL2"/>
    <mergeCell ref="A5:B5"/>
    <mergeCell ref="A15:B15"/>
    <mergeCell ref="T31:AC32"/>
    <mergeCell ref="AE31:AN32"/>
    <mergeCell ref="A62:N62"/>
    <mergeCell ref="U68:AF69"/>
    <mergeCell ref="A99:N99"/>
  </mergeCells>
  <pageMargins left="0.7" right="0.7" top="0.75" bottom="0.75" header="0" footer="0"/>
  <pageSetup orientation="landscape"/>
  <drawing r:id="rId1"/>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E11A59-7F57-46D1-BE54-F06F7BA55719}">
  <sheetPr>
    <outlinePr summaryBelow="0" summaryRight="0"/>
  </sheetPr>
  <dimension ref="A1:N1016"/>
  <sheetViews>
    <sheetView topLeftCell="A24" zoomScale="114" zoomScaleNormal="205" workbookViewId="0">
      <selection activeCell="H38" sqref="H38"/>
    </sheetView>
  </sheetViews>
  <sheetFormatPr defaultColWidth="14.44140625" defaultRowHeight="15" customHeight="1" x14ac:dyDescent="0.3"/>
  <cols>
    <col min="1" max="1" width="8.5546875" style="57" customWidth="1"/>
    <col min="2" max="2" width="51" style="57" customWidth="1"/>
    <col min="3" max="3" width="11" style="57" bestFit="1" customWidth="1"/>
    <col min="4" max="4" width="8.5546875" style="57" customWidth="1"/>
    <col min="5" max="5" width="10" style="57" bestFit="1" customWidth="1"/>
    <col min="6" max="6" width="16" style="57" customWidth="1"/>
    <col min="7" max="14" width="8.5546875" style="57" customWidth="1"/>
    <col min="15" max="16384" width="14.44140625" style="57"/>
  </cols>
  <sheetData>
    <row r="1" spans="1:14" ht="14.25" customHeight="1" thickBot="1" x14ac:dyDescent="0.35">
      <c r="A1" s="214" t="s">
        <v>0</v>
      </c>
      <c r="B1" s="202"/>
      <c r="C1" s="202"/>
      <c r="D1" s="202"/>
      <c r="E1" s="202"/>
      <c r="F1" s="202"/>
      <c r="G1" s="202"/>
      <c r="H1" s="202"/>
      <c r="I1" s="203"/>
      <c r="K1" s="217" t="s">
        <v>1</v>
      </c>
      <c r="L1" s="202"/>
      <c r="M1" s="202"/>
      <c r="N1" s="203"/>
    </row>
    <row r="2" spans="1:14" ht="14.25" customHeight="1" thickBot="1" x14ac:dyDescent="0.35">
      <c r="A2" s="201"/>
      <c r="B2" s="202"/>
      <c r="C2" s="202"/>
      <c r="D2" s="202"/>
      <c r="E2" s="202"/>
      <c r="F2" s="202"/>
      <c r="G2" s="202"/>
      <c r="H2" s="202"/>
      <c r="I2" s="203"/>
      <c r="K2" s="58"/>
      <c r="L2" s="59"/>
      <c r="M2" s="59"/>
      <c r="N2" s="60"/>
    </row>
    <row r="3" spans="1:14" ht="14.25" customHeight="1" thickBot="1" x14ac:dyDescent="0.35">
      <c r="A3" s="61" t="s">
        <v>2</v>
      </c>
      <c r="B3" s="213">
        <v>4</v>
      </c>
      <c r="C3" s="202"/>
      <c r="D3" s="203"/>
      <c r="E3" s="62" t="s">
        <v>3</v>
      </c>
      <c r="F3" s="213">
        <v>1</v>
      </c>
      <c r="G3" s="202"/>
      <c r="H3" s="202"/>
      <c r="I3" s="203"/>
      <c r="K3" s="58"/>
      <c r="L3" s="59"/>
      <c r="M3" s="59"/>
      <c r="N3" s="60"/>
    </row>
    <row r="4" spans="1:14" ht="14.25" customHeight="1" thickBot="1" x14ac:dyDescent="0.35">
      <c r="A4" s="61" t="s">
        <v>4</v>
      </c>
      <c r="B4" s="213">
        <v>4</v>
      </c>
      <c r="C4" s="202"/>
      <c r="D4" s="203"/>
      <c r="E4" s="62" t="s">
        <v>5</v>
      </c>
      <c r="F4" s="210" t="s">
        <v>125</v>
      </c>
      <c r="G4" s="202"/>
      <c r="H4" s="202"/>
      <c r="I4" s="203"/>
      <c r="K4" s="58"/>
      <c r="L4" s="59"/>
      <c r="M4" s="59"/>
      <c r="N4" s="60"/>
    </row>
    <row r="5" spans="1:14" ht="14.25" customHeight="1" thickBot="1" x14ac:dyDescent="0.35">
      <c r="A5" s="61" t="s">
        <v>6</v>
      </c>
      <c r="B5" s="210" t="s">
        <v>126</v>
      </c>
      <c r="C5" s="202"/>
      <c r="D5" s="203"/>
      <c r="E5" s="62" t="s">
        <v>7</v>
      </c>
      <c r="F5" s="210" t="s">
        <v>94</v>
      </c>
      <c r="G5" s="202"/>
      <c r="H5" s="202"/>
      <c r="I5" s="203"/>
      <c r="K5" s="58"/>
      <c r="L5" s="59"/>
      <c r="M5" s="59"/>
      <c r="N5" s="60"/>
    </row>
    <row r="6" spans="1:14" ht="14.25" customHeight="1" thickBot="1" x14ac:dyDescent="0.35">
      <c r="A6" s="210"/>
      <c r="B6" s="202"/>
      <c r="C6" s="202"/>
      <c r="D6" s="203"/>
      <c r="E6" s="206" t="s">
        <v>8</v>
      </c>
      <c r="F6" s="63" t="s">
        <v>9</v>
      </c>
      <c r="G6" s="201" t="s">
        <v>99</v>
      </c>
      <c r="H6" s="202"/>
      <c r="I6" s="64" t="s">
        <v>10</v>
      </c>
      <c r="K6" s="58"/>
      <c r="L6" s="59"/>
      <c r="M6" s="59"/>
      <c r="N6" s="60"/>
    </row>
    <row r="7" spans="1:14" ht="14.25" customHeight="1" thickBot="1" x14ac:dyDescent="0.35">
      <c r="A7" s="61" t="s">
        <v>11</v>
      </c>
      <c r="B7" s="210" t="s">
        <v>95</v>
      </c>
      <c r="C7" s="202"/>
      <c r="D7" s="203"/>
      <c r="E7" s="211"/>
      <c r="F7" s="63" t="s">
        <v>12</v>
      </c>
      <c r="G7" s="201">
        <v>46</v>
      </c>
      <c r="H7" s="202"/>
      <c r="I7" s="64" t="s">
        <v>10</v>
      </c>
      <c r="K7" s="58"/>
      <c r="L7" s="59"/>
      <c r="M7" s="59"/>
      <c r="N7" s="60"/>
    </row>
    <row r="8" spans="1:14" ht="14.25" customHeight="1" thickBot="1" x14ac:dyDescent="0.35">
      <c r="A8" s="61" t="s">
        <v>13</v>
      </c>
      <c r="B8" s="212" t="s">
        <v>96</v>
      </c>
      <c r="C8" s="202"/>
      <c r="D8" s="203"/>
      <c r="E8" s="205"/>
      <c r="F8" s="63" t="s">
        <v>14</v>
      </c>
      <c r="G8" s="201">
        <v>20</v>
      </c>
      <c r="H8" s="202"/>
      <c r="I8" s="64" t="s">
        <v>10</v>
      </c>
      <c r="K8" s="65"/>
      <c r="L8" s="66"/>
      <c r="M8" s="66"/>
      <c r="N8" s="67"/>
    </row>
    <row r="9" spans="1:14" ht="14.25" customHeight="1" thickBot="1" x14ac:dyDescent="0.35">
      <c r="A9" s="201"/>
      <c r="B9" s="202"/>
      <c r="C9" s="202"/>
      <c r="D9" s="202"/>
      <c r="E9" s="202"/>
      <c r="F9" s="202"/>
      <c r="G9" s="202"/>
      <c r="H9" s="202"/>
      <c r="I9" s="203"/>
    </row>
    <row r="10" spans="1:14" ht="14.25" customHeight="1" thickBot="1" x14ac:dyDescent="0.35">
      <c r="A10" s="204" t="s">
        <v>15</v>
      </c>
      <c r="B10" s="206" t="s">
        <v>16</v>
      </c>
      <c r="C10" s="206" t="s">
        <v>17</v>
      </c>
      <c r="D10" s="207" t="s">
        <v>18</v>
      </c>
      <c r="E10" s="203"/>
      <c r="F10" s="208" t="s">
        <v>19</v>
      </c>
      <c r="G10" s="209" t="s">
        <v>20</v>
      </c>
      <c r="H10" s="209" t="s">
        <v>21</v>
      </c>
      <c r="I10" s="209" t="s">
        <v>22</v>
      </c>
    </row>
    <row r="11" spans="1:14" ht="14.25" customHeight="1" thickBot="1" x14ac:dyDescent="0.35">
      <c r="A11" s="205"/>
      <c r="B11" s="205"/>
      <c r="C11" s="205"/>
      <c r="D11" s="62" t="s">
        <v>23</v>
      </c>
      <c r="E11" s="62" t="s">
        <v>24</v>
      </c>
      <c r="F11" s="205"/>
      <c r="G11" s="205"/>
      <c r="H11" s="205"/>
      <c r="I11" s="205"/>
    </row>
    <row r="12" spans="1:14" ht="14.25" customHeight="1" thickBot="1" x14ac:dyDescent="0.35">
      <c r="A12" s="68">
        <v>1</v>
      </c>
      <c r="B12" s="107" t="s">
        <v>97</v>
      </c>
      <c r="C12" s="108" t="s">
        <v>98</v>
      </c>
      <c r="D12" s="108"/>
      <c r="E12" s="108"/>
      <c r="F12" s="109" t="s">
        <v>127</v>
      </c>
      <c r="G12" s="110">
        <v>240</v>
      </c>
      <c r="H12" s="111">
        <v>0</v>
      </c>
      <c r="I12" s="111">
        <f>G12+H12</f>
        <v>240</v>
      </c>
    </row>
    <row r="13" spans="1:14" ht="14.25" customHeight="1" thickBot="1" x14ac:dyDescent="0.35">
      <c r="A13" s="68">
        <v>2</v>
      </c>
      <c r="B13" s="107" t="s">
        <v>128</v>
      </c>
      <c r="C13" s="108" t="s">
        <v>129</v>
      </c>
      <c r="D13" s="108">
        <f>A13-1</f>
        <v>1</v>
      </c>
      <c r="E13" s="108" t="s">
        <v>102</v>
      </c>
      <c r="F13" s="109" t="s">
        <v>130</v>
      </c>
      <c r="G13" s="110">
        <v>180</v>
      </c>
      <c r="H13" s="111">
        <f>'Perhitungan LRP Guide Female'!M38</f>
        <v>4.3331999999999997</v>
      </c>
      <c r="I13" s="111">
        <f>G13+H13</f>
        <v>184.33320000000001</v>
      </c>
    </row>
    <row r="14" spans="1:14" ht="14.25" customHeight="1" thickBot="1" x14ac:dyDescent="0.35">
      <c r="A14" s="68">
        <v>3</v>
      </c>
      <c r="B14" s="107" t="s">
        <v>131</v>
      </c>
      <c r="C14" s="108" t="s">
        <v>129</v>
      </c>
      <c r="D14" s="108">
        <f t="shared" ref="D14:D46" si="0">A14-1</f>
        <v>2</v>
      </c>
      <c r="E14" s="108" t="s">
        <v>132</v>
      </c>
      <c r="F14" s="109" t="s">
        <v>130</v>
      </c>
      <c r="G14" s="110">
        <v>30</v>
      </c>
      <c r="H14" s="111">
        <f>'Perhitungan LRP Guide Female'!M39</f>
        <v>4.2389999999999999</v>
      </c>
      <c r="I14" s="111">
        <f>G14+H14</f>
        <v>34.238999999999997</v>
      </c>
    </row>
    <row r="15" spans="1:14" ht="14.25" customHeight="1" thickBot="1" x14ac:dyDescent="0.35">
      <c r="A15" s="68">
        <v>4</v>
      </c>
      <c r="B15" s="107" t="s">
        <v>133</v>
      </c>
      <c r="C15" s="108" t="s">
        <v>107</v>
      </c>
      <c r="D15" s="108">
        <f t="shared" si="0"/>
        <v>3</v>
      </c>
      <c r="E15" s="108" t="s">
        <v>106</v>
      </c>
      <c r="F15" s="109" t="s">
        <v>130</v>
      </c>
      <c r="G15" s="110">
        <v>180</v>
      </c>
      <c r="H15" s="111">
        <f>'Perhitungan LRP Guide Female'!L7</f>
        <v>11.52</v>
      </c>
      <c r="I15" s="111">
        <f t="shared" ref="I15:I47" si="1">G15+H15</f>
        <v>191.52</v>
      </c>
    </row>
    <row r="16" spans="1:14" ht="14.25" customHeight="1" thickBot="1" x14ac:dyDescent="0.35">
      <c r="A16" s="68">
        <v>5</v>
      </c>
      <c r="B16" s="107" t="s">
        <v>134</v>
      </c>
      <c r="C16" s="108" t="s">
        <v>107</v>
      </c>
      <c r="D16" s="108">
        <f t="shared" si="0"/>
        <v>4</v>
      </c>
      <c r="E16" s="108" t="s">
        <v>106</v>
      </c>
      <c r="F16" s="109" t="s">
        <v>135</v>
      </c>
      <c r="G16" s="110">
        <v>30</v>
      </c>
      <c r="H16" s="111">
        <f>'Perhitungan LRP Guide Female'!L8</f>
        <v>10.4976</v>
      </c>
      <c r="I16" s="111">
        <f t="shared" si="1"/>
        <v>40.497599999999998</v>
      </c>
    </row>
    <row r="17" spans="1:9" ht="14.25" customHeight="1" thickBot="1" x14ac:dyDescent="0.35">
      <c r="A17" s="68">
        <v>6</v>
      </c>
      <c r="B17" s="107" t="s">
        <v>136</v>
      </c>
      <c r="C17" s="108" t="s">
        <v>107</v>
      </c>
      <c r="D17" s="108">
        <f t="shared" si="0"/>
        <v>5</v>
      </c>
      <c r="E17" s="108" t="s">
        <v>106</v>
      </c>
      <c r="F17" s="109" t="s">
        <v>135</v>
      </c>
      <c r="G17" s="110">
        <v>30</v>
      </c>
      <c r="H17" s="111">
        <f>'Perhitungan LRP Guide Female'!L9</f>
        <v>9.4583999999999993</v>
      </c>
      <c r="I17" s="111">
        <f t="shared" si="1"/>
        <v>39.458399999999997</v>
      </c>
    </row>
    <row r="18" spans="1:9" ht="14.25" customHeight="1" thickBot="1" x14ac:dyDescent="0.35">
      <c r="A18" s="68">
        <v>7</v>
      </c>
      <c r="B18" s="107" t="s">
        <v>137</v>
      </c>
      <c r="C18" s="108" t="s">
        <v>107</v>
      </c>
      <c r="D18" s="108">
        <f t="shared" si="0"/>
        <v>6</v>
      </c>
      <c r="E18" s="108" t="s">
        <v>106</v>
      </c>
      <c r="F18" s="109" t="s">
        <v>135</v>
      </c>
      <c r="G18" s="110">
        <v>30</v>
      </c>
      <c r="H18" s="111">
        <f>'Perhitungan LRP Guide Female'!L10</f>
        <v>8.4216000000000015</v>
      </c>
      <c r="I18" s="111">
        <f t="shared" si="1"/>
        <v>38.421599999999998</v>
      </c>
    </row>
    <row r="19" spans="1:9" ht="14.25" customHeight="1" thickBot="1" x14ac:dyDescent="0.35">
      <c r="A19" s="68">
        <v>8</v>
      </c>
      <c r="B19" s="107" t="s">
        <v>138</v>
      </c>
      <c r="C19" s="108" t="s">
        <v>107</v>
      </c>
      <c r="D19" s="108">
        <f t="shared" si="0"/>
        <v>7</v>
      </c>
      <c r="E19" s="108" t="s">
        <v>106</v>
      </c>
      <c r="F19" s="109" t="s">
        <v>135</v>
      </c>
      <c r="G19" s="110">
        <v>30</v>
      </c>
      <c r="H19" s="111">
        <f>'Perhitungan LRP Guide Female'!L11</f>
        <v>7.3824000000000005</v>
      </c>
      <c r="I19" s="111">
        <f t="shared" si="1"/>
        <v>37.382400000000004</v>
      </c>
    </row>
    <row r="20" spans="1:9" ht="14.25" customHeight="1" thickBot="1" x14ac:dyDescent="0.35">
      <c r="A20" s="68">
        <v>9</v>
      </c>
      <c r="B20" s="107" t="s">
        <v>139</v>
      </c>
      <c r="C20" s="108" t="s">
        <v>107</v>
      </c>
      <c r="D20" s="108">
        <f t="shared" si="0"/>
        <v>8</v>
      </c>
      <c r="E20" s="108" t="s">
        <v>106</v>
      </c>
      <c r="F20" s="109" t="s">
        <v>135</v>
      </c>
      <c r="G20" s="110">
        <v>30</v>
      </c>
      <c r="H20" s="111">
        <f>'Perhitungan LRP Guide Female'!L12</f>
        <v>15.125454545454545</v>
      </c>
      <c r="I20" s="111">
        <f t="shared" si="1"/>
        <v>45.125454545454545</v>
      </c>
    </row>
    <row r="21" spans="1:9" ht="14.25" customHeight="1" thickBot="1" x14ac:dyDescent="0.35">
      <c r="A21" s="68">
        <v>10</v>
      </c>
      <c r="B21" s="107" t="s">
        <v>140</v>
      </c>
      <c r="C21" s="108" t="s">
        <v>107</v>
      </c>
      <c r="D21" s="108">
        <f t="shared" si="0"/>
        <v>9</v>
      </c>
      <c r="E21" s="108" t="s">
        <v>106</v>
      </c>
      <c r="F21" s="109" t="s">
        <v>135</v>
      </c>
      <c r="G21" s="110">
        <v>30</v>
      </c>
      <c r="H21" s="111">
        <f>'Perhitungan LRP Guide Female'!L13</f>
        <v>11.52</v>
      </c>
      <c r="I21" s="111">
        <f t="shared" si="1"/>
        <v>41.519999999999996</v>
      </c>
    </row>
    <row r="22" spans="1:9" ht="14.25" customHeight="1" thickBot="1" x14ac:dyDescent="0.35">
      <c r="A22" s="68">
        <v>11</v>
      </c>
      <c r="B22" s="107" t="s">
        <v>141</v>
      </c>
      <c r="C22" s="108" t="s">
        <v>107</v>
      </c>
      <c r="D22" s="108">
        <f t="shared" si="0"/>
        <v>10</v>
      </c>
      <c r="E22" s="108" t="s">
        <v>106</v>
      </c>
      <c r="F22" s="109" t="s">
        <v>135</v>
      </c>
      <c r="G22" s="110">
        <v>30</v>
      </c>
      <c r="H22" s="111">
        <f>'Perhitungan LRP Guide Female'!L14</f>
        <v>10.4976</v>
      </c>
      <c r="I22" s="111">
        <f t="shared" si="1"/>
        <v>40.497599999999998</v>
      </c>
    </row>
    <row r="23" spans="1:9" ht="14.25" customHeight="1" thickBot="1" x14ac:dyDescent="0.35">
      <c r="A23" s="68">
        <v>12</v>
      </c>
      <c r="B23" s="107" t="s">
        <v>142</v>
      </c>
      <c r="C23" s="108" t="s">
        <v>107</v>
      </c>
      <c r="D23" s="108">
        <f t="shared" si="0"/>
        <v>11</v>
      </c>
      <c r="E23" s="108" t="s">
        <v>106</v>
      </c>
      <c r="F23" s="109" t="s">
        <v>135</v>
      </c>
      <c r="G23" s="110">
        <v>30</v>
      </c>
      <c r="H23" s="111">
        <f>'Perhitungan LRP Guide Female'!L15</f>
        <v>9.4583999999999993</v>
      </c>
      <c r="I23" s="111">
        <f t="shared" si="1"/>
        <v>39.458399999999997</v>
      </c>
    </row>
    <row r="24" spans="1:9" ht="14.25" customHeight="1" thickBot="1" x14ac:dyDescent="0.35">
      <c r="A24" s="68">
        <v>13</v>
      </c>
      <c r="B24" s="107" t="s">
        <v>143</v>
      </c>
      <c r="C24" s="108" t="s">
        <v>107</v>
      </c>
      <c r="D24" s="108">
        <f t="shared" si="0"/>
        <v>12</v>
      </c>
      <c r="E24" s="108" t="s">
        <v>106</v>
      </c>
      <c r="F24" s="109" t="s">
        <v>135</v>
      </c>
      <c r="G24" s="110">
        <v>30</v>
      </c>
      <c r="H24" s="111">
        <f>'Perhitungan LRP Guide Female'!L16</f>
        <v>8.4216000000000015</v>
      </c>
      <c r="I24" s="111">
        <f t="shared" si="1"/>
        <v>38.421599999999998</v>
      </c>
    </row>
    <row r="25" spans="1:9" ht="14.25" customHeight="1" thickBot="1" x14ac:dyDescent="0.35">
      <c r="A25" s="68">
        <v>14</v>
      </c>
      <c r="B25" s="107" t="s">
        <v>144</v>
      </c>
      <c r="C25" s="108" t="s">
        <v>107</v>
      </c>
      <c r="D25" s="108">
        <f t="shared" si="0"/>
        <v>13</v>
      </c>
      <c r="E25" s="108" t="s">
        <v>106</v>
      </c>
      <c r="F25" s="109" t="s">
        <v>135</v>
      </c>
      <c r="G25" s="110">
        <v>30</v>
      </c>
      <c r="H25" s="111">
        <f>'Perhitungan LRP Guide Female'!L17</f>
        <v>7.3824000000000005</v>
      </c>
      <c r="I25" s="111">
        <f t="shared" si="1"/>
        <v>37.382400000000004</v>
      </c>
    </row>
    <row r="26" spans="1:9" ht="14.25" customHeight="1" thickBot="1" x14ac:dyDescent="0.35">
      <c r="A26" s="68">
        <v>15</v>
      </c>
      <c r="B26" s="107" t="s">
        <v>145</v>
      </c>
      <c r="C26" s="108" t="s">
        <v>107</v>
      </c>
      <c r="D26" s="108">
        <f t="shared" si="0"/>
        <v>14</v>
      </c>
      <c r="E26" s="108" t="s">
        <v>106</v>
      </c>
      <c r="F26" s="109" t="s">
        <v>135</v>
      </c>
      <c r="G26" s="110">
        <v>30</v>
      </c>
      <c r="H26" s="111">
        <f>'Perhitungan LRP Guide Female'!L18</f>
        <v>15.125454545454545</v>
      </c>
      <c r="I26" s="111">
        <f t="shared" si="1"/>
        <v>45.125454545454545</v>
      </c>
    </row>
    <row r="27" spans="1:9" ht="14.25" customHeight="1" thickBot="1" x14ac:dyDescent="0.35">
      <c r="A27" s="68">
        <v>16</v>
      </c>
      <c r="B27" s="107" t="s">
        <v>146</v>
      </c>
      <c r="C27" s="108" t="s">
        <v>107</v>
      </c>
      <c r="D27" s="108">
        <f t="shared" si="0"/>
        <v>15</v>
      </c>
      <c r="E27" s="108" t="s">
        <v>106</v>
      </c>
      <c r="F27" s="109" t="s">
        <v>135</v>
      </c>
      <c r="G27" s="110">
        <v>30</v>
      </c>
      <c r="H27" s="111">
        <f>'Perhitungan LRP Guide Female'!L19</f>
        <v>4.3199999999999994</v>
      </c>
      <c r="I27" s="111">
        <f t="shared" si="1"/>
        <v>34.32</v>
      </c>
    </row>
    <row r="28" spans="1:9" ht="14.25" customHeight="1" thickBot="1" x14ac:dyDescent="0.35">
      <c r="A28" s="68">
        <v>17</v>
      </c>
      <c r="B28" s="107" t="s">
        <v>147</v>
      </c>
      <c r="C28" s="108" t="s">
        <v>107</v>
      </c>
      <c r="D28" s="108">
        <f t="shared" si="0"/>
        <v>16</v>
      </c>
      <c r="E28" s="108" t="s">
        <v>106</v>
      </c>
      <c r="F28" s="109" t="s">
        <v>135</v>
      </c>
      <c r="G28" s="110">
        <v>30</v>
      </c>
      <c r="H28" s="111">
        <f>'Perhitungan LRP Guide Female'!L20</f>
        <v>4.3199999999999994</v>
      </c>
      <c r="I28" s="111">
        <f t="shared" si="1"/>
        <v>34.32</v>
      </c>
    </row>
    <row r="29" spans="1:9" ht="14.25" customHeight="1" thickBot="1" x14ac:dyDescent="0.35">
      <c r="A29" s="68">
        <v>18</v>
      </c>
      <c r="B29" s="107" t="s">
        <v>148</v>
      </c>
      <c r="C29" s="108" t="s">
        <v>107</v>
      </c>
      <c r="D29" s="108">
        <f t="shared" si="0"/>
        <v>17</v>
      </c>
      <c r="E29" s="108" t="s">
        <v>106</v>
      </c>
      <c r="F29" s="109" t="s">
        <v>135</v>
      </c>
      <c r="G29" s="110">
        <v>30</v>
      </c>
      <c r="H29" s="111">
        <f>'Perhitungan LRP Guide Female'!L21</f>
        <v>9.8181818181818183</v>
      </c>
      <c r="I29" s="111">
        <f t="shared" si="1"/>
        <v>39.81818181818182</v>
      </c>
    </row>
    <row r="30" spans="1:9" ht="14.25" customHeight="1" thickBot="1" x14ac:dyDescent="0.35">
      <c r="A30" s="68">
        <v>19</v>
      </c>
      <c r="B30" s="107" t="s">
        <v>149</v>
      </c>
      <c r="C30" s="108" t="s">
        <v>107</v>
      </c>
      <c r="D30" s="108">
        <f t="shared" si="0"/>
        <v>18</v>
      </c>
      <c r="E30" s="108" t="s">
        <v>106</v>
      </c>
      <c r="F30" s="109" t="s">
        <v>135</v>
      </c>
      <c r="G30" s="110">
        <v>30</v>
      </c>
      <c r="H30" s="111">
        <f>'Perhitungan LRP Guide Female'!L22</f>
        <v>6.0048000000000004</v>
      </c>
      <c r="I30" s="111">
        <f t="shared" si="1"/>
        <v>36.004800000000003</v>
      </c>
    </row>
    <row r="31" spans="1:9" ht="14.25" customHeight="1" thickBot="1" x14ac:dyDescent="0.35">
      <c r="A31" s="68">
        <v>20</v>
      </c>
      <c r="B31" s="107" t="s">
        <v>150</v>
      </c>
      <c r="C31" s="108" t="s">
        <v>107</v>
      </c>
      <c r="D31" s="108">
        <f t="shared" si="0"/>
        <v>19</v>
      </c>
      <c r="E31" s="108" t="s">
        <v>106</v>
      </c>
      <c r="F31" s="109" t="s">
        <v>135</v>
      </c>
      <c r="G31" s="110">
        <v>30</v>
      </c>
      <c r="H31" s="111">
        <f>'Perhitungan LRP Guide Female'!L23</f>
        <v>5.5968</v>
      </c>
      <c r="I31" s="111">
        <f t="shared" si="1"/>
        <v>35.596800000000002</v>
      </c>
    </row>
    <row r="32" spans="1:9" ht="14.25" customHeight="1" thickBot="1" x14ac:dyDescent="0.35">
      <c r="A32" s="68">
        <v>21</v>
      </c>
      <c r="B32" s="107" t="s">
        <v>151</v>
      </c>
      <c r="C32" s="108" t="s">
        <v>107</v>
      </c>
      <c r="D32" s="108">
        <f t="shared" si="0"/>
        <v>20</v>
      </c>
      <c r="E32" s="108" t="s">
        <v>106</v>
      </c>
      <c r="F32" s="109" t="s">
        <v>135</v>
      </c>
      <c r="G32" s="110">
        <v>30</v>
      </c>
      <c r="H32" s="111">
        <f>'Perhitungan LRP Guide Female'!L24</f>
        <v>5.1863999999999999</v>
      </c>
      <c r="I32" s="111">
        <f t="shared" si="1"/>
        <v>35.186399999999999</v>
      </c>
    </row>
    <row r="33" spans="1:9" ht="14.25" customHeight="1" thickBot="1" x14ac:dyDescent="0.35">
      <c r="A33" s="68">
        <v>22</v>
      </c>
      <c r="B33" s="107" t="s">
        <v>152</v>
      </c>
      <c r="C33" s="108" t="s">
        <v>107</v>
      </c>
      <c r="D33" s="108">
        <f t="shared" si="0"/>
        <v>21</v>
      </c>
      <c r="E33" s="108" t="s">
        <v>106</v>
      </c>
      <c r="F33" s="109" t="s">
        <v>135</v>
      </c>
      <c r="G33" s="110">
        <v>30</v>
      </c>
      <c r="H33" s="111">
        <f>'Perhitungan LRP Guide Female'!L25</f>
        <v>4.7759999999999998</v>
      </c>
      <c r="I33" s="111">
        <f t="shared" si="1"/>
        <v>34.775999999999996</v>
      </c>
    </row>
    <row r="34" spans="1:9" ht="14.25" customHeight="1" thickBot="1" x14ac:dyDescent="0.35">
      <c r="A34" s="68">
        <v>23</v>
      </c>
      <c r="B34" s="107" t="s">
        <v>153</v>
      </c>
      <c r="C34" s="108" t="s">
        <v>107</v>
      </c>
      <c r="D34" s="108">
        <f t="shared" si="0"/>
        <v>22</v>
      </c>
      <c r="E34" s="108" t="s">
        <v>106</v>
      </c>
      <c r="F34" s="109" t="s">
        <v>135</v>
      </c>
      <c r="G34" s="110">
        <v>30</v>
      </c>
      <c r="H34" s="111">
        <f>'Perhitungan LRP Guide Female'!L26</f>
        <v>4.3680000000000003</v>
      </c>
      <c r="I34" s="111">
        <f t="shared" si="1"/>
        <v>34.368000000000002</v>
      </c>
    </row>
    <row r="35" spans="1:9" ht="14.25" customHeight="1" thickBot="1" x14ac:dyDescent="0.35">
      <c r="A35" s="68">
        <v>24</v>
      </c>
      <c r="B35" s="107" t="s">
        <v>154</v>
      </c>
      <c r="C35" s="108" t="s">
        <v>107</v>
      </c>
      <c r="D35" s="108">
        <f t="shared" si="0"/>
        <v>23</v>
      </c>
      <c r="E35" s="108" t="s">
        <v>106</v>
      </c>
      <c r="F35" s="109" t="s">
        <v>135</v>
      </c>
      <c r="G35" s="110">
        <v>30</v>
      </c>
      <c r="H35" s="111">
        <f>'Perhitungan LRP Guide Female'!L27</f>
        <v>9.2727272727272734</v>
      </c>
      <c r="I35" s="111">
        <f t="shared" si="1"/>
        <v>39.272727272727273</v>
      </c>
    </row>
    <row r="36" spans="1:9" ht="14.25" customHeight="1" thickBot="1" x14ac:dyDescent="0.35">
      <c r="A36" s="68">
        <v>25</v>
      </c>
      <c r="B36" s="107" t="s">
        <v>149</v>
      </c>
      <c r="C36" s="108" t="s">
        <v>107</v>
      </c>
      <c r="D36" s="108">
        <f t="shared" si="0"/>
        <v>24</v>
      </c>
      <c r="E36" s="108" t="s">
        <v>106</v>
      </c>
      <c r="F36" s="109" t="s">
        <v>135</v>
      </c>
      <c r="G36" s="110">
        <v>30</v>
      </c>
      <c r="H36" s="111">
        <f>'Perhitungan LRP Guide Female'!L28</f>
        <v>6.0048000000000004</v>
      </c>
      <c r="I36" s="111">
        <f t="shared" si="1"/>
        <v>36.004800000000003</v>
      </c>
    </row>
    <row r="37" spans="1:9" ht="14.25" customHeight="1" thickBot="1" x14ac:dyDescent="0.35">
      <c r="A37" s="68">
        <v>26</v>
      </c>
      <c r="B37" s="107" t="s">
        <v>150</v>
      </c>
      <c r="C37" s="108" t="s">
        <v>107</v>
      </c>
      <c r="D37" s="108">
        <f t="shared" si="0"/>
        <v>25</v>
      </c>
      <c r="E37" s="108" t="s">
        <v>106</v>
      </c>
      <c r="F37" s="109" t="s">
        <v>135</v>
      </c>
      <c r="G37" s="110">
        <v>30</v>
      </c>
      <c r="H37" s="111">
        <f>'Perhitungan LRP Guide Female'!L29</f>
        <v>5.5968</v>
      </c>
      <c r="I37" s="111">
        <f t="shared" si="1"/>
        <v>35.596800000000002</v>
      </c>
    </row>
    <row r="38" spans="1:9" ht="14.25" customHeight="1" thickBot="1" x14ac:dyDescent="0.35">
      <c r="A38" s="68">
        <v>27</v>
      </c>
      <c r="B38" s="107" t="s">
        <v>151</v>
      </c>
      <c r="C38" s="108" t="s">
        <v>107</v>
      </c>
      <c r="D38" s="108">
        <f t="shared" si="0"/>
        <v>26</v>
      </c>
      <c r="E38" s="108" t="s">
        <v>106</v>
      </c>
      <c r="F38" s="109" t="s">
        <v>135</v>
      </c>
      <c r="G38" s="110">
        <v>30</v>
      </c>
      <c r="H38" s="111">
        <f>'Perhitungan LRP Guide Female'!L30</f>
        <v>5.1863999999999999</v>
      </c>
      <c r="I38" s="111">
        <f t="shared" si="1"/>
        <v>35.186399999999999</v>
      </c>
    </row>
    <row r="39" spans="1:9" ht="14.25" customHeight="1" thickBot="1" x14ac:dyDescent="0.35">
      <c r="A39" s="68">
        <v>28</v>
      </c>
      <c r="B39" s="107" t="s">
        <v>152</v>
      </c>
      <c r="C39" s="108" t="s">
        <v>107</v>
      </c>
      <c r="D39" s="108">
        <f t="shared" si="0"/>
        <v>27</v>
      </c>
      <c r="E39" s="108" t="s">
        <v>106</v>
      </c>
      <c r="F39" s="109" t="s">
        <v>135</v>
      </c>
      <c r="G39" s="110">
        <v>30</v>
      </c>
      <c r="H39" s="111">
        <f>'Perhitungan LRP Guide Female'!L31</f>
        <v>4.7759999999999998</v>
      </c>
      <c r="I39" s="111">
        <f t="shared" si="1"/>
        <v>34.775999999999996</v>
      </c>
    </row>
    <row r="40" spans="1:9" ht="14.25" customHeight="1" thickBot="1" x14ac:dyDescent="0.35">
      <c r="A40" s="68">
        <v>29</v>
      </c>
      <c r="B40" s="107" t="s">
        <v>153</v>
      </c>
      <c r="C40" s="108" t="s">
        <v>107</v>
      </c>
      <c r="D40" s="108">
        <f t="shared" si="0"/>
        <v>28</v>
      </c>
      <c r="E40" s="108" t="s">
        <v>106</v>
      </c>
      <c r="F40" s="109" t="s">
        <v>135</v>
      </c>
      <c r="G40" s="110">
        <v>30</v>
      </c>
      <c r="H40" s="111">
        <f>'Perhitungan LRP Guide Female'!L32</f>
        <v>4.3680000000000003</v>
      </c>
      <c r="I40" s="111">
        <f t="shared" si="1"/>
        <v>34.368000000000002</v>
      </c>
    </row>
    <row r="41" spans="1:9" ht="14.25" customHeight="1" thickBot="1" x14ac:dyDescent="0.35">
      <c r="A41" s="68">
        <v>30</v>
      </c>
      <c r="B41" s="107" t="s">
        <v>154</v>
      </c>
      <c r="C41" s="108" t="s">
        <v>107</v>
      </c>
      <c r="D41" s="108">
        <f t="shared" si="0"/>
        <v>29</v>
      </c>
      <c r="E41" s="108" t="s">
        <v>106</v>
      </c>
      <c r="F41" s="109" t="s">
        <v>135</v>
      </c>
      <c r="G41" s="110">
        <v>30</v>
      </c>
      <c r="H41" s="111">
        <f>'Perhitungan LRP Guide Female'!L33</f>
        <v>9.2727272727272734</v>
      </c>
      <c r="I41" s="111">
        <f t="shared" si="1"/>
        <v>39.272727272727273</v>
      </c>
    </row>
    <row r="42" spans="1:9" ht="14.25" customHeight="1" thickBot="1" x14ac:dyDescent="0.35">
      <c r="A42" s="68">
        <v>31</v>
      </c>
      <c r="B42" s="107" t="s">
        <v>155</v>
      </c>
      <c r="C42" s="108" t="s">
        <v>98</v>
      </c>
      <c r="D42" s="108">
        <f t="shared" si="0"/>
        <v>30</v>
      </c>
      <c r="E42" s="108" t="s">
        <v>106</v>
      </c>
      <c r="F42" s="109" t="s">
        <v>127</v>
      </c>
      <c r="G42" s="110">
        <v>240</v>
      </c>
      <c r="H42" s="111">
        <v>0</v>
      </c>
      <c r="I42" s="111">
        <f t="shared" si="1"/>
        <v>240</v>
      </c>
    </row>
    <row r="43" spans="1:9" ht="14.25" customHeight="1" thickBot="1" x14ac:dyDescent="0.35">
      <c r="A43" s="68">
        <v>37</v>
      </c>
      <c r="B43" s="107" t="s">
        <v>156</v>
      </c>
      <c r="C43" s="108" t="s">
        <v>98</v>
      </c>
      <c r="D43" s="108">
        <f t="shared" si="0"/>
        <v>36</v>
      </c>
      <c r="E43" s="108" t="s">
        <v>106</v>
      </c>
      <c r="F43" s="109" t="s">
        <v>127</v>
      </c>
      <c r="G43" s="110">
        <v>240</v>
      </c>
      <c r="H43" s="111">
        <v>0</v>
      </c>
      <c r="I43" s="111">
        <f t="shared" si="1"/>
        <v>240</v>
      </c>
    </row>
    <row r="44" spans="1:9" ht="14.25" customHeight="1" thickBot="1" x14ac:dyDescent="0.35">
      <c r="A44" s="68">
        <v>45</v>
      </c>
      <c r="B44" s="107" t="s">
        <v>157</v>
      </c>
      <c r="C44" s="108" t="s">
        <v>105</v>
      </c>
      <c r="D44" s="108">
        <f t="shared" si="0"/>
        <v>44</v>
      </c>
      <c r="E44" s="108" t="s">
        <v>106</v>
      </c>
      <c r="F44" s="109" t="s">
        <v>158</v>
      </c>
      <c r="G44" s="110">
        <v>180</v>
      </c>
      <c r="H44" s="111">
        <v>2.8259999999999996</v>
      </c>
      <c r="I44" s="111">
        <f t="shared" si="1"/>
        <v>182.82599999999999</v>
      </c>
    </row>
    <row r="45" spans="1:9" ht="14.25" customHeight="1" thickBot="1" x14ac:dyDescent="0.35">
      <c r="A45" s="68">
        <v>46</v>
      </c>
      <c r="B45" s="107" t="s">
        <v>159</v>
      </c>
      <c r="C45" s="108" t="s">
        <v>105</v>
      </c>
      <c r="D45" s="108">
        <f t="shared" si="0"/>
        <v>45</v>
      </c>
      <c r="E45" s="108" t="s">
        <v>106</v>
      </c>
      <c r="F45" s="109" t="s">
        <v>160</v>
      </c>
      <c r="G45" s="110">
        <v>30</v>
      </c>
      <c r="H45" s="111">
        <v>0.628</v>
      </c>
      <c r="I45" s="111">
        <f t="shared" si="1"/>
        <v>30.628</v>
      </c>
    </row>
    <row r="46" spans="1:9" ht="14.25" customHeight="1" thickBot="1" x14ac:dyDescent="0.35">
      <c r="A46" s="68">
        <v>49</v>
      </c>
      <c r="B46" s="107" t="s">
        <v>161</v>
      </c>
      <c r="C46" s="108" t="s">
        <v>105</v>
      </c>
      <c r="D46" s="108">
        <f t="shared" si="0"/>
        <v>48</v>
      </c>
      <c r="E46" s="108" t="s">
        <v>106</v>
      </c>
      <c r="F46" s="109" t="s">
        <v>162</v>
      </c>
      <c r="G46" s="110">
        <v>90</v>
      </c>
      <c r="H46" s="111">
        <v>0.42861000000000005</v>
      </c>
      <c r="I46" s="111">
        <f t="shared" si="1"/>
        <v>90.428610000000006</v>
      </c>
    </row>
    <row r="47" spans="1:9" ht="14.25" customHeight="1" thickBot="1" x14ac:dyDescent="0.35">
      <c r="A47" s="68">
        <v>50</v>
      </c>
      <c r="B47" s="112" t="s">
        <v>110</v>
      </c>
      <c r="C47" s="113" t="s">
        <v>98</v>
      </c>
      <c r="D47" s="113"/>
      <c r="E47" s="113"/>
      <c r="F47" s="113" t="s">
        <v>127</v>
      </c>
      <c r="G47" s="114">
        <v>0</v>
      </c>
      <c r="H47" s="114">
        <v>0</v>
      </c>
      <c r="I47" s="111">
        <f t="shared" si="1"/>
        <v>0</v>
      </c>
    </row>
    <row r="48" spans="1:9" ht="14.25" customHeight="1" thickBot="1" x14ac:dyDescent="0.35">
      <c r="H48" s="73" t="s">
        <v>27</v>
      </c>
      <c r="I48" s="73">
        <f>SUM(I12:I47)</f>
        <v>2416.1333554545458</v>
      </c>
    </row>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row r="1001" ht="15.75" customHeight="1" x14ac:dyDescent="0.3"/>
    <row r="1002" ht="15.75" customHeight="1" x14ac:dyDescent="0.3"/>
    <row r="1003" ht="15.75" customHeight="1" x14ac:dyDescent="0.3"/>
    <row r="1004" ht="15.75" customHeight="1" x14ac:dyDescent="0.3"/>
    <row r="1005" ht="15.75" customHeight="1" x14ac:dyDescent="0.3"/>
    <row r="1006" ht="15.75" customHeight="1" x14ac:dyDescent="0.3"/>
    <row r="1007" ht="15.75" customHeight="1" x14ac:dyDescent="0.3"/>
    <row r="1008" ht="15.75" customHeight="1" x14ac:dyDescent="0.3"/>
    <row r="1009" ht="15.75" customHeight="1" x14ac:dyDescent="0.3"/>
    <row r="1010" ht="15.75" customHeight="1" x14ac:dyDescent="0.3"/>
    <row r="1011" ht="15.75" customHeight="1" x14ac:dyDescent="0.3"/>
    <row r="1012" ht="15.75" customHeight="1" x14ac:dyDescent="0.3"/>
    <row r="1013" ht="15.75" customHeight="1" x14ac:dyDescent="0.3"/>
    <row r="1014" ht="15.75" customHeight="1" x14ac:dyDescent="0.3"/>
    <row r="1015" ht="15.75" customHeight="1" x14ac:dyDescent="0.3"/>
    <row r="1016" ht="15.75" customHeight="1" x14ac:dyDescent="0.3"/>
  </sheetData>
  <mergeCells count="25">
    <mergeCell ref="B4:D4"/>
    <mergeCell ref="F4:I4"/>
    <mergeCell ref="A1:I1"/>
    <mergeCell ref="K1:N1"/>
    <mergeCell ref="A2:I2"/>
    <mergeCell ref="B3:D3"/>
    <mergeCell ref="F3:I3"/>
    <mergeCell ref="B5:D5"/>
    <mergeCell ref="F5:I5"/>
    <mergeCell ref="A6:D6"/>
    <mergeCell ref="E6:E8"/>
    <mergeCell ref="G6:H6"/>
    <mergeCell ref="B7:D7"/>
    <mergeCell ref="G7:H7"/>
    <mergeCell ref="B8:D8"/>
    <mergeCell ref="G8:H8"/>
    <mergeCell ref="A9:I9"/>
    <mergeCell ref="A10:A11"/>
    <mergeCell ref="B10:B11"/>
    <mergeCell ref="C10:C11"/>
    <mergeCell ref="D10:E10"/>
    <mergeCell ref="F10:F11"/>
    <mergeCell ref="G10:G11"/>
    <mergeCell ref="H10:H11"/>
    <mergeCell ref="I10:I11"/>
  </mergeCells>
  <pageMargins left="0.7" right="0.7" top="0.75" bottom="0.75" header="0" footer="0"/>
  <pageSetup orientation="landscape"/>
  <drawing r:id="rId1"/>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6B4F00-1C8A-4D19-B09F-BD9638351114}">
  <dimension ref="A1:AL1015"/>
  <sheetViews>
    <sheetView topLeftCell="A27" zoomScale="88" zoomScaleNormal="69" workbookViewId="0">
      <selection activeCell="H38" sqref="H38"/>
    </sheetView>
  </sheetViews>
  <sheetFormatPr defaultColWidth="14.44140625" defaultRowHeight="15" customHeight="1" x14ac:dyDescent="0.3"/>
  <cols>
    <col min="1" max="1" width="15" style="57" customWidth="1"/>
    <col min="2" max="2" width="58.5546875" style="57" customWidth="1"/>
    <col min="3" max="3" width="10.21875" style="57" customWidth="1"/>
    <col min="4" max="4" width="9" style="57" customWidth="1"/>
    <col min="5" max="5" width="10.44140625" style="57" customWidth="1"/>
    <col min="6" max="7" width="12.5546875" style="57" customWidth="1"/>
    <col min="8" max="8" width="11.5546875" style="57" customWidth="1"/>
    <col min="9" max="9" width="9.44140625" style="57" customWidth="1"/>
    <col min="10" max="10" width="10.44140625" style="57" bestFit="1" customWidth="1"/>
    <col min="11" max="11" width="14.44140625" style="57"/>
    <col min="12" max="12" width="12.21875" style="57" customWidth="1"/>
    <col min="13" max="13" width="15" style="57" bestFit="1" customWidth="1"/>
    <col min="14" max="14" width="17.77734375" style="57" bestFit="1" customWidth="1"/>
    <col min="15" max="15" width="18" style="57" customWidth="1"/>
    <col min="16" max="16" width="15.21875" style="57" customWidth="1"/>
    <col min="17" max="17" width="18.44140625" style="57" customWidth="1"/>
    <col min="18" max="18" width="18" style="57" customWidth="1"/>
    <col min="19" max="19" width="18.44140625" style="57" customWidth="1"/>
    <col min="20" max="40" width="8.5546875" style="57" customWidth="1"/>
    <col min="41" max="16384" width="14.44140625" style="57"/>
  </cols>
  <sheetData>
    <row r="1" spans="1:38" ht="14.25" customHeight="1" x14ac:dyDescent="0.3">
      <c r="A1" s="247" t="s">
        <v>28</v>
      </c>
      <c r="B1" s="248"/>
      <c r="C1" s="248"/>
      <c r="D1" s="248"/>
      <c r="E1" s="248"/>
      <c r="F1" s="248"/>
      <c r="G1" s="248"/>
      <c r="H1" s="248"/>
      <c r="I1" s="248"/>
      <c r="J1" s="248"/>
      <c r="K1" s="248"/>
      <c r="L1" s="248"/>
      <c r="M1" s="248"/>
      <c r="N1" s="248"/>
      <c r="O1" s="248"/>
      <c r="P1" s="248"/>
      <c r="Q1" s="248"/>
      <c r="R1" s="249"/>
      <c r="T1" s="253" t="s">
        <v>29</v>
      </c>
      <c r="U1" s="254"/>
      <c r="V1" s="254"/>
      <c r="W1" s="254"/>
      <c r="X1" s="254"/>
      <c r="Y1" s="254"/>
      <c r="Z1" s="254"/>
      <c r="AA1" s="254"/>
      <c r="AB1" s="254"/>
      <c r="AC1" s="254"/>
      <c r="AE1" s="253" t="s">
        <v>30</v>
      </c>
      <c r="AF1" s="254"/>
      <c r="AG1" s="254"/>
      <c r="AH1" s="254"/>
      <c r="AI1" s="254"/>
      <c r="AJ1" s="254"/>
      <c r="AK1" s="254"/>
      <c r="AL1" s="254"/>
    </row>
    <row r="2" spans="1:38" ht="14.25" customHeight="1" x14ac:dyDescent="0.3">
      <c r="A2" s="250"/>
      <c r="B2" s="251"/>
      <c r="C2" s="251"/>
      <c r="D2" s="251"/>
      <c r="E2" s="251"/>
      <c r="F2" s="251"/>
      <c r="G2" s="251"/>
      <c r="H2" s="251"/>
      <c r="I2" s="251"/>
      <c r="J2" s="251"/>
      <c r="K2" s="251"/>
      <c r="L2" s="251"/>
      <c r="M2" s="251"/>
      <c r="N2" s="251"/>
      <c r="O2" s="251"/>
      <c r="P2" s="251"/>
      <c r="Q2" s="251"/>
      <c r="R2" s="252"/>
      <c r="T2" s="254"/>
      <c r="U2" s="254"/>
      <c r="V2" s="254"/>
      <c r="W2" s="254"/>
      <c r="X2" s="254"/>
      <c r="Y2" s="254"/>
      <c r="Z2" s="254"/>
      <c r="AA2" s="254"/>
      <c r="AB2" s="254"/>
      <c r="AC2" s="254"/>
      <c r="AE2" s="254"/>
      <c r="AF2" s="254"/>
      <c r="AG2" s="254"/>
      <c r="AH2" s="254"/>
      <c r="AI2" s="254"/>
      <c r="AJ2" s="254"/>
      <c r="AK2" s="254"/>
      <c r="AL2" s="254"/>
    </row>
    <row r="3" spans="1:38" ht="14.25" customHeight="1" x14ac:dyDescent="0.3"/>
    <row r="4" spans="1:38" ht="14.25" customHeight="1" x14ac:dyDescent="0.3"/>
    <row r="5" spans="1:38" ht="14.25" customHeight="1" x14ac:dyDescent="0.3">
      <c r="A5" s="255" t="s">
        <v>31</v>
      </c>
      <c r="B5" s="246"/>
    </row>
    <row r="6" spans="1:38" ht="14.25" customHeight="1" x14ac:dyDescent="0.3">
      <c r="A6" s="76" t="s">
        <v>15</v>
      </c>
      <c r="B6" s="76" t="s">
        <v>32</v>
      </c>
      <c r="C6" s="77" t="s">
        <v>33</v>
      </c>
      <c r="D6" s="81" t="s">
        <v>34</v>
      </c>
      <c r="E6" s="81" t="s">
        <v>35</v>
      </c>
      <c r="F6" s="81" t="s">
        <v>36</v>
      </c>
      <c r="G6" s="81" t="s">
        <v>37</v>
      </c>
      <c r="H6" s="81" t="s">
        <v>38</v>
      </c>
      <c r="I6" s="81" t="s">
        <v>39</v>
      </c>
      <c r="J6" s="81" t="s">
        <v>40</v>
      </c>
      <c r="K6" s="81" t="s">
        <v>41</v>
      </c>
      <c r="L6" s="81" t="s">
        <v>42</v>
      </c>
      <c r="M6" s="81" t="s">
        <v>43</v>
      </c>
      <c r="N6" s="81" t="s">
        <v>44</v>
      </c>
      <c r="O6" s="81" t="s">
        <v>45</v>
      </c>
      <c r="P6" s="81" t="s">
        <v>46</v>
      </c>
      <c r="Q6" s="81" t="s">
        <v>47</v>
      </c>
    </row>
    <row r="7" spans="1:38" ht="14.25" customHeight="1" x14ac:dyDescent="0.3">
      <c r="A7" s="115">
        <v>4</v>
      </c>
      <c r="B7" s="116" t="s">
        <v>133</v>
      </c>
      <c r="C7" s="117">
        <v>20</v>
      </c>
      <c r="D7" s="118">
        <v>5</v>
      </c>
      <c r="E7" s="119">
        <v>38</v>
      </c>
      <c r="F7" s="78">
        <v>200000</v>
      </c>
      <c r="G7" s="78">
        <f t="shared" ref="G7:G33" si="0">F7/3.14/C7</f>
        <v>3184.7133757961783</v>
      </c>
      <c r="H7" s="78">
        <v>250</v>
      </c>
      <c r="I7" s="78">
        <v>20</v>
      </c>
      <c r="J7" s="78">
        <f>IF(I7=C7,C7/2,SQRT(I7*(C7-I7)))</f>
        <v>10</v>
      </c>
      <c r="K7" s="78">
        <f>((E7+J7)/H7)</f>
        <v>0.192</v>
      </c>
      <c r="L7" s="78">
        <f>K7*60</f>
        <v>11.52</v>
      </c>
      <c r="M7" s="78">
        <f>I7*D7*H7</f>
        <v>25000</v>
      </c>
      <c r="N7" s="78">
        <f>R39</f>
        <v>30363.799999999996</v>
      </c>
      <c r="O7" s="78">
        <f>E7/H7*M7</f>
        <v>3800</v>
      </c>
      <c r="P7" s="78">
        <f>(O7/N7)*100</f>
        <v>12.514902614297291</v>
      </c>
      <c r="Q7" s="78">
        <f>N7-O7</f>
        <v>26563.799999999996</v>
      </c>
    </row>
    <row r="8" spans="1:38" ht="14.25" customHeight="1" x14ac:dyDescent="0.3">
      <c r="A8" s="115">
        <v>5</v>
      </c>
      <c r="B8" s="116" t="s">
        <v>134</v>
      </c>
      <c r="C8" s="117">
        <v>20</v>
      </c>
      <c r="D8" s="118">
        <v>5</v>
      </c>
      <c r="E8" s="119">
        <v>33.74</v>
      </c>
      <c r="F8" s="78">
        <v>200000</v>
      </c>
      <c r="G8" s="78">
        <f t="shared" si="0"/>
        <v>3184.7133757961783</v>
      </c>
      <c r="H8" s="78">
        <v>250</v>
      </c>
      <c r="I8" s="78">
        <v>20</v>
      </c>
      <c r="J8" s="78">
        <f t="shared" ref="J8:J33" si="1">IF(I8=C8,C8/2,SQRT(I8*(C8-I8)))</f>
        <v>10</v>
      </c>
      <c r="K8" s="78">
        <f t="shared" ref="K8:K33" si="2">((E8+J8)/H8)</f>
        <v>0.17496</v>
      </c>
      <c r="L8" s="78">
        <f t="shared" ref="L8:L33" si="3">K8*60</f>
        <v>10.4976</v>
      </c>
      <c r="M8" s="78">
        <f t="shared" ref="M8:M33" si="4">I8*D8*H8</f>
        <v>25000</v>
      </c>
      <c r="N8" s="78">
        <f>Q7</f>
        <v>26563.799999999996</v>
      </c>
      <c r="O8" s="78">
        <f t="shared" ref="O8:O33" si="5">E8/H8*M8</f>
        <v>3374</v>
      </c>
      <c r="P8" s="78">
        <f t="shared" ref="P8:P33" si="6">(O8/N8)*100</f>
        <v>12.701496020900628</v>
      </c>
      <c r="Q8" s="78">
        <f t="shared" ref="Q8:Q33" si="7">N8-O8</f>
        <v>23189.799999999996</v>
      </c>
    </row>
    <row r="9" spans="1:38" ht="14.25" customHeight="1" x14ac:dyDescent="0.3">
      <c r="A9" s="115">
        <v>6</v>
      </c>
      <c r="B9" s="116" t="s">
        <v>136</v>
      </c>
      <c r="C9" s="117">
        <v>20</v>
      </c>
      <c r="D9" s="118">
        <v>5</v>
      </c>
      <c r="E9" s="119">
        <v>29.41</v>
      </c>
      <c r="F9" s="78">
        <v>200000</v>
      </c>
      <c r="G9" s="78">
        <f t="shared" si="0"/>
        <v>3184.7133757961783</v>
      </c>
      <c r="H9" s="78">
        <v>250</v>
      </c>
      <c r="I9" s="78">
        <v>20</v>
      </c>
      <c r="J9" s="78">
        <f t="shared" si="1"/>
        <v>10</v>
      </c>
      <c r="K9" s="78">
        <f t="shared" si="2"/>
        <v>0.15763999999999997</v>
      </c>
      <c r="L9" s="78">
        <f t="shared" si="3"/>
        <v>9.4583999999999993</v>
      </c>
      <c r="M9" s="78">
        <f t="shared" si="4"/>
        <v>25000</v>
      </c>
      <c r="N9" s="78">
        <f t="shared" ref="N9:N33" si="8">Q8</f>
        <v>23189.799999999996</v>
      </c>
      <c r="O9" s="78">
        <f t="shared" si="5"/>
        <v>2941</v>
      </c>
      <c r="P9" s="78">
        <f t="shared" si="6"/>
        <v>12.682299976713901</v>
      </c>
      <c r="Q9" s="78">
        <f t="shared" si="7"/>
        <v>20248.799999999996</v>
      </c>
    </row>
    <row r="10" spans="1:38" ht="14.25" customHeight="1" x14ac:dyDescent="0.3">
      <c r="A10" s="115">
        <v>7</v>
      </c>
      <c r="B10" s="116" t="s">
        <v>137</v>
      </c>
      <c r="C10" s="117">
        <v>20</v>
      </c>
      <c r="D10" s="118">
        <v>5</v>
      </c>
      <c r="E10" s="119">
        <v>25.09</v>
      </c>
      <c r="F10" s="78">
        <v>200000</v>
      </c>
      <c r="G10" s="78">
        <f t="shared" si="0"/>
        <v>3184.7133757961783</v>
      </c>
      <c r="H10" s="78">
        <v>250</v>
      </c>
      <c r="I10" s="78">
        <v>20</v>
      </c>
      <c r="J10" s="78">
        <f t="shared" si="1"/>
        <v>10</v>
      </c>
      <c r="K10" s="78">
        <f t="shared" si="2"/>
        <v>0.14036000000000001</v>
      </c>
      <c r="L10" s="78">
        <f t="shared" si="3"/>
        <v>8.4216000000000015</v>
      </c>
      <c r="M10" s="78">
        <f t="shared" si="4"/>
        <v>25000</v>
      </c>
      <c r="N10" s="78">
        <f t="shared" si="8"/>
        <v>20248.799999999996</v>
      </c>
      <c r="O10" s="78">
        <f t="shared" si="5"/>
        <v>2509</v>
      </c>
      <c r="P10" s="78">
        <f t="shared" si="6"/>
        <v>12.390857729840784</v>
      </c>
      <c r="Q10" s="78">
        <f t="shared" si="7"/>
        <v>17739.799999999996</v>
      </c>
    </row>
    <row r="11" spans="1:38" ht="14.25" customHeight="1" x14ac:dyDescent="0.3">
      <c r="A11" s="115">
        <v>8</v>
      </c>
      <c r="B11" s="116" t="s">
        <v>138</v>
      </c>
      <c r="C11" s="117">
        <v>20</v>
      </c>
      <c r="D11" s="118">
        <v>3.5</v>
      </c>
      <c r="E11" s="119">
        <v>20.76</v>
      </c>
      <c r="F11" s="78">
        <v>200000</v>
      </c>
      <c r="G11" s="78">
        <f t="shared" si="0"/>
        <v>3184.7133757961783</v>
      </c>
      <c r="H11" s="78">
        <v>250</v>
      </c>
      <c r="I11" s="78">
        <v>20</v>
      </c>
      <c r="J11" s="78">
        <f t="shared" si="1"/>
        <v>10</v>
      </c>
      <c r="K11" s="78">
        <f t="shared" si="2"/>
        <v>0.12304000000000001</v>
      </c>
      <c r="L11" s="78">
        <f t="shared" si="3"/>
        <v>7.3824000000000005</v>
      </c>
      <c r="M11" s="78">
        <f t="shared" si="4"/>
        <v>17500</v>
      </c>
      <c r="N11" s="78">
        <f t="shared" si="8"/>
        <v>17739.799999999996</v>
      </c>
      <c r="O11" s="78">
        <f t="shared" si="5"/>
        <v>1453.2</v>
      </c>
      <c r="P11" s="78">
        <f t="shared" si="6"/>
        <v>8.1917496251366995</v>
      </c>
      <c r="Q11" s="78">
        <f t="shared" si="7"/>
        <v>16286.599999999995</v>
      </c>
    </row>
    <row r="12" spans="1:38" ht="14.25" customHeight="1" x14ac:dyDescent="0.3">
      <c r="A12" s="115">
        <v>9</v>
      </c>
      <c r="B12" s="116" t="s">
        <v>139</v>
      </c>
      <c r="C12" s="117">
        <v>20</v>
      </c>
      <c r="D12" s="118">
        <v>0.5</v>
      </c>
      <c r="E12" s="119">
        <v>17.73</v>
      </c>
      <c r="F12" s="78">
        <v>250000</v>
      </c>
      <c r="G12" s="78">
        <f t="shared" si="0"/>
        <v>3980.8917197452224</v>
      </c>
      <c r="H12" s="78">
        <v>110</v>
      </c>
      <c r="I12" s="78">
        <v>20</v>
      </c>
      <c r="J12" s="78">
        <f t="shared" si="1"/>
        <v>10</v>
      </c>
      <c r="K12" s="78">
        <f t="shared" si="2"/>
        <v>0.25209090909090909</v>
      </c>
      <c r="L12" s="78">
        <f t="shared" si="3"/>
        <v>15.125454545454545</v>
      </c>
      <c r="M12" s="78">
        <f t="shared" si="4"/>
        <v>1100</v>
      </c>
      <c r="N12" s="78">
        <f t="shared" si="8"/>
        <v>16286.599999999995</v>
      </c>
      <c r="O12" s="78">
        <f t="shared" si="5"/>
        <v>177.29999999999998</v>
      </c>
      <c r="P12" s="78">
        <f t="shared" si="6"/>
        <v>1.088625004605013</v>
      </c>
      <c r="Q12" s="78">
        <f t="shared" si="7"/>
        <v>16109.299999999996</v>
      </c>
    </row>
    <row r="13" spans="1:38" ht="14.25" customHeight="1" x14ac:dyDescent="0.3">
      <c r="A13" s="115">
        <v>10</v>
      </c>
      <c r="B13" s="116" t="s">
        <v>140</v>
      </c>
      <c r="C13" s="117">
        <v>20</v>
      </c>
      <c r="D13" s="118">
        <v>5</v>
      </c>
      <c r="E13" s="119">
        <v>38</v>
      </c>
      <c r="F13" s="78">
        <v>200000</v>
      </c>
      <c r="G13" s="78">
        <f t="shared" si="0"/>
        <v>3184.7133757961783</v>
      </c>
      <c r="H13" s="78">
        <v>250</v>
      </c>
      <c r="I13" s="78">
        <v>20</v>
      </c>
      <c r="J13" s="78">
        <f t="shared" si="1"/>
        <v>10</v>
      </c>
      <c r="K13" s="78">
        <f t="shared" si="2"/>
        <v>0.192</v>
      </c>
      <c r="L13" s="78">
        <f t="shared" si="3"/>
        <v>11.52</v>
      </c>
      <c r="M13" s="78">
        <f t="shared" si="4"/>
        <v>25000</v>
      </c>
      <c r="N13" s="78">
        <f t="shared" si="8"/>
        <v>16109.299999999996</v>
      </c>
      <c r="O13" s="78">
        <f t="shared" si="5"/>
        <v>3800</v>
      </c>
      <c r="P13" s="78">
        <f t="shared" si="6"/>
        <v>23.588858609623021</v>
      </c>
      <c r="Q13" s="78">
        <f t="shared" si="7"/>
        <v>12309.299999999996</v>
      </c>
    </row>
    <row r="14" spans="1:38" ht="14.25" customHeight="1" x14ac:dyDescent="0.3">
      <c r="A14" s="115">
        <v>11</v>
      </c>
      <c r="B14" s="116" t="s">
        <v>141</v>
      </c>
      <c r="C14" s="117">
        <v>20</v>
      </c>
      <c r="D14" s="118">
        <v>5</v>
      </c>
      <c r="E14" s="119">
        <v>33.74</v>
      </c>
      <c r="F14" s="78">
        <v>200000</v>
      </c>
      <c r="G14" s="78">
        <f t="shared" si="0"/>
        <v>3184.7133757961783</v>
      </c>
      <c r="H14" s="78">
        <v>250</v>
      </c>
      <c r="I14" s="78">
        <v>20</v>
      </c>
      <c r="J14" s="78">
        <f t="shared" si="1"/>
        <v>10</v>
      </c>
      <c r="K14" s="78">
        <f t="shared" si="2"/>
        <v>0.17496</v>
      </c>
      <c r="L14" s="78">
        <f t="shared" si="3"/>
        <v>10.4976</v>
      </c>
      <c r="M14" s="78">
        <f t="shared" si="4"/>
        <v>25000</v>
      </c>
      <c r="N14" s="78">
        <f t="shared" si="8"/>
        <v>12309.299999999996</v>
      </c>
      <c r="O14" s="78">
        <f t="shared" si="5"/>
        <v>3374</v>
      </c>
      <c r="P14" s="78">
        <f t="shared" si="6"/>
        <v>27.410169546602987</v>
      </c>
      <c r="Q14" s="78">
        <f t="shared" si="7"/>
        <v>8935.2999999999956</v>
      </c>
    </row>
    <row r="15" spans="1:38" ht="14.25" customHeight="1" x14ac:dyDescent="0.3">
      <c r="A15" s="115">
        <v>12</v>
      </c>
      <c r="B15" s="116" t="s">
        <v>142</v>
      </c>
      <c r="C15" s="117">
        <v>20</v>
      </c>
      <c r="D15" s="118">
        <v>5</v>
      </c>
      <c r="E15" s="119">
        <v>29.41</v>
      </c>
      <c r="F15" s="78">
        <v>200000</v>
      </c>
      <c r="G15" s="78">
        <f t="shared" si="0"/>
        <v>3184.7133757961783</v>
      </c>
      <c r="H15" s="78">
        <v>250</v>
      </c>
      <c r="I15" s="78">
        <v>20</v>
      </c>
      <c r="J15" s="78">
        <f t="shared" si="1"/>
        <v>10</v>
      </c>
      <c r="K15" s="78">
        <f t="shared" si="2"/>
        <v>0.15763999999999997</v>
      </c>
      <c r="L15" s="78">
        <f t="shared" si="3"/>
        <v>9.4583999999999993</v>
      </c>
      <c r="M15" s="78">
        <f t="shared" si="4"/>
        <v>25000</v>
      </c>
      <c r="N15" s="78">
        <f t="shared" si="8"/>
        <v>8935.2999999999956</v>
      </c>
      <c r="O15" s="78">
        <f t="shared" si="5"/>
        <v>2941</v>
      </c>
      <c r="P15" s="78">
        <f t="shared" si="6"/>
        <v>32.914395711391911</v>
      </c>
      <c r="Q15" s="78">
        <f t="shared" si="7"/>
        <v>5994.2999999999956</v>
      </c>
    </row>
    <row r="16" spans="1:38" ht="14.25" customHeight="1" x14ac:dyDescent="0.3">
      <c r="A16" s="115">
        <v>13</v>
      </c>
      <c r="B16" s="116" t="s">
        <v>143</v>
      </c>
      <c r="C16" s="117">
        <v>20</v>
      </c>
      <c r="D16" s="118">
        <v>5</v>
      </c>
      <c r="E16" s="119">
        <v>25.09</v>
      </c>
      <c r="F16" s="78">
        <v>200000</v>
      </c>
      <c r="G16" s="78">
        <f t="shared" si="0"/>
        <v>3184.7133757961783</v>
      </c>
      <c r="H16" s="78">
        <v>250</v>
      </c>
      <c r="I16" s="78">
        <v>20</v>
      </c>
      <c r="J16" s="78">
        <f t="shared" si="1"/>
        <v>10</v>
      </c>
      <c r="K16" s="78">
        <f t="shared" si="2"/>
        <v>0.14036000000000001</v>
      </c>
      <c r="L16" s="78">
        <f t="shared" si="3"/>
        <v>8.4216000000000015</v>
      </c>
      <c r="M16" s="78">
        <f t="shared" si="4"/>
        <v>25000</v>
      </c>
      <c r="N16" s="78">
        <f t="shared" si="8"/>
        <v>5994.2999999999956</v>
      </c>
      <c r="O16" s="78">
        <f t="shared" si="5"/>
        <v>2509</v>
      </c>
      <c r="P16" s="78">
        <f t="shared" si="6"/>
        <v>41.856430275428352</v>
      </c>
      <c r="Q16" s="78">
        <f t="shared" si="7"/>
        <v>3485.2999999999956</v>
      </c>
    </row>
    <row r="17" spans="1:17" ht="14.25" customHeight="1" x14ac:dyDescent="0.3">
      <c r="A17" s="115">
        <v>14</v>
      </c>
      <c r="B17" s="116" t="s">
        <v>144</v>
      </c>
      <c r="C17" s="117">
        <v>20</v>
      </c>
      <c r="D17" s="118">
        <v>3.5</v>
      </c>
      <c r="E17" s="119">
        <v>20.76</v>
      </c>
      <c r="F17" s="78">
        <v>200000</v>
      </c>
      <c r="G17" s="78">
        <f t="shared" si="0"/>
        <v>3184.7133757961783</v>
      </c>
      <c r="H17" s="78">
        <v>250</v>
      </c>
      <c r="I17" s="78">
        <v>20</v>
      </c>
      <c r="J17" s="78">
        <f t="shared" si="1"/>
        <v>10</v>
      </c>
      <c r="K17" s="78">
        <f t="shared" si="2"/>
        <v>0.12304000000000001</v>
      </c>
      <c r="L17" s="78">
        <f t="shared" si="3"/>
        <v>7.3824000000000005</v>
      </c>
      <c r="M17" s="78">
        <f t="shared" si="4"/>
        <v>17500</v>
      </c>
      <c r="N17" s="78">
        <f t="shared" si="8"/>
        <v>3485.2999999999956</v>
      </c>
      <c r="O17" s="78">
        <f t="shared" si="5"/>
        <v>1453.2</v>
      </c>
      <c r="P17" s="78">
        <f t="shared" si="6"/>
        <v>41.695119501908067</v>
      </c>
      <c r="Q17" s="78">
        <f t="shared" si="7"/>
        <v>2032.0999999999956</v>
      </c>
    </row>
    <row r="18" spans="1:17" ht="14.25" customHeight="1" x14ac:dyDescent="0.3">
      <c r="A18" s="115">
        <v>15</v>
      </c>
      <c r="B18" s="116" t="s">
        <v>145</v>
      </c>
      <c r="C18" s="117">
        <v>20</v>
      </c>
      <c r="D18" s="118">
        <v>0.5</v>
      </c>
      <c r="E18" s="119">
        <v>17.73</v>
      </c>
      <c r="F18" s="78">
        <v>250000</v>
      </c>
      <c r="G18" s="78">
        <f t="shared" si="0"/>
        <v>3980.8917197452224</v>
      </c>
      <c r="H18" s="78">
        <v>110</v>
      </c>
      <c r="I18" s="78">
        <v>20</v>
      </c>
      <c r="J18" s="78">
        <f t="shared" si="1"/>
        <v>10</v>
      </c>
      <c r="K18" s="78">
        <f t="shared" si="2"/>
        <v>0.25209090909090909</v>
      </c>
      <c r="L18" s="78">
        <f>K18*60</f>
        <v>15.125454545454545</v>
      </c>
      <c r="M18" s="78">
        <f t="shared" si="4"/>
        <v>1100</v>
      </c>
      <c r="N18" s="78">
        <f t="shared" si="8"/>
        <v>2032.0999999999956</v>
      </c>
      <c r="O18" s="78">
        <f t="shared" si="5"/>
        <v>177.29999999999998</v>
      </c>
      <c r="P18" s="78">
        <f t="shared" si="6"/>
        <v>8.7249643226219362</v>
      </c>
      <c r="Q18" s="78">
        <f t="shared" si="7"/>
        <v>1854.7999999999956</v>
      </c>
    </row>
    <row r="19" spans="1:17" ht="14.25" customHeight="1" x14ac:dyDescent="0.3">
      <c r="A19" s="115">
        <v>16</v>
      </c>
      <c r="B19" s="116" t="s">
        <v>146</v>
      </c>
      <c r="C19" s="117">
        <v>20</v>
      </c>
      <c r="D19" s="118">
        <v>5</v>
      </c>
      <c r="E19" s="119">
        <v>8</v>
      </c>
      <c r="F19" s="78">
        <v>200000</v>
      </c>
      <c r="G19" s="78">
        <f t="shared" si="0"/>
        <v>3184.7133757961783</v>
      </c>
      <c r="H19" s="78">
        <v>250</v>
      </c>
      <c r="I19" s="78">
        <v>20</v>
      </c>
      <c r="J19" s="78">
        <f t="shared" si="1"/>
        <v>10</v>
      </c>
      <c r="K19" s="78">
        <f t="shared" si="2"/>
        <v>7.1999999999999995E-2</v>
      </c>
      <c r="L19" s="78">
        <f t="shared" si="3"/>
        <v>4.3199999999999994</v>
      </c>
      <c r="M19" s="78">
        <f t="shared" si="4"/>
        <v>25000</v>
      </c>
      <c r="N19" s="78">
        <f t="shared" si="8"/>
        <v>1854.7999999999956</v>
      </c>
      <c r="O19" s="78">
        <f t="shared" si="5"/>
        <v>800</v>
      </c>
      <c r="P19" s="78">
        <f t="shared" si="6"/>
        <v>43.131334914815717</v>
      </c>
      <c r="Q19" s="78">
        <f t="shared" si="7"/>
        <v>1054.7999999999956</v>
      </c>
    </row>
    <row r="20" spans="1:17" ht="14.25" customHeight="1" x14ac:dyDescent="0.3">
      <c r="A20" s="115">
        <v>17</v>
      </c>
      <c r="B20" s="116" t="s">
        <v>147</v>
      </c>
      <c r="C20" s="117">
        <v>20</v>
      </c>
      <c r="D20" s="118">
        <v>4.5</v>
      </c>
      <c r="E20" s="119">
        <v>8</v>
      </c>
      <c r="F20" s="78">
        <v>200000</v>
      </c>
      <c r="G20" s="78">
        <f t="shared" si="0"/>
        <v>3184.7133757961783</v>
      </c>
      <c r="H20" s="78">
        <v>250</v>
      </c>
      <c r="I20" s="78">
        <v>20</v>
      </c>
      <c r="J20" s="78">
        <f t="shared" si="1"/>
        <v>10</v>
      </c>
      <c r="K20" s="78">
        <f t="shared" si="2"/>
        <v>7.1999999999999995E-2</v>
      </c>
      <c r="L20" s="78">
        <f t="shared" si="3"/>
        <v>4.3199999999999994</v>
      </c>
      <c r="M20" s="78">
        <f t="shared" si="4"/>
        <v>22500</v>
      </c>
      <c r="N20" s="78">
        <f t="shared" si="8"/>
        <v>1054.7999999999956</v>
      </c>
      <c r="O20" s="78">
        <f t="shared" si="5"/>
        <v>720</v>
      </c>
      <c r="P20" s="78">
        <f t="shared" si="6"/>
        <v>68.259385665529294</v>
      </c>
      <c r="Q20" s="78">
        <f t="shared" si="7"/>
        <v>334.79999999999563</v>
      </c>
    </row>
    <row r="21" spans="1:17" ht="14.25" customHeight="1" x14ac:dyDescent="0.3">
      <c r="A21" s="115">
        <v>18</v>
      </c>
      <c r="B21" s="116" t="s">
        <v>148</v>
      </c>
      <c r="C21" s="117">
        <v>20</v>
      </c>
      <c r="D21" s="118">
        <v>0.5</v>
      </c>
      <c r="E21" s="119">
        <v>8</v>
      </c>
      <c r="F21" s="78">
        <v>250000</v>
      </c>
      <c r="G21" s="78">
        <f t="shared" si="0"/>
        <v>3980.8917197452224</v>
      </c>
      <c r="H21" s="78">
        <v>110</v>
      </c>
      <c r="I21" s="78">
        <v>20</v>
      </c>
      <c r="J21" s="78">
        <f t="shared" si="1"/>
        <v>10</v>
      </c>
      <c r="K21" s="78">
        <f t="shared" si="2"/>
        <v>0.16363636363636364</v>
      </c>
      <c r="L21" s="78">
        <f t="shared" si="3"/>
        <v>9.8181818181818183</v>
      </c>
      <c r="M21" s="78">
        <f t="shared" si="4"/>
        <v>1100</v>
      </c>
      <c r="N21" s="78">
        <f t="shared" si="8"/>
        <v>334.79999999999563</v>
      </c>
      <c r="O21" s="78">
        <f t="shared" si="5"/>
        <v>80</v>
      </c>
      <c r="P21" s="78">
        <f t="shared" si="6"/>
        <v>23.894862604540336</v>
      </c>
      <c r="Q21" s="78">
        <f t="shared" si="7"/>
        <v>254.79999999999563</v>
      </c>
    </row>
    <row r="22" spans="1:17" ht="14.25" customHeight="1" x14ac:dyDescent="0.3">
      <c r="A22" s="115">
        <v>19</v>
      </c>
      <c r="B22" s="116" t="s">
        <v>149</v>
      </c>
      <c r="C22" s="117">
        <v>20</v>
      </c>
      <c r="D22" s="118">
        <v>5</v>
      </c>
      <c r="E22" s="119">
        <v>15.02</v>
      </c>
      <c r="F22" s="78">
        <v>200000</v>
      </c>
      <c r="G22" s="78">
        <f t="shared" si="0"/>
        <v>3184.7133757961783</v>
      </c>
      <c r="H22" s="78">
        <v>250</v>
      </c>
      <c r="I22" s="78">
        <v>20</v>
      </c>
      <c r="J22" s="78">
        <f t="shared" si="1"/>
        <v>10</v>
      </c>
      <c r="K22" s="78">
        <f t="shared" si="2"/>
        <v>0.10008</v>
      </c>
      <c r="L22" s="78">
        <f t="shared" si="3"/>
        <v>6.0048000000000004</v>
      </c>
      <c r="M22" s="78">
        <f t="shared" si="4"/>
        <v>25000</v>
      </c>
      <c r="N22" s="78">
        <f t="shared" si="8"/>
        <v>254.79999999999563</v>
      </c>
      <c r="O22" s="78">
        <f t="shared" si="5"/>
        <v>1502</v>
      </c>
      <c r="P22" s="78">
        <f t="shared" si="6"/>
        <v>589.48194662481387</v>
      </c>
      <c r="Q22" s="78">
        <f t="shared" si="7"/>
        <v>-1247.2000000000044</v>
      </c>
    </row>
    <row r="23" spans="1:17" ht="14.25" customHeight="1" x14ac:dyDescent="0.3">
      <c r="A23" s="115">
        <v>20</v>
      </c>
      <c r="B23" s="116" t="s">
        <v>150</v>
      </c>
      <c r="C23" s="117">
        <v>20</v>
      </c>
      <c r="D23" s="118">
        <v>5</v>
      </c>
      <c r="E23" s="119">
        <v>13.32</v>
      </c>
      <c r="F23" s="78">
        <v>200000</v>
      </c>
      <c r="G23" s="78">
        <f t="shared" si="0"/>
        <v>3184.7133757961783</v>
      </c>
      <c r="H23" s="78">
        <v>250</v>
      </c>
      <c r="I23" s="78">
        <v>20</v>
      </c>
      <c r="J23" s="78">
        <f t="shared" si="1"/>
        <v>10</v>
      </c>
      <c r="K23" s="78">
        <f t="shared" si="2"/>
        <v>9.3280000000000002E-2</v>
      </c>
      <c r="L23" s="78">
        <f t="shared" si="3"/>
        <v>5.5968</v>
      </c>
      <c r="M23" s="78">
        <f t="shared" si="4"/>
        <v>25000</v>
      </c>
      <c r="N23" s="78">
        <f t="shared" si="8"/>
        <v>-1247.2000000000044</v>
      </c>
      <c r="O23" s="78">
        <f t="shared" si="5"/>
        <v>1332</v>
      </c>
      <c r="P23" s="78">
        <f t="shared" si="6"/>
        <v>-106.79923027581746</v>
      </c>
      <c r="Q23" s="78">
        <f t="shared" si="7"/>
        <v>-2579.2000000000044</v>
      </c>
    </row>
    <row r="24" spans="1:17" ht="14.25" customHeight="1" x14ac:dyDescent="0.3">
      <c r="A24" s="115">
        <v>21</v>
      </c>
      <c r="B24" s="116" t="s">
        <v>151</v>
      </c>
      <c r="C24" s="117">
        <v>20</v>
      </c>
      <c r="D24" s="118">
        <v>5</v>
      </c>
      <c r="E24" s="119">
        <v>11.61</v>
      </c>
      <c r="F24" s="78">
        <v>200000</v>
      </c>
      <c r="G24" s="78">
        <f t="shared" si="0"/>
        <v>3184.7133757961783</v>
      </c>
      <c r="H24" s="78">
        <v>250</v>
      </c>
      <c r="I24" s="78">
        <v>20</v>
      </c>
      <c r="J24" s="78">
        <f t="shared" si="1"/>
        <v>10</v>
      </c>
      <c r="K24" s="78">
        <f t="shared" si="2"/>
        <v>8.6440000000000003E-2</v>
      </c>
      <c r="L24" s="78">
        <f t="shared" si="3"/>
        <v>5.1863999999999999</v>
      </c>
      <c r="M24" s="78">
        <f t="shared" si="4"/>
        <v>25000</v>
      </c>
      <c r="N24" s="78">
        <f t="shared" si="8"/>
        <v>-2579.2000000000044</v>
      </c>
      <c r="O24" s="78">
        <f t="shared" si="5"/>
        <v>1160.9999999999998</v>
      </c>
      <c r="P24" s="78">
        <f t="shared" si="6"/>
        <v>-45.013957816377086</v>
      </c>
      <c r="Q24" s="78">
        <f t="shared" si="7"/>
        <v>-3740.2000000000044</v>
      </c>
    </row>
    <row r="25" spans="1:17" ht="14.25" customHeight="1" x14ac:dyDescent="0.3">
      <c r="A25" s="115">
        <v>22</v>
      </c>
      <c r="B25" s="116" t="s">
        <v>152</v>
      </c>
      <c r="C25" s="117">
        <v>20</v>
      </c>
      <c r="D25" s="118">
        <v>5</v>
      </c>
      <c r="E25" s="119">
        <v>9.9</v>
      </c>
      <c r="F25" s="78">
        <v>200000</v>
      </c>
      <c r="G25" s="78">
        <f t="shared" si="0"/>
        <v>3184.7133757961783</v>
      </c>
      <c r="H25" s="78">
        <v>250</v>
      </c>
      <c r="I25" s="78">
        <v>20</v>
      </c>
      <c r="J25" s="78">
        <f t="shared" si="1"/>
        <v>10</v>
      </c>
      <c r="K25" s="78">
        <f t="shared" si="2"/>
        <v>7.959999999999999E-2</v>
      </c>
      <c r="L25" s="78">
        <f t="shared" si="3"/>
        <v>4.7759999999999998</v>
      </c>
      <c r="M25" s="78">
        <f t="shared" si="4"/>
        <v>25000</v>
      </c>
      <c r="N25" s="78">
        <f t="shared" si="8"/>
        <v>-3740.2000000000044</v>
      </c>
      <c r="O25" s="78">
        <f t="shared" si="5"/>
        <v>990.00000000000011</v>
      </c>
      <c r="P25" s="78">
        <f t="shared" si="6"/>
        <v>-26.46917277150952</v>
      </c>
      <c r="Q25" s="78">
        <f t="shared" si="7"/>
        <v>-4730.2000000000044</v>
      </c>
    </row>
    <row r="26" spans="1:17" ht="14.25" customHeight="1" x14ac:dyDescent="0.3">
      <c r="A26" s="115">
        <v>23</v>
      </c>
      <c r="B26" s="116" t="s">
        <v>153</v>
      </c>
      <c r="C26" s="117">
        <v>20</v>
      </c>
      <c r="D26" s="118">
        <v>3.5</v>
      </c>
      <c r="E26" s="119">
        <v>8.1999999999999993</v>
      </c>
      <c r="F26" s="78">
        <v>200000</v>
      </c>
      <c r="G26" s="78">
        <f t="shared" si="0"/>
        <v>3184.7133757961783</v>
      </c>
      <c r="H26" s="78">
        <v>250</v>
      </c>
      <c r="I26" s="78">
        <v>20</v>
      </c>
      <c r="J26" s="78">
        <f t="shared" si="1"/>
        <v>10</v>
      </c>
      <c r="K26" s="78">
        <f t="shared" si="2"/>
        <v>7.2800000000000004E-2</v>
      </c>
      <c r="L26" s="78">
        <f t="shared" si="3"/>
        <v>4.3680000000000003</v>
      </c>
      <c r="M26" s="78">
        <f t="shared" si="4"/>
        <v>17500</v>
      </c>
      <c r="N26" s="78">
        <f t="shared" si="8"/>
        <v>-4730.2000000000044</v>
      </c>
      <c r="O26" s="78">
        <f t="shared" si="5"/>
        <v>573.99999999999989</v>
      </c>
      <c r="P26" s="78">
        <f t="shared" si="6"/>
        <v>-12.134793454822193</v>
      </c>
      <c r="Q26" s="78">
        <f t="shared" si="7"/>
        <v>-5304.2000000000044</v>
      </c>
    </row>
    <row r="27" spans="1:17" ht="14.25" customHeight="1" x14ac:dyDescent="0.3">
      <c r="A27" s="115">
        <v>24</v>
      </c>
      <c r="B27" s="116" t="s">
        <v>154</v>
      </c>
      <c r="C27" s="117">
        <v>20</v>
      </c>
      <c r="D27" s="118">
        <v>0.5</v>
      </c>
      <c r="E27" s="119">
        <v>7</v>
      </c>
      <c r="F27" s="78">
        <v>250000</v>
      </c>
      <c r="G27" s="78">
        <f t="shared" si="0"/>
        <v>3980.8917197452224</v>
      </c>
      <c r="H27" s="78">
        <v>110</v>
      </c>
      <c r="I27" s="78">
        <v>20</v>
      </c>
      <c r="J27" s="78">
        <f t="shared" si="1"/>
        <v>10</v>
      </c>
      <c r="K27" s="78">
        <f t="shared" si="2"/>
        <v>0.15454545454545454</v>
      </c>
      <c r="L27" s="78">
        <f t="shared" si="3"/>
        <v>9.2727272727272734</v>
      </c>
      <c r="M27" s="78">
        <f t="shared" si="4"/>
        <v>1100</v>
      </c>
      <c r="N27" s="78">
        <f t="shared" si="8"/>
        <v>-5304.2000000000044</v>
      </c>
      <c r="O27" s="78">
        <f t="shared" si="5"/>
        <v>69.999999999999986</v>
      </c>
      <c r="P27" s="78">
        <f t="shared" si="6"/>
        <v>-1.3197089099204389</v>
      </c>
      <c r="Q27" s="78">
        <f t="shared" si="7"/>
        <v>-5374.2000000000044</v>
      </c>
    </row>
    <row r="28" spans="1:17" ht="14.25" customHeight="1" x14ac:dyDescent="0.3">
      <c r="A28" s="115">
        <v>25</v>
      </c>
      <c r="B28" s="116" t="s">
        <v>149</v>
      </c>
      <c r="C28" s="117">
        <v>20</v>
      </c>
      <c r="D28" s="118">
        <v>5</v>
      </c>
      <c r="E28" s="119">
        <v>15.02</v>
      </c>
      <c r="F28" s="78">
        <v>200000</v>
      </c>
      <c r="G28" s="78">
        <f t="shared" si="0"/>
        <v>3184.7133757961783</v>
      </c>
      <c r="H28" s="78">
        <v>250</v>
      </c>
      <c r="I28" s="78">
        <v>20</v>
      </c>
      <c r="J28" s="78">
        <f t="shared" si="1"/>
        <v>10</v>
      </c>
      <c r="K28" s="78">
        <f t="shared" si="2"/>
        <v>0.10008</v>
      </c>
      <c r="L28" s="78">
        <f t="shared" si="3"/>
        <v>6.0048000000000004</v>
      </c>
      <c r="M28" s="78">
        <f t="shared" si="4"/>
        <v>25000</v>
      </c>
      <c r="N28" s="78">
        <f t="shared" si="8"/>
        <v>-5374.2000000000044</v>
      </c>
      <c r="O28" s="78">
        <f t="shared" si="5"/>
        <v>1502</v>
      </c>
      <c r="P28" s="78">
        <f t="shared" si="6"/>
        <v>-27.948345800305141</v>
      </c>
      <c r="Q28" s="78">
        <f t="shared" si="7"/>
        <v>-6876.2000000000044</v>
      </c>
    </row>
    <row r="29" spans="1:17" ht="14.25" customHeight="1" x14ac:dyDescent="0.3">
      <c r="A29" s="115">
        <v>26</v>
      </c>
      <c r="B29" s="116" t="s">
        <v>150</v>
      </c>
      <c r="C29" s="117">
        <v>20</v>
      </c>
      <c r="D29" s="118">
        <v>5</v>
      </c>
      <c r="E29" s="119">
        <v>13.32</v>
      </c>
      <c r="F29" s="78">
        <v>200000</v>
      </c>
      <c r="G29" s="78">
        <f t="shared" si="0"/>
        <v>3184.7133757961783</v>
      </c>
      <c r="H29" s="78">
        <v>250</v>
      </c>
      <c r="I29" s="78">
        <v>20</v>
      </c>
      <c r="J29" s="78">
        <f t="shared" si="1"/>
        <v>10</v>
      </c>
      <c r="K29" s="78">
        <f t="shared" si="2"/>
        <v>9.3280000000000002E-2</v>
      </c>
      <c r="L29" s="78">
        <f t="shared" si="3"/>
        <v>5.5968</v>
      </c>
      <c r="M29" s="78">
        <f t="shared" si="4"/>
        <v>25000</v>
      </c>
      <c r="N29" s="78">
        <f t="shared" si="8"/>
        <v>-6876.2000000000044</v>
      </c>
      <c r="O29" s="78">
        <f t="shared" si="5"/>
        <v>1332</v>
      </c>
      <c r="P29" s="78">
        <f t="shared" si="6"/>
        <v>-19.3711643058666</v>
      </c>
      <c r="Q29" s="78">
        <f t="shared" si="7"/>
        <v>-8208.2000000000044</v>
      </c>
    </row>
    <row r="30" spans="1:17" ht="14.25" customHeight="1" x14ac:dyDescent="0.3">
      <c r="A30" s="115">
        <v>27</v>
      </c>
      <c r="B30" s="116" t="s">
        <v>151</v>
      </c>
      <c r="C30" s="117">
        <v>20</v>
      </c>
      <c r="D30" s="118">
        <v>5</v>
      </c>
      <c r="E30" s="119">
        <v>11.61</v>
      </c>
      <c r="F30" s="78">
        <v>200000</v>
      </c>
      <c r="G30" s="78">
        <f t="shared" si="0"/>
        <v>3184.7133757961783</v>
      </c>
      <c r="H30" s="78">
        <v>250</v>
      </c>
      <c r="I30" s="78">
        <v>20</v>
      </c>
      <c r="J30" s="78">
        <f t="shared" si="1"/>
        <v>10</v>
      </c>
      <c r="K30" s="78">
        <f t="shared" si="2"/>
        <v>8.6440000000000003E-2</v>
      </c>
      <c r="L30" s="78">
        <f t="shared" si="3"/>
        <v>5.1863999999999999</v>
      </c>
      <c r="M30" s="78">
        <f t="shared" si="4"/>
        <v>25000</v>
      </c>
      <c r="N30" s="78">
        <f t="shared" si="8"/>
        <v>-8208.2000000000044</v>
      </c>
      <c r="O30" s="78">
        <f t="shared" si="5"/>
        <v>1160.9999999999998</v>
      </c>
      <c r="P30" s="78">
        <f t="shared" si="6"/>
        <v>-14.144392193172669</v>
      </c>
      <c r="Q30" s="78">
        <f t="shared" si="7"/>
        <v>-9369.2000000000044</v>
      </c>
    </row>
    <row r="31" spans="1:17" ht="14.25" customHeight="1" x14ac:dyDescent="0.3">
      <c r="A31" s="115">
        <v>28</v>
      </c>
      <c r="B31" s="116" t="s">
        <v>152</v>
      </c>
      <c r="C31" s="117">
        <v>20</v>
      </c>
      <c r="D31" s="118">
        <v>5</v>
      </c>
      <c r="E31" s="119">
        <v>9.9</v>
      </c>
      <c r="F31" s="78">
        <v>200000</v>
      </c>
      <c r="G31" s="78">
        <f t="shared" si="0"/>
        <v>3184.7133757961783</v>
      </c>
      <c r="H31" s="78">
        <v>250</v>
      </c>
      <c r="I31" s="78">
        <v>20</v>
      </c>
      <c r="J31" s="78">
        <f t="shared" si="1"/>
        <v>10</v>
      </c>
      <c r="K31" s="78">
        <f t="shared" si="2"/>
        <v>7.959999999999999E-2</v>
      </c>
      <c r="L31" s="78">
        <f t="shared" si="3"/>
        <v>4.7759999999999998</v>
      </c>
      <c r="M31" s="78">
        <f t="shared" si="4"/>
        <v>25000</v>
      </c>
      <c r="N31" s="78">
        <f t="shared" si="8"/>
        <v>-9369.2000000000044</v>
      </c>
      <c r="O31" s="78">
        <f t="shared" si="5"/>
        <v>990.00000000000011</v>
      </c>
      <c r="P31" s="78">
        <f t="shared" si="6"/>
        <v>-10.566537164325659</v>
      </c>
      <c r="Q31" s="78">
        <f t="shared" si="7"/>
        <v>-10359.200000000004</v>
      </c>
    </row>
    <row r="32" spans="1:17" ht="14.25" customHeight="1" x14ac:dyDescent="0.3">
      <c r="A32" s="115">
        <v>29</v>
      </c>
      <c r="B32" s="116" t="s">
        <v>153</v>
      </c>
      <c r="C32" s="117">
        <v>20</v>
      </c>
      <c r="D32" s="118">
        <v>3.5</v>
      </c>
      <c r="E32" s="119">
        <v>8.1999999999999993</v>
      </c>
      <c r="F32" s="78">
        <v>200000</v>
      </c>
      <c r="G32" s="78">
        <f t="shared" si="0"/>
        <v>3184.7133757961783</v>
      </c>
      <c r="H32" s="78">
        <v>250</v>
      </c>
      <c r="I32" s="78">
        <v>20</v>
      </c>
      <c r="J32" s="78">
        <f t="shared" si="1"/>
        <v>10</v>
      </c>
      <c r="K32" s="78">
        <f t="shared" si="2"/>
        <v>7.2800000000000004E-2</v>
      </c>
      <c r="L32" s="78">
        <f t="shared" si="3"/>
        <v>4.3680000000000003</v>
      </c>
      <c r="M32" s="78">
        <f t="shared" si="4"/>
        <v>17500</v>
      </c>
      <c r="N32" s="78">
        <f t="shared" si="8"/>
        <v>-10359.200000000004</v>
      </c>
      <c r="O32" s="78">
        <f t="shared" si="5"/>
        <v>573.99999999999989</v>
      </c>
      <c r="P32" s="78">
        <f t="shared" si="6"/>
        <v>-5.5409684145493827</v>
      </c>
      <c r="Q32" s="78">
        <f t="shared" si="7"/>
        <v>-10933.200000000004</v>
      </c>
    </row>
    <row r="33" spans="1:18" ht="14.25" customHeight="1" x14ac:dyDescent="0.3">
      <c r="A33" s="115">
        <v>30</v>
      </c>
      <c r="B33" s="116" t="s">
        <v>154</v>
      </c>
      <c r="C33" s="117">
        <v>20</v>
      </c>
      <c r="D33" s="118">
        <v>0.5</v>
      </c>
      <c r="E33" s="119">
        <v>7</v>
      </c>
      <c r="F33" s="78">
        <v>250000</v>
      </c>
      <c r="G33" s="78">
        <f t="shared" si="0"/>
        <v>3980.8917197452224</v>
      </c>
      <c r="H33" s="78">
        <v>110</v>
      </c>
      <c r="I33" s="78">
        <v>20</v>
      </c>
      <c r="J33" s="78">
        <f t="shared" si="1"/>
        <v>10</v>
      </c>
      <c r="K33" s="78">
        <f t="shared" si="2"/>
        <v>0.15454545454545454</v>
      </c>
      <c r="L33" s="78">
        <f t="shared" si="3"/>
        <v>9.2727272727272734</v>
      </c>
      <c r="M33" s="78">
        <f t="shared" si="4"/>
        <v>1100</v>
      </c>
      <c r="N33" s="78">
        <f t="shared" si="8"/>
        <v>-10933.200000000004</v>
      </c>
      <c r="O33" s="78">
        <f t="shared" si="5"/>
        <v>69.999999999999986</v>
      </c>
      <c r="P33" s="78">
        <f t="shared" si="6"/>
        <v>-0.64025171038671158</v>
      </c>
      <c r="Q33" s="78">
        <f t="shared" si="7"/>
        <v>-11003.200000000004</v>
      </c>
    </row>
    <row r="34" spans="1:18" ht="14.25" customHeight="1" x14ac:dyDescent="0.3">
      <c r="B34" s="79"/>
      <c r="C34" s="80"/>
      <c r="D34" s="80"/>
      <c r="E34" s="80"/>
      <c r="F34" s="80"/>
      <c r="G34" s="80"/>
      <c r="H34" s="80"/>
      <c r="I34" s="80"/>
      <c r="J34" s="80"/>
      <c r="K34" s="80"/>
      <c r="L34" s="80"/>
      <c r="M34" s="80"/>
      <c r="N34" s="80"/>
      <c r="O34" s="80"/>
      <c r="P34" s="80"/>
      <c r="Q34" s="80"/>
      <c r="R34" s="80"/>
    </row>
    <row r="35" spans="1:18" ht="14.25" customHeight="1" x14ac:dyDescent="0.3"/>
    <row r="36" spans="1:18" ht="14.25" customHeight="1" x14ac:dyDescent="0.3">
      <c r="A36" s="255" t="s">
        <v>30</v>
      </c>
      <c r="B36" s="246"/>
    </row>
    <row r="37" spans="1:18" ht="14.25" customHeight="1" x14ac:dyDescent="0.3">
      <c r="A37" s="76" t="s">
        <v>15</v>
      </c>
      <c r="B37" s="76" t="s">
        <v>32</v>
      </c>
      <c r="C37" s="77" t="s">
        <v>49</v>
      </c>
      <c r="D37" s="81" t="s">
        <v>50</v>
      </c>
      <c r="E37" s="81" t="s">
        <v>34</v>
      </c>
      <c r="F37" s="81" t="s">
        <v>51</v>
      </c>
      <c r="G37" s="81" t="s">
        <v>35</v>
      </c>
      <c r="H37" s="81" t="s">
        <v>52</v>
      </c>
      <c r="I37" s="81" t="s">
        <v>36</v>
      </c>
      <c r="J37" s="81" t="s">
        <v>37</v>
      </c>
      <c r="K37" s="81" t="s">
        <v>38</v>
      </c>
      <c r="L37" s="81" t="s">
        <v>41</v>
      </c>
      <c r="M37" s="81" t="s">
        <v>42</v>
      </c>
      <c r="N37" s="81" t="s">
        <v>53</v>
      </c>
      <c r="O37" s="81" t="s">
        <v>44</v>
      </c>
      <c r="P37" s="81" t="s">
        <v>45</v>
      </c>
      <c r="Q37" s="81" t="s">
        <v>54</v>
      </c>
      <c r="R37" s="81" t="s">
        <v>47</v>
      </c>
    </row>
    <row r="38" spans="1:18" ht="14.25" customHeight="1" x14ac:dyDescent="0.3">
      <c r="A38" s="115">
        <v>2</v>
      </c>
      <c r="B38" s="116" t="s">
        <v>128</v>
      </c>
      <c r="C38" s="120">
        <v>46</v>
      </c>
      <c r="D38" s="83">
        <v>45</v>
      </c>
      <c r="E38" s="84">
        <f>(C38-D38)/2</f>
        <v>0.5</v>
      </c>
      <c r="F38" s="84">
        <v>0.5</v>
      </c>
      <c r="G38" s="84">
        <v>20</v>
      </c>
      <c r="H38" s="84">
        <v>0.1</v>
      </c>
      <c r="I38" s="84">
        <v>400000</v>
      </c>
      <c r="J38" s="84">
        <f>I38/3.14/C38</f>
        <v>2769.3159789531987</v>
      </c>
      <c r="K38" s="84">
        <f>J38*H38</f>
        <v>276.9315978953199</v>
      </c>
      <c r="L38" s="84">
        <f>G38/K38</f>
        <v>7.2219999999999993E-2</v>
      </c>
      <c r="M38" s="84">
        <f>L38*60</f>
        <v>4.3331999999999997</v>
      </c>
      <c r="N38" s="84">
        <f>I38*H38*E38</f>
        <v>20000</v>
      </c>
      <c r="O38" s="84">
        <f>3.14*23*23*20</f>
        <v>33221.199999999997</v>
      </c>
      <c r="P38" s="84">
        <f>N38*L38</f>
        <v>1444.3999999999999</v>
      </c>
      <c r="Q38" s="84">
        <f>P38/O38*100</f>
        <v>4.3478260869565215</v>
      </c>
      <c r="R38" s="84">
        <f>O38-P38</f>
        <v>31776.799999999996</v>
      </c>
    </row>
    <row r="39" spans="1:18" ht="14.25" customHeight="1" x14ac:dyDescent="0.3">
      <c r="A39" s="115">
        <v>3</v>
      </c>
      <c r="B39" s="116" t="s">
        <v>131</v>
      </c>
      <c r="C39" s="120">
        <v>45</v>
      </c>
      <c r="D39" s="83">
        <v>44</v>
      </c>
      <c r="E39" s="84">
        <f>(C39-D39)/2</f>
        <v>0.5</v>
      </c>
      <c r="F39" s="84">
        <v>0.5</v>
      </c>
      <c r="G39" s="84">
        <v>20</v>
      </c>
      <c r="H39" s="84">
        <v>0.1</v>
      </c>
      <c r="I39" s="84">
        <v>400000</v>
      </c>
      <c r="J39" s="84">
        <f>I39/3.14/C39</f>
        <v>2830.8563340410474</v>
      </c>
      <c r="K39" s="84">
        <f>J39*H39</f>
        <v>283.08563340410473</v>
      </c>
      <c r="L39" s="84">
        <f>G39/K39</f>
        <v>7.0650000000000004E-2</v>
      </c>
      <c r="M39" s="84">
        <f>L39*60</f>
        <v>4.2389999999999999</v>
      </c>
      <c r="N39" s="84">
        <f>I39*H39*E39</f>
        <v>20000</v>
      </c>
      <c r="O39" s="84">
        <f>R38</f>
        <v>31776.799999999996</v>
      </c>
      <c r="P39" s="84">
        <f>N39*L39</f>
        <v>1413</v>
      </c>
      <c r="Q39" s="84">
        <f>P39/O39*100</f>
        <v>4.4466403162055341</v>
      </c>
      <c r="R39" s="84">
        <f>O39-P39</f>
        <v>30363.799999999996</v>
      </c>
    </row>
    <row r="40" spans="1:18" ht="14.25" customHeight="1" x14ac:dyDescent="0.3">
      <c r="E40" s="57" t="s">
        <v>55</v>
      </c>
    </row>
    <row r="41" spans="1:18" ht="14.25" customHeight="1" x14ac:dyDescent="0.3"/>
    <row r="42" spans="1:18" ht="14.25" customHeight="1" x14ac:dyDescent="0.3">
      <c r="A42" s="245" t="s">
        <v>56</v>
      </c>
      <c r="B42" s="246"/>
    </row>
    <row r="43" spans="1:18" ht="14.25" customHeight="1" x14ac:dyDescent="0.3">
      <c r="A43" s="76" t="s">
        <v>15</v>
      </c>
      <c r="B43" s="76" t="s">
        <v>32</v>
      </c>
      <c r="C43" s="77" t="s">
        <v>33</v>
      </c>
      <c r="D43" s="81" t="s">
        <v>34</v>
      </c>
      <c r="E43" s="81" t="s">
        <v>52</v>
      </c>
      <c r="F43" s="81" t="s">
        <v>57</v>
      </c>
      <c r="G43" s="81" t="s">
        <v>37</v>
      </c>
      <c r="H43" s="81" t="s">
        <v>38</v>
      </c>
      <c r="I43" s="121" t="s">
        <v>41</v>
      </c>
      <c r="J43" s="122" t="s">
        <v>42</v>
      </c>
      <c r="K43" s="122" t="s">
        <v>43</v>
      </c>
      <c r="L43" s="123" t="s">
        <v>44</v>
      </c>
      <c r="M43" s="81" t="s">
        <v>45</v>
      </c>
      <c r="N43" s="81" t="s">
        <v>54</v>
      </c>
      <c r="O43" s="81" t="s">
        <v>47</v>
      </c>
    </row>
    <row r="44" spans="1:18" ht="14.25" customHeight="1" x14ac:dyDescent="0.3">
      <c r="A44" s="115">
        <v>45</v>
      </c>
      <c r="B44" s="116" t="s">
        <v>157</v>
      </c>
      <c r="C44" s="120">
        <v>14</v>
      </c>
      <c r="D44" s="83">
        <v>20</v>
      </c>
      <c r="E44" s="84">
        <f>14/15*0.2</f>
        <v>0.18666666666666668</v>
      </c>
      <c r="F44" s="84">
        <v>100000</v>
      </c>
      <c r="G44" s="84">
        <f>F44/(3.14*C44)</f>
        <v>2274.7952684258416</v>
      </c>
      <c r="H44" s="84">
        <f>G44*E44</f>
        <v>424.62845010615712</v>
      </c>
      <c r="I44" s="124">
        <f>D44/H44</f>
        <v>4.7099999999999996E-2</v>
      </c>
      <c r="J44" s="120">
        <f>I44*60</f>
        <v>2.8259999999999996</v>
      </c>
      <c r="K44" s="125">
        <f>(3.14*C44*C44*H44)/4</f>
        <v>65333.333333333343</v>
      </c>
      <c r="L44" s="83">
        <f>Q33</f>
        <v>-11003.200000000004</v>
      </c>
      <c r="M44" s="84">
        <f>K44*I44</f>
        <v>3077.2000000000003</v>
      </c>
      <c r="N44" s="84">
        <f>M44/L44*100</f>
        <v>-27.966409771702764</v>
      </c>
      <c r="O44" s="84">
        <f>L44-M44</f>
        <v>-14080.400000000005</v>
      </c>
    </row>
    <row r="45" spans="1:18" ht="14.25" customHeight="1" x14ac:dyDescent="0.3">
      <c r="A45" s="115">
        <v>46</v>
      </c>
      <c r="B45" s="116" t="s">
        <v>159</v>
      </c>
      <c r="C45" s="120">
        <v>7</v>
      </c>
      <c r="D45" s="83">
        <v>8</v>
      </c>
      <c r="E45" s="84">
        <f>7/5*0.12</f>
        <v>0.16799999999999998</v>
      </c>
      <c r="F45" s="84">
        <v>100000</v>
      </c>
      <c r="G45" s="84">
        <f>F45/(3.14*C45)</f>
        <v>4549.5905368516833</v>
      </c>
      <c r="H45" s="84">
        <f>G45*E45</f>
        <v>764.33121019108273</v>
      </c>
      <c r="I45" s="124">
        <f>D45/H45</f>
        <v>1.0466666666666668E-2</v>
      </c>
      <c r="J45" s="120">
        <f>I45*60</f>
        <v>0.628</v>
      </c>
      <c r="K45" s="125">
        <f>(3.14*7*7*H45)/4</f>
        <v>29400</v>
      </c>
      <c r="L45" s="83">
        <f>O44</f>
        <v>-14080.400000000005</v>
      </c>
      <c r="M45" s="84">
        <f>K45*I45</f>
        <v>307.72000000000003</v>
      </c>
      <c r="N45" s="84">
        <f>M45/L45*100</f>
        <v>-2.1854492770091754</v>
      </c>
      <c r="O45" s="84">
        <f>L45-M45</f>
        <v>-14388.120000000004</v>
      </c>
    </row>
    <row r="46" spans="1:18" ht="14.25" customHeight="1" x14ac:dyDescent="0.3">
      <c r="A46" s="115">
        <v>49</v>
      </c>
      <c r="B46" s="116" t="s">
        <v>161</v>
      </c>
      <c r="C46" s="120">
        <v>6</v>
      </c>
      <c r="D46" s="83">
        <v>5.46</v>
      </c>
      <c r="E46" s="84">
        <f>6/5*0.12</f>
        <v>0.14399999999999999</v>
      </c>
      <c r="F46" s="84">
        <v>100000</v>
      </c>
      <c r="G46" s="84">
        <f>F46/(3.14*C46)</f>
        <v>5307.8556263269638</v>
      </c>
      <c r="H46" s="84">
        <f>G46*E46</f>
        <v>764.33121019108273</v>
      </c>
      <c r="I46" s="124">
        <f>D46/H46</f>
        <v>7.1435000000000005E-3</v>
      </c>
      <c r="J46" s="120">
        <f>I46*60</f>
        <v>0.42861000000000005</v>
      </c>
      <c r="K46" s="125">
        <f>(3.14*7*7*H46)/4</f>
        <v>29400</v>
      </c>
      <c r="L46" s="83">
        <f>O45</f>
        <v>-14388.120000000004</v>
      </c>
      <c r="M46" s="84">
        <f>K46*I46</f>
        <v>210.0189</v>
      </c>
      <c r="N46" s="84">
        <f>M46/L46*100</f>
        <v>-1.4596688101016668</v>
      </c>
      <c r="O46" s="84">
        <f>L46-M46</f>
        <v>-14598.138900000004</v>
      </c>
    </row>
    <row r="47" spans="1:18" ht="14.25" customHeight="1" x14ac:dyDescent="0.3"/>
    <row r="48" spans="1:18" ht="14.25" customHeight="1" x14ac:dyDescent="0.3"/>
    <row r="49" spans="1:14" ht="14.25" customHeight="1" x14ac:dyDescent="0.3">
      <c r="A49" s="245" t="s">
        <v>70</v>
      </c>
      <c r="B49" s="246"/>
    </row>
    <row r="50" spans="1:14" ht="14.25" customHeight="1" x14ac:dyDescent="0.3">
      <c r="A50" s="76" t="s">
        <v>15</v>
      </c>
      <c r="B50" s="76" t="s">
        <v>32</v>
      </c>
      <c r="C50" s="81" t="s">
        <v>40</v>
      </c>
      <c r="D50" s="81" t="s">
        <v>60</v>
      </c>
      <c r="E50" s="81" t="s">
        <v>71</v>
      </c>
      <c r="F50" s="81" t="s">
        <v>72</v>
      </c>
      <c r="G50" s="81" t="s">
        <v>45</v>
      </c>
      <c r="H50" s="81" t="s">
        <v>54</v>
      </c>
      <c r="I50" s="81" t="s">
        <v>47</v>
      </c>
    </row>
    <row r="51" spans="1:14" ht="14.25" customHeight="1" x14ac:dyDescent="0.3">
      <c r="A51" s="115">
        <v>31</v>
      </c>
      <c r="B51" s="116" t="s">
        <v>155</v>
      </c>
      <c r="C51" s="83"/>
      <c r="D51" s="84">
        <v>1</v>
      </c>
      <c r="E51" s="84">
        <v>45</v>
      </c>
      <c r="F51" s="84"/>
      <c r="G51" s="84"/>
      <c r="H51" s="104"/>
      <c r="I51" s="84"/>
    </row>
    <row r="52" spans="1:14" ht="14.25" customHeight="1" x14ac:dyDescent="0.3">
      <c r="A52" s="115">
        <v>37</v>
      </c>
      <c r="B52" s="116" t="s">
        <v>156</v>
      </c>
      <c r="C52" s="83"/>
      <c r="D52" s="84">
        <v>1</v>
      </c>
      <c r="E52" s="84">
        <v>45</v>
      </c>
      <c r="F52" s="84"/>
      <c r="G52" s="84"/>
      <c r="H52" s="104"/>
      <c r="I52" s="84"/>
    </row>
    <row r="53" spans="1:14" ht="14.25" customHeight="1" x14ac:dyDescent="0.3">
      <c r="A53" s="85"/>
      <c r="B53" s="86"/>
      <c r="C53" s="87"/>
      <c r="D53" s="87"/>
      <c r="E53" s="87"/>
      <c r="F53" s="87"/>
      <c r="G53" s="87"/>
      <c r="H53" s="88"/>
      <c r="I53" s="87"/>
    </row>
    <row r="54" spans="1:14" ht="14.25" customHeight="1" x14ac:dyDescent="0.3"/>
    <row r="55" spans="1:14" ht="19.5" customHeight="1" x14ac:dyDescent="0.3">
      <c r="A55" s="253" t="s">
        <v>74</v>
      </c>
      <c r="B55" s="254"/>
      <c r="C55" s="254"/>
      <c r="D55" s="254"/>
      <c r="E55" s="254"/>
      <c r="F55" s="254"/>
      <c r="G55" s="254"/>
      <c r="H55" s="254"/>
      <c r="I55" s="254"/>
      <c r="J55" s="254"/>
      <c r="K55" s="254"/>
      <c r="L55" s="254"/>
      <c r="M55" s="254"/>
      <c r="N55" s="254"/>
    </row>
    <row r="56" spans="1:14" ht="14.25" customHeight="1" x14ac:dyDescent="0.3">
      <c r="A56" s="75"/>
      <c r="B56" s="75"/>
      <c r="C56" s="75"/>
      <c r="D56" s="75"/>
      <c r="E56" s="75"/>
      <c r="F56" s="75"/>
      <c r="G56" s="75"/>
      <c r="H56" s="75"/>
    </row>
    <row r="57" spans="1:14" ht="14.25" customHeight="1" x14ac:dyDescent="0.3"/>
    <row r="58" spans="1:14" ht="14.25" customHeight="1" x14ac:dyDescent="0.3">
      <c r="A58" s="59" t="s">
        <v>75</v>
      </c>
    </row>
    <row r="59" spans="1:14" ht="14.25" customHeight="1" x14ac:dyDescent="0.3"/>
    <row r="60" spans="1:14" ht="14.25" customHeight="1" x14ac:dyDescent="0.3">
      <c r="A60" s="59" t="s">
        <v>76</v>
      </c>
    </row>
    <row r="61" spans="1:14" ht="14.25" customHeight="1" x14ac:dyDescent="0.3"/>
    <row r="62" spans="1:14" ht="14.25" customHeight="1" x14ac:dyDescent="0.3">
      <c r="A62" s="59" t="s">
        <v>77</v>
      </c>
    </row>
    <row r="63" spans="1:14" ht="14.25" customHeight="1" x14ac:dyDescent="0.3"/>
    <row r="64" spans="1:14" ht="14.25" customHeight="1" x14ac:dyDescent="0.3">
      <c r="A64" s="59" t="s">
        <v>78</v>
      </c>
    </row>
    <row r="65" spans="1:32" ht="14.25" customHeight="1" x14ac:dyDescent="0.3"/>
    <row r="66" spans="1:32" ht="14.25" customHeight="1" x14ac:dyDescent="0.3">
      <c r="A66" s="59" t="s">
        <v>79</v>
      </c>
    </row>
    <row r="67" spans="1:32" ht="15.75" customHeight="1" x14ac:dyDescent="0.3"/>
    <row r="68" spans="1:32" ht="14.25" customHeight="1" x14ac:dyDescent="0.3">
      <c r="A68" s="59" t="s">
        <v>80</v>
      </c>
    </row>
    <row r="69" spans="1:32" ht="14.25" customHeight="1" x14ac:dyDescent="0.3"/>
    <row r="70" spans="1:32" ht="14.25" customHeight="1" x14ac:dyDescent="0.3">
      <c r="B70" s="89"/>
    </row>
    <row r="71" spans="1:32" ht="14.25" customHeight="1" x14ac:dyDescent="0.3"/>
    <row r="72" spans="1:32" ht="14.25" customHeight="1" x14ac:dyDescent="0.3"/>
    <row r="73" spans="1:32" ht="14.25" customHeight="1" x14ac:dyDescent="0.3"/>
    <row r="74" spans="1:32" ht="14.25" customHeight="1" x14ac:dyDescent="0.3"/>
    <row r="75" spans="1:32" ht="14.25" customHeight="1" x14ac:dyDescent="0.3"/>
    <row r="76" spans="1:32" ht="14.25" customHeight="1" x14ac:dyDescent="0.3"/>
    <row r="77" spans="1:32" ht="14.25" customHeight="1" x14ac:dyDescent="0.3">
      <c r="U77" s="258" t="s">
        <v>81</v>
      </c>
      <c r="V77" s="254"/>
      <c r="W77" s="254"/>
      <c r="X77" s="254"/>
      <c r="Y77" s="254"/>
      <c r="Z77" s="254"/>
      <c r="AA77" s="254"/>
      <c r="AB77" s="254"/>
      <c r="AC77" s="254"/>
      <c r="AD77" s="254"/>
      <c r="AE77" s="254"/>
      <c r="AF77" s="254"/>
    </row>
    <row r="78" spans="1:32" ht="14.25" customHeight="1" x14ac:dyDescent="0.3">
      <c r="U78" s="254"/>
      <c r="V78" s="254"/>
      <c r="W78" s="254"/>
      <c r="X78" s="254"/>
      <c r="Y78" s="254"/>
      <c r="Z78" s="254"/>
      <c r="AA78" s="254"/>
      <c r="AB78" s="254"/>
      <c r="AC78" s="254"/>
      <c r="AD78" s="254"/>
      <c r="AE78" s="254"/>
      <c r="AF78" s="254"/>
    </row>
    <row r="79" spans="1:32" ht="14.25" customHeight="1" x14ac:dyDescent="0.3"/>
    <row r="80" spans="1:32" ht="14.25" customHeight="1" x14ac:dyDescent="0.3"/>
    <row r="81" spans="1:14" ht="14.25" customHeight="1" x14ac:dyDescent="0.3"/>
    <row r="82" spans="1:14" ht="14.25" customHeight="1" x14ac:dyDescent="0.3"/>
    <row r="83" spans="1:14" ht="14.25" customHeight="1" x14ac:dyDescent="0.3"/>
    <row r="84" spans="1:14" ht="14.25" customHeight="1" x14ac:dyDescent="0.3">
      <c r="B84" s="89"/>
    </row>
    <row r="85" spans="1:14" ht="14.25" customHeight="1" x14ac:dyDescent="0.3"/>
    <row r="86" spans="1:14" ht="14.25" customHeight="1" x14ac:dyDescent="0.3"/>
    <row r="87" spans="1:14" ht="14.25" customHeight="1" x14ac:dyDescent="0.3">
      <c r="B87" s="89"/>
    </row>
    <row r="88" spans="1:14" ht="14.25" customHeight="1" x14ac:dyDescent="0.3">
      <c r="B88" s="89"/>
    </row>
    <row r="89" spans="1:14" ht="14.25" customHeight="1" x14ac:dyDescent="0.3"/>
    <row r="90" spans="1:14" ht="14.25" customHeight="1" x14ac:dyDescent="0.3"/>
    <row r="91" spans="1:14" ht="14.25" customHeight="1" x14ac:dyDescent="0.3">
      <c r="J91" s="75"/>
      <c r="K91" s="75"/>
      <c r="L91" s="75"/>
      <c r="M91" s="75"/>
      <c r="N91" s="75"/>
    </row>
    <row r="92" spans="1:14" ht="14.25" customHeight="1" x14ac:dyDescent="0.3"/>
    <row r="93" spans="1:14" ht="14.25" customHeight="1" x14ac:dyDescent="0.3">
      <c r="B93" s="89"/>
    </row>
    <row r="94" spans="1:14" ht="21.75" customHeight="1" x14ac:dyDescent="0.3">
      <c r="A94" s="253" t="s">
        <v>82</v>
      </c>
      <c r="B94" s="254"/>
      <c r="C94" s="254"/>
      <c r="D94" s="254"/>
      <c r="E94" s="254"/>
      <c r="F94" s="254"/>
      <c r="G94" s="254"/>
      <c r="H94" s="254"/>
      <c r="I94" s="254"/>
      <c r="J94" s="254"/>
      <c r="K94" s="254"/>
      <c r="L94" s="254"/>
      <c r="M94" s="254"/>
      <c r="N94" s="254"/>
    </row>
    <row r="95" spans="1:14" ht="14.25" customHeight="1" x14ac:dyDescent="0.3"/>
    <row r="96" spans="1:14" ht="14.25" customHeight="1" x14ac:dyDescent="0.3">
      <c r="A96" s="59" t="s">
        <v>83</v>
      </c>
      <c r="B96" s="89"/>
    </row>
    <row r="97" spans="1:2" ht="14.25" customHeight="1" x14ac:dyDescent="0.3">
      <c r="B97" s="89"/>
    </row>
    <row r="98" spans="1:2" ht="14.25" customHeight="1" x14ac:dyDescent="0.3">
      <c r="A98" s="59" t="s">
        <v>84</v>
      </c>
    </row>
    <row r="99" spans="1:2" ht="14.25" customHeight="1" x14ac:dyDescent="0.3"/>
    <row r="100" spans="1:2" ht="14.25" customHeight="1" x14ac:dyDescent="0.3">
      <c r="A100" s="59" t="s">
        <v>85</v>
      </c>
      <c r="B100" s="89"/>
    </row>
    <row r="101" spans="1:2" ht="14.25" customHeight="1" x14ac:dyDescent="0.3">
      <c r="A101" s="59" t="s">
        <v>86</v>
      </c>
      <c r="B101" s="89"/>
    </row>
    <row r="102" spans="1:2" ht="14.25" customHeight="1" x14ac:dyDescent="0.3"/>
    <row r="103" spans="1:2" ht="14.25" customHeight="1" x14ac:dyDescent="0.3">
      <c r="A103" s="59" t="s">
        <v>87</v>
      </c>
    </row>
    <row r="104" spans="1:2" ht="14.25" customHeight="1" x14ac:dyDescent="0.3">
      <c r="B104" s="89"/>
    </row>
    <row r="105" spans="1:2" ht="14.25" customHeight="1" x14ac:dyDescent="0.3">
      <c r="A105" s="59" t="s">
        <v>88</v>
      </c>
      <c r="B105" s="89"/>
    </row>
    <row r="106" spans="1:2" ht="14.25" customHeight="1" x14ac:dyDescent="0.3"/>
    <row r="107" spans="1:2" ht="14.25" customHeight="1" x14ac:dyDescent="0.3"/>
    <row r="108" spans="1:2" ht="14.25" customHeight="1" x14ac:dyDescent="0.3"/>
    <row r="109" spans="1:2" ht="14.25" customHeight="1" x14ac:dyDescent="0.3"/>
    <row r="110" spans="1:2" ht="14.25" customHeight="1" x14ac:dyDescent="0.3"/>
    <row r="111" spans="1:2" ht="14.25" customHeight="1" x14ac:dyDescent="0.3"/>
    <row r="112" spans="1:2" ht="14.25" customHeight="1" x14ac:dyDescent="0.3"/>
    <row r="113" spans="2:14" ht="14.25" customHeight="1" x14ac:dyDescent="0.3"/>
    <row r="114" spans="2:14" ht="14.25" customHeight="1" x14ac:dyDescent="0.3"/>
    <row r="115" spans="2:14" ht="14.25" customHeight="1" x14ac:dyDescent="0.3"/>
    <row r="116" spans="2:14" ht="14.25" customHeight="1" x14ac:dyDescent="0.3">
      <c r="B116" s="90"/>
    </row>
    <row r="117" spans="2:14" ht="14.25" customHeight="1" x14ac:dyDescent="0.3"/>
    <row r="118" spans="2:14" ht="14.25" customHeight="1" x14ac:dyDescent="0.3"/>
    <row r="119" spans="2:14" ht="14.25" customHeight="1" x14ac:dyDescent="0.3"/>
    <row r="120" spans="2:14" ht="14.25" customHeight="1" x14ac:dyDescent="0.3"/>
    <row r="121" spans="2:14" ht="14.25" customHeight="1" x14ac:dyDescent="0.3"/>
    <row r="122" spans="2:14" ht="14.25" customHeight="1" x14ac:dyDescent="0.3"/>
    <row r="123" spans="2:14" ht="14.25" customHeight="1" x14ac:dyDescent="0.3"/>
    <row r="124" spans="2:14" ht="14.25" customHeight="1" x14ac:dyDescent="0.3"/>
    <row r="125" spans="2:14" ht="14.25" customHeight="1" x14ac:dyDescent="0.3"/>
    <row r="126" spans="2:14" ht="14.25" customHeight="1" x14ac:dyDescent="0.3"/>
    <row r="127" spans="2:14" ht="16.5" customHeight="1" x14ac:dyDescent="0.3">
      <c r="J127" s="91"/>
      <c r="K127" s="91"/>
      <c r="L127" s="91"/>
      <c r="M127" s="91"/>
      <c r="N127" s="91"/>
    </row>
    <row r="128" spans="2:14" ht="14.25" customHeight="1" x14ac:dyDescent="0.3">
      <c r="J128" s="75"/>
      <c r="K128" s="75"/>
      <c r="L128" s="75"/>
      <c r="M128" s="75"/>
      <c r="N128" s="75"/>
    </row>
    <row r="129" spans="1:27" ht="14.25" customHeight="1" x14ac:dyDescent="0.3"/>
    <row r="130" spans="1:27" ht="14.25" customHeight="1" x14ac:dyDescent="0.3">
      <c r="A130" s="91"/>
      <c r="B130" s="91"/>
      <c r="C130" s="91"/>
      <c r="D130" s="91"/>
      <c r="E130" s="91"/>
      <c r="F130" s="91"/>
      <c r="G130" s="91"/>
      <c r="H130" s="91"/>
      <c r="I130" s="91"/>
    </row>
    <row r="131" spans="1:27" ht="30" customHeight="1" x14ac:dyDescent="0.3">
      <c r="A131" s="253" t="s">
        <v>89</v>
      </c>
      <c r="B131" s="254"/>
      <c r="C131" s="254"/>
      <c r="D131" s="254"/>
      <c r="E131" s="254"/>
      <c r="F131" s="254"/>
      <c r="G131" s="254"/>
      <c r="H131" s="254"/>
      <c r="I131" s="254"/>
      <c r="J131" s="254"/>
      <c r="K131" s="254"/>
      <c r="L131" s="254"/>
      <c r="M131" s="254"/>
      <c r="N131" s="254"/>
    </row>
    <row r="132" spans="1:27" ht="14.25" customHeight="1" x14ac:dyDescent="0.3">
      <c r="A132" s="59" t="s">
        <v>90</v>
      </c>
    </row>
    <row r="133" spans="1:27" ht="14.25" customHeight="1" x14ac:dyDescent="0.3"/>
    <row r="134" spans="1:27" ht="14.25" customHeight="1" x14ac:dyDescent="0.3">
      <c r="A134" s="59" t="s">
        <v>84</v>
      </c>
      <c r="Y134" s="259" t="s">
        <v>163</v>
      </c>
      <c r="Z134" s="259"/>
      <c r="AA134" s="259"/>
    </row>
    <row r="135" spans="1:27" ht="14.25" customHeight="1" x14ac:dyDescent="0.3">
      <c r="Y135" s="126" t="s">
        <v>164</v>
      </c>
      <c r="Z135" s="126" t="s">
        <v>165</v>
      </c>
      <c r="AA135" s="126" t="s">
        <v>166</v>
      </c>
    </row>
    <row r="136" spans="1:27" ht="14.25" customHeight="1" x14ac:dyDescent="0.3">
      <c r="A136" s="59" t="s">
        <v>91</v>
      </c>
      <c r="Y136" s="126" t="s">
        <v>167</v>
      </c>
      <c r="Z136" s="126">
        <v>142</v>
      </c>
      <c r="AA136" s="126">
        <v>2559.35</v>
      </c>
    </row>
    <row r="137" spans="1:27" ht="14.25" customHeight="1" x14ac:dyDescent="0.3">
      <c r="Y137" s="126" t="s">
        <v>110</v>
      </c>
      <c r="Z137" s="126">
        <v>1</v>
      </c>
      <c r="AA137" s="126">
        <v>0</v>
      </c>
    </row>
    <row r="138" spans="1:27" ht="14.25" customHeight="1" x14ac:dyDescent="0.3">
      <c r="A138" s="59" t="s">
        <v>92</v>
      </c>
      <c r="Y138" s="126" t="s">
        <v>27</v>
      </c>
      <c r="Z138" s="126">
        <v>143</v>
      </c>
      <c r="AA138" s="126">
        <f>AA136+0</f>
        <v>2559.35</v>
      </c>
    </row>
    <row r="139" spans="1:27" ht="14.25" customHeight="1" x14ac:dyDescent="0.3"/>
    <row r="140" spans="1:27" ht="14.25" customHeight="1" x14ac:dyDescent="0.3"/>
    <row r="141" spans="1:27" ht="14.25" customHeight="1" x14ac:dyDescent="0.3"/>
    <row r="142" spans="1:27" ht="14.25" customHeight="1" x14ac:dyDescent="0.3"/>
    <row r="143" spans="1:27" ht="14.25" customHeight="1" x14ac:dyDescent="0.3"/>
    <row r="144" spans="1:27"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row r="1001" ht="15.75" customHeight="1" x14ac:dyDescent="0.3"/>
    <row r="1002" ht="15.75" customHeight="1" x14ac:dyDescent="0.3"/>
    <row r="1003" ht="15.75" customHeight="1" x14ac:dyDescent="0.3"/>
    <row r="1004" ht="15.75" customHeight="1" x14ac:dyDescent="0.3"/>
    <row r="1005" ht="15.75" customHeight="1" x14ac:dyDescent="0.3"/>
    <row r="1006" ht="15.75" customHeight="1" x14ac:dyDescent="0.3"/>
    <row r="1007" ht="15.75" customHeight="1" x14ac:dyDescent="0.3"/>
    <row r="1008" ht="15.75" customHeight="1" x14ac:dyDescent="0.3"/>
    <row r="1009" ht="15.75" customHeight="1" x14ac:dyDescent="0.3"/>
    <row r="1010" ht="15.75" customHeight="1" x14ac:dyDescent="0.3"/>
    <row r="1011" ht="15.75" customHeight="1" x14ac:dyDescent="0.3"/>
    <row r="1012" ht="15.75" customHeight="1" x14ac:dyDescent="0.3"/>
    <row r="1013" ht="15.75" customHeight="1" x14ac:dyDescent="0.3"/>
    <row r="1014" ht="15.75" customHeight="1" x14ac:dyDescent="0.3"/>
    <row r="1015" ht="15.75" customHeight="1" x14ac:dyDescent="0.3"/>
  </sheetData>
  <mergeCells count="12">
    <mergeCell ref="Y134:AA134"/>
    <mergeCell ref="A1:R2"/>
    <mergeCell ref="T1:AC2"/>
    <mergeCell ref="AE1:AL2"/>
    <mergeCell ref="A5:B5"/>
    <mergeCell ref="A36:B36"/>
    <mergeCell ref="A42:B42"/>
    <mergeCell ref="A49:B49"/>
    <mergeCell ref="A55:N55"/>
    <mergeCell ref="U77:AF78"/>
    <mergeCell ref="A94:N94"/>
    <mergeCell ref="A131:N131"/>
  </mergeCells>
  <pageMargins left="0.7" right="0.7" top="0.75" bottom="0.75" header="0" footer="0"/>
  <pageSetup orientation="landscape"/>
  <drawing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C9264D-C570-417E-A339-58350A7C53DC}">
  <sheetPr>
    <outlinePr summaryBelow="0" summaryRight="0"/>
  </sheetPr>
  <dimension ref="A1:N1016"/>
  <sheetViews>
    <sheetView topLeftCell="A27" zoomScale="92" workbookViewId="0">
      <selection activeCell="B13" sqref="B13"/>
    </sheetView>
  </sheetViews>
  <sheetFormatPr defaultColWidth="14.44140625" defaultRowHeight="15" customHeight="1" x14ac:dyDescent="0.3"/>
  <cols>
    <col min="1" max="1" width="8.77734375" customWidth="1"/>
    <col min="2" max="2" width="52.21875" customWidth="1"/>
    <col min="3" max="3" width="9.77734375" customWidth="1"/>
    <col min="4" max="4" width="8.77734375" customWidth="1"/>
    <col min="5" max="5" width="11" bestFit="1" customWidth="1"/>
    <col min="6" max="6" width="18.21875" customWidth="1"/>
    <col min="7" max="14" width="8.77734375" customWidth="1"/>
  </cols>
  <sheetData>
    <row r="1" spans="1:14" ht="14.25" customHeight="1" thickBot="1" x14ac:dyDescent="0.35">
      <c r="A1" s="260" t="s">
        <v>0</v>
      </c>
      <c r="B1" s="224"/>
      <c r="C1" s="224"/>
      <c r="D1" s="224"/>
      <c r="E1" s="224"/>
      <c r="F1" s="224"/>
      <c r="G1" s="224"/>
      <c r="H1" s="224"/>
      <c r="I1" s="219"/>
      <c r="K1" s="230" t="s">
        <v>1</v>
      </c>
      <c r="L1" s="224"/>
      <c r="M1" s="224"/>
      <c r="N1" s="219"/>
    </row>
    <row r="2" spans="1:14" ht="14.25" customHeight="1" thickBot="1" x14ac:dyDescent="0.35">
      <c r="A2" s="227"/>
      <c r="B2" s="224"/>
      <c r="C2" s="224"/>
      <c r="D2" s="224"/>
      <c r="E2" s="224"/>
      <c r="F2" s="224"/>
      <c r="G2" s="224"/>
      <c r="H2" s="224"/>
      <c r="I2" s="219"/>
      <c r="K2" s="1"/>
      <c r="L2" s="2"/>
      <c r="M2" s="2"/>
      <c r="N2" s="3"/>
    </row>
    <row r="3" spans="1:14" ht="14.25" customHeight="1" thickBot="1" x14ac:dyDescent="0.35">
      <c r="A3" s="4" t="s">
        <v>2</v>
      </c>
      <c r="B3" s="231">
        <v>8</v>
      </c>
      <c r="C3" s="224"/>
      <c r="D3" s="219"/>
      <c r="E3" s="40" t="s">
        <v>3</v>
      </c>
      <c r="F3" s="231">
        <v>1</v>
      </c>
      <c r="G3" s="224"/>
      <c r="H3" s="224"/>
      <c r="I3" s="219"/>
      <c r="K3" s="1"/>
      <c r="L3" s="2"/>
      <c r="M3" s="2"/>
      <c r="N3" s="3"/>
    </row>
    <row r="4" spans="1:14" ht="14.25" customHeight="1" thickBot="1" x14ac:dyDescent="0.35">
      <c r="A4" s="4" t="s">
        <v>4</v>
      </c>
      <c r="B4" s="231">
        <v>8</v>
      </c>
      <c r="C4" s="224"/>
      <c r="D4" s="219"/>
      <c r="E4" s="40" t="s">
        <v>5</v>
      </c>
      <c r="F4" s="223" t="s">
        <v>168</v>
      </c>
      <c r="G4" s="224"/>
      <c r="H4" s="224"/>
      <c r="I4" s="219"/>
      <c r="K4" s="1"/>
      <c r="L4" s="2"/>
      <c r="M4" s="2"/>
      <c r="N4" s="3"/>
    </row>
    <row r="5" spans="1:14" ht="14.25" customHeight="1" thickBot="1" x14ac:dyDescent="0.35">
      <c r="A5" s="4" t="s">
        <v>6</v>
      </c>
      <c r="B5" s="223" t="s">
        <v>169</v>
      </c>
      <c r="C5" s="224"/>
      <c r="D5" s="219"/>
      <c r="E5" s="40" t="s">
        <v>7</v>
      </c>
      <c r="F5" s="210" t="s">
        <v>94</v>
      </c>
      <c r="G5" s="202"/>
      <c r="H5" s="202"/>
      <c r="I5" s="203"/>
      <c r="K5" s="1"/>
      <c r="L5" s="2"/>
      <c r="M5" s="2"/>
      <c r="N5" s="3"/>
    </row>
    <row r="6" spans="1:14" ht="14.25" customHeight="1" thickBot="1" x14ac:dyDescent="0.35">
      <c r="A6" s="223"/>
      <c r="B6" s="224"/>
      <c r="C6" s="224"/>
      <c r="D6" s="219"/>
      <c r="E6" s="225" t="s">
        <v>8</v>
      </c>
      <c r="F6" s="41" t="s">
        <v>9</v>
      </c>
      <c r="G6" s="227">
        <v>76.37</v>
      </c>
      <c r="H6" s="224"/>
      <c r="I6" s="5" t="s">
        <v>10</v>
      </c>
      <c r="K6" s="1"/>
      <c r="L6" s="2"/>
      <c r="M6" s="2"/>
      <c r="N6" s="3"/>
    </row>
    <row r="7" spans="1:14" ht="14.25" customHeight="1" thickBot="1" x14ac:dyDescent="0.35">
      <c r="A7" s="4" t="s">
        <v>11</v>
      </c>
      <c r="B7" s="223" t="s">
        <v>95</v>
      </c>
      <c r="C7" s="224"/>
      <c r="D7" s="219"/>
      <c r="E7" s="226"/>
      <c r="F7" s="41" t="s">
        <v>12</v>
      </c>
      <c r="G7" s="227">
        <v>57.5</v>
      </c>
      <c r="H7" s="224"/>
      <c r="I7" s="5" t="s">
        <v>10</v>
      </c>
      <c r="K7" s="1"/>
      <c r="L7" s="2"/>
      <c r="M7" s="2"/>
      <c r="N7" s="3"/>
    </row>
    <row r="8" spans="1:14" ht="14.25" customHeight="1" thickBot="1" x14ac:dyDescent="0.35">
      <c r="A8" s="4" t="s">
        <v>13</v>
      </c>
      <c r="B8" s="228" t="s">
        <v>96</v>
      </c>
      <c r="C8" s="224"/>
      <c r="D8" s="219"/>
      <c r="E8" s="221"/>
      <c r="F8" s="41" t="s">
        <v>14</v>
      </c>
      <c r="G8" s="227">
        <v>62.5</v>
      </c>
      <c r="H8" s="224"/>
      <c r="I8" s="5" t="s">
        <v>10</v>
      </c>
      <c r="K8" s="6"/>
      <c r="L8" s="7"/>
      <c r="M8" s="7"/>
      <c r="N8" s="42"/>
    </row>
    <row r="9" spans="1:14" ht="14.25" customHeight="1" thickBot="1" x14ac:dyDescent="0.35">
      <c r="A9" s="227"/>
      <c r="B9" s="224"/>
      <c r="C9" s="224"/>
      <c r="D9" s="224"/>
      <c r="E9" s="224"/>
      <c r="F9" s="224"/>
      <c r="G9" s="224"/>
      <c r="H9" s="224"/>
      <c r="I9" s="219"/>
    </row>
    <row r="10" spans="1:14" ht="14.25" customHeight="1" thickBot="1" x14ac:dyDescent="0.35">
      <c r="A10" s="229" t="s">
        <v>15</v>
      </c>
      <c r="B10" s="225" t="s">
        <v>16</v>
      </c>
      <c r="C10" s="225" t="s">
        <v>17</v>
      </c>
      <c r="D10" s="218" t="s">
        <v>18</v>
      </c>
      <c r="E10" s="219"/>
      <c r="F10" s="220" t="s">
        <v>19</v>
      </c>
      <c r="G10" s="222" t="s">
        <v>170</v>
      </c>
      <c r="H10" s="222" t="s">
        <v>21</v>
      </c>
      <c r="I10" s="222" t="s">
        <v>22</v>
      </c>
    </row>
    <row r="11" spans="1:14" ht="14.25" customHeight="1" thickBot="1" x14ac:dyDescent="0.35">
      <c r="A11" s="221"/>
      <c r="B11" s="221"/>
      <c r="C11" s="221"/>
      <c r="D11" s="40" t="s">
        <v>23</v>
      </c>
      <c r="E11" s="40" t="s">
        <v>24</v>
      </c>
      <c r="F11" s="221"/>
      <c r="G11" s="221"/>
      <c r="H11" s="221"/>
      <c r="I11" s="221"/>
    </row>
    <row r="12" spans="1:14" ht="14.25" customHeight="1" thickBot="1" x14ac:dyDescent="0.35">
      <c r="A12" s="8">
        <v>1</v>
      </c>
      <c r="B12" s="41" t="s">
        <v>97</v>
      </c>
      <c r="C12" s="129" t="s">
        <v>98</v>
      </c>
      <c r="D12" s="8">
        <v>1</v>
      </c>
      <c r="E12" s="40"/>
      <c r="F12" s="43" t="s">
        <v>100</v>
      </c>
      <c r="G12" s="44">
        <v>0</v>
      </c>
      <c r="H12" s="45">
        <v>0</v>
      </c>
      <c r="I12" s="45">
        <f t="shared" ref="I12:I47" si="0">G12+H12</f>
        <v>0</v>
      </c>
    </row>
    <row r="13" spans="1:14" ht="14.25" customHeight="1" thickBot="1" x14ac:dyDescent="0.35">
      <c r="A13" s="8">
        <v>2</v>
      </c>
      <c r="B13" s="130" t="s">
        <v>171</v>
      </c>
      <c r="C13" s="131" t="s">
        <v>101</v>
      </c>
      <c r="D13" s="8">
        <v>2</v>
      </c>
      <c r="E13" s="129" t="s">
        <v>172</v>
      </c>
      <c r="F13" s="40" t="s">
        <v>103</v>
      </c>
      <c r="G13" s="44">
        <v>180</v>
      </c>
      <c r="H13" s="45">
        <v>8.9113199999999999</v>
      </c>
      <c r="I13" s="45">
        <f t="shared" si="0"/>
        <v>188.91131999999999</v>
      </c>
    </row>
    <row r="14" spans="1:14" ht="14.25" customHeight="1" thickBot="1" x14ac:dyDescent="0.35">
      <c r="A14" s="8">
        <v>3</v>
      </c>
      <c r="B14" s="130" t="s">
        <v>173</v>
      </c>
      <c r="C14" s="131" t="s">
        <v>107</v>
      </c>
      <c r="D14" s="8">
        <v>3</v>
      </c>
      <c r="E14" s="40" t="s">
        <v>106</v>
      </c>
      <c r="F14" s="40" t="s">
        <v>174</v>
      </c>
      <c r="G14" s="44">
        <v>180</v>
      </c>
      <c r="H14" s="45">
        <v>185.64401683167634</v>
      </c>
      <c r="I14" s="45">
        <f t="shared" si="0"/>
        <v>365.64401683167637</v>
      </c>
    </row>
    <row r="15" spans="1:14" ht="14.25" customHeight="1" thickBot="1" x14ac:dyDescent="0.35">
      <c r="A15" s="8">
        <v>12</v>
      </c>
      <c r="B15" s="130" t="s">
        <v>175</v>
      </c>
      <c r="C15" s="131" t="s">
        <v>107</v>
      </c>
      <c r="D15" s="8">
        <v>12</v>
      </c>
      <c r="E15" s="40" t="s">
        <v>106</v>
      </c>
      <c r="F15" s="40" t="s">
        <v>174</v>
      </c>
      <c r="G15" s="44">
        <v>60</v>
      </c>
      <c r="H15" s="45">
        <v>20.627112981297373</v>
      </c>
      <c r="I15" s="45">
        <f t="shared" si="0"/>
        <v>80.627112981297373</v>
      </c>
    </row>
    <row r="16" spans="1:14" ht="14.25" customHeight="1" thickBot="1" x14ac:dyDescent="0.35">
      <c r="A16" s="8">
        <v>13</v>
      </c>
      <c r="B16" s="130" t="s">
        <v>176</v>
      </c>
      <c r="C16" s="131" t="s">
        <v>107</v>
      </c>
      <c r="D16" s="8">
        <v>13</v>
      </c>
      <c r="E16" s="40" t="s">
        <v>106</v>
      </c>
      <c r="F16" s="40" t="s">
        <v>174</v>
      </c>
      <c r="G16" s="44">
        <v>60</v>
      </c>
      <c r="H16" s="45">
        <v>46.879802230221294</v>
      </c>
      <c r="I16" s="45">
        <f t="shared" si="0"/>
        <v>106.87980223022129</v>
      </c>
    </row>
    <row r="17" spans="1:9" ht="14.25" customHeight="1" thickBot="1" x14ac:dyDescent="0.35">
      <c r="A17" s="8">
        <v>14</v>
      </c>
      <c r="B17" s="130" t="s">
        <v>177</v>
      </c>
      <c r="C17" s="131" t="s">
        <v>107</v>
      </c>
      <c r="D17" s="8">
        <v>14</v>
      </c>
      <c r="E17" s="40" t="s">
        <v>106</v>
      </c>
      <c r="F17" s="40" t="s">
        <v>174</v>
      </c>
      <c r="G17" s="44">
        <v>60</v>
      </c>
      <c r="H17" s="45">
        <v>65.140799999999984</v>
      </c>
      <c r="I17" s="45">
        <f t="shared" si="0"/>
        <v>125.14079999999998</v>
      </c>
    </row>
    <row r="18" spans="1:9" ht="14.25" customHeight="1" thickBot="1" x14ac:dyDescent="0.35">
      <c r="A18" s="8">
        <v>16</v>
      </c>
      <c r="B18" s="130" t="s">
        <v>178</v>
      </c>
      <c r="C18" s="131" t="s">
        <v>107</v>
      </c>
      <c r="D18" s="8">
        <v>16</v>
      </c>
      <c r="E18" s="40" t="s">
        <v>106</v>
      </c>
      <c r="F18" s="40" t="s">
        <v>174</v>
      </c>
      <c r="G18" s="44">
        <v>60</v>
      </c>
      <c r="H18" s="45">
        <v>32.570399999999992</v>
      </c>
      <c r="I18" s="45">
        <f t="shared" si="0"/>
        <v>92.570399999999992</v>
      </c>
    </row>
    <row r="19" spans="1:9" ht="14.25" customHeight="1" thickBot="1" x14ac:dyDescent="0.35">
      <c r="A19" s="8">
        <v>17</v>
      </c>
      <c r="B19" s="130" t="s">
        <v>179</v>
      </c>
      <c r="C19" s="131" t="s">
        <v>107</v>
      </c>
      <c r="D19" s="8">
        <v>17</v>
      </c>
      <c r="E19" s="40" t="s">
        <v>106</v>
      </c>
      <c r="F19" s="40" t="s">
        <v>174</v>
      </c>
      <c r="G19" s="44">
        <v>60</v>
      </c>
      <c r="H19" s="45">
        <v>26.573344302044369</v>
      </c>
      <c r="I19" s="45">
        <f t="shared" si="0"/>
        <v>86.573344302044376</v>
      </c>
    </row>
    <row r="20" spans="1:9" ht="14.25" customHeight="1" thickBot="1" x14ac:dyDescent="0.35">
      <c r="A20" s="8">
        <v>18</v>
      </c>
      <c r="B20" s="130" t="s">
        <v>180</v>
      </c>
      <c r="C20" s="131" t="s">
        <v>107</v>
      </c>
      <c r="D20" s="8">
        <v>18</v>
      </c>
      <c r="E20" s="40" t="s">
        <v>106</v>
      </c>
      <c r="F20" s="40" t="s">
        <v>174</v>
      </c>
      <c r="G20" s="44">
        <v>60</v>
      </c>
      <c r="H20" s="45">
        <v>6.8499990243900113</v>
      </c>
      <c r="I20" s="45">
        <f t="shared" si="0"/>
        <v>66.849999024390016</v>
      </c>
    </row>
    <row r="21" spans="1:9" ht="14.25" customHeight="1" thickBot="1" x14ac:dyDescent="0.35">
      <c r="A21" s="8">
        <v>19</v>
      </c>
      <c r="B21" s="130" t="s">
        <v>181</v>
      </c>
      <c r="C21" s="131" t="s">
        <v>107</v>
      </c>
      <c r="D21" s="8">
        <v>19</v>
      </c>
      <c r="E21" s="40" t="s">
        <v>106</v>
      </c>
      <c r="F21" s="40" t="s">
        <v>174</v>
      </c>
      <c r="G21" s="44">
        <v>60</v>
      </c>
      <c r="H21" s="45">
        <v>19.992798048780024</v>
      </c>
      <c r="I21" s="45">
        <f t="shared" si="0"/>
        <v>79.992798048780031</v>
      </c>
    </row>
    <row r="22" spans="1:9" ht="14.25" customHeight="1" thickBot="1" x14ac:dyDescent="0.35">
      <c r="A22" s="8">
        <v>21</v>
      </c>
      <c r="B22" s="130" t="s">
        <v>182</v>
      </c>
      <c r="C22" s="131" t="s">
        <v>107</v>
      </c>
      <c r="D22" s="8">
        <v>21</v>
      </c>
      <c r="E22" s="40" t="s">
        <v>106</v>
      </c>
      <c r="F22" s="40" t="s">
        <v>174</v>
      </c>
      <c r="G22" s="44">
        <v>60</v>
      </c>
      <c r="H22" s="45">
        <v>22.719088691795481</v>
      </c>
      <c r="I22" s="45">
        <f t="shared" si="0"/>
        <v>82.719088691795477</v>
      </c>
    </row>
    <row r="23" spans="1:9" ht="14.25" customHeight="1" thickBot="1" x14ac:dyDescent="0.35">
      <c r="A23" s="8">
        <v>22</v>
      </c>
      <c r="B23" s="130" t="s">
        <v>183</v>
      </c>
      <c r="C23" s="131" t="s">
        <v>107</v>
      </c>
      <c r="D23" s="8">
        <v>22</v>
      </c>
      <c r="E23" s="40" t="s">
        <v>106</v>
      </c>
      <c r="F23" s="40" t="s">
        <v>174</v>
      </c>
      <c r="G23" s="44">
        <v>60</v>
      </c>
      <c r="H23" s="45">
        <v>16.876799999999999</v>
      </c>
      <c r="I23" s="45">
        <f t="shared" si="0"/>
        <v>76.876800000000003</v>
      </c>
    </row>
    <row r="24" spans="1:9" ht="14.25" customHeight="1" thickBot="1" x14ac:dyDescent="0.35">
      <c r="A24" s="8">
        <v>24</v>
      </c>
      <c r="B24" s="130" t="s">
        <v>184</v>
      </c>
      <c r="C24" s="131" t="s">
        <v>107</v>
      </c>
      <c r="D24" s="8">
        <v>24</v>
      </c>
      <c r="E24" s="40" t="s">
        <v>106</v>
      </c>
      <c r="F24" s="40" t="s">
        <v>174</v>
      </c>
      <c r="G24" s="44">
        <v>60</v>
      </c>
      <c r="H24" s="45">
        <v>18.382725055431845</v>
      </c>
      <c r="I24" s="45">
        <f t="shared" si="0"/>
        <v>78.382725055431848</v>
      </c>
    </row>
    <row r="25" spans="1:9" ht="14.25" customHeight="1" thickBot="1" x14ac:dyDescent="0.35">
      <c r="A25" s="8">
        <v>25</v>
      </c>
      <c r="B25" s="130" t="s">
        <v>185</v>
      </c>
      <c r="C25" s="131" t="s">
        <v>105</v>
      </c>
      <c r="D25" s="8">
        <v>25</v>
      </c>
      <c r="E25" s="40" t="s">
        <v>106</v>
      </c>
      <c r="F25" s="40" t="s">
        <v>186</v>
      </c>
      <c r="G25" s="9">
        <v>180</v>
      </c>
      <c r="H25" s="45">
        <v>13.5648</v>
      </c>
      <c r="I25" s="45">
        <f t="shared" si="0"/>
        <v>193.56479999999999</v>
      </c>
    </row>
    <row r="26" spans="1:9" ht="14.25" customHeight="1" thickBot="1" x14ac:dyDescent="0.35">
      <c r="A26" s="8">
        <v>41</v>
      </c>
      <c r="B26" s="130" t="s">
        <v>187</v>
      </c>
      <c r="C26" s="131" t="s">
        <v>105</v>
      </c>
      <c r="D26" s="8">
        <v>41</v>
      </c>
      <c r="E26" s="40" t="s">
        <v>106</v>
      </c>
      <c r="F26" s="40" t="s">
        <v>186</v>
      </c>
      <c r="G26" s="16">
        <v>60</v>
      </c>
      <c r="H26" s="45">
        <v>0.61465499999999995</v>
      </c>
      <c r="I26" s="45">
        <f t="shared" si="0"/>
        <v>60.614654999999999</v>
      </c>
    </row>
    <row r="27" spans="1:9" ht="14.25" customHeight="1" thickBot="1" x14ac:dyDescent="0.35">
      <c r="A27" s="8">
        <v>42</v>
      </c>
      <c r="B27" s="130" t="s">
        <v>188</v>
      </c>
      <c r="C27" s="131" t="s">
        <v>107</v>
      </c>
      <c r="D27" s="8">
        <v>42</v>
      </c>
      <c r="E27" s="40" t="s">
        <v>106</v>
      </c>
      <c r="F27" s="40" t="s">
        <v>174</v>
      </c>
      <c r="G27" s="16">
        <v>180</v>
      </c>
      <c r="H27" s="45">
        <v>61.581599999999995</v>
      </c>
      <c r="I27" s="45">
        <f t="shared" si="0"/>
        <v>241.58159999999998</v>
      </c>
    </row>
    <row r="28" spans="1:9" ht="14.25" customHeight="1" thickBot="1" x14ac:dyDescent="0.35">
      <c r="A28" s="8">
        <v>51</v>
      </c>
      <c r="B28" s="130" t="s">
        <v>189</v>
      </c>
      <c r="C28" s="131" t="s">
        <v>107</v>
      </c>
      <c r="D28" s="8">
        <v>51</v>
      </c>
      <c r="E28" s="40" t="s">
        <v>106</v>
      </c>
      <c r="F28" s="40" t="s">
        <v>174</v>
      </c>
      <c r="G28" s="16">
        <v>60</v>
      </c>
      <c r="H28" s="45">
        <v>6.6024000000000012</v>
      </c>
      <c r="I28" s="45">
        <f t="shared" si="0"/>
        <v>66.602400000000003</v>
      </c>
    </row>
    <row r="29" spans="1:9" ht="14.25" customHeight="1" thickBot="1" x14ac:dyDescent="0.35">
      <c r="A29" s="8">
        <v>52</v>
      </c>
      <c r="B29" s="130" t="s">
        <v>190</v>
      </c>
      <c r="C29" s="131" t="s">
        <v>107</v>
      </c>
      <c r="D29" s="8">
        <v>52</v>
      </c>
      <c r="E29" s="40" t="s">
        <v>106</v>
      </c>
      <c r="F29" s="40" t="s">
        <v>174</v>
      </c>
      <c r="G29" s="16">
        <v>60</v>
      </c>
      <c r="H29" s="45">
        <v>15.550909090909091</v>
      </c>
      <c r="I29" s="45">
        <f t="shared" si="0"/>
        <v>75.550909090909087</v>
      </c>
    </row>
    <row r="30" spans="1:9" ht="14.25" customHeight="1" thickBot="1" x14ac:dyDescent="0.35">
      <c r="A30" s="8">
        <v>53</v>
      </c>
      <c r="B30" s="130" t="s">
        <v>191</v>
      </c>
      <c r="C30" s="131" t="s">
        <v>107</v>
      </c>
      <c r="D30" s="8">
        <v>53</v>
      </c>
      <c r="E30" s="40" t="s">
        <v>106</v>
      </c>
      <c r="F30" s="40" t="s">
        <v>174</v>
      </c>
      <c r="G30" s="16">
        <v>60</v>
      </c>
      <c r="H30" s="45">
        <v>74.069991219510101</v>
      </c>
      <c r="I30" s="45">
        <f t="shared" si="0"/>
        <v>134.06999121951009</v>
      </c>
    </row>
    <row r="31" spans="1:9" ht="14.25" customHeight="1" thickBot="1" x14ac:dyDescent="0.35">
      <c r="A31" s="8">
        <v>62</v>
      </c>
      <c r="B31" s="130" t="s">
        <v>192</v>
      </c>
      <c r="C31" s="131" t="s">
        <v>107</v>
      </c>
      <c r="D31" s="8">
        <v>62</v>
      </c>
      <c r="E31" s="40" t="s">
        <v>106</v>
      </c>
      <c r="F31" s="40" t="s">
        <v>174</v>
      </c>
      <c r="G31" s="16">
        <v>60</v>
      </c>
      <c r="H31" s="45">
        <v>8.2299990243900112</v>
      </c>
      <c r="I31" s="45">
        <f t="shared" si="0"/>
        <v>68.229999024390011</v>
      </c>
    </row>
    <row r="32" spans="1:9" ht="14.25" customHeight="1" thickBot="1" x14ac:dyDescent="0.35">
      <c r="A32" s="8">
        <v>63</v>
      </c>
      <c r="B32" s="130" t="s">
        <v>193</v>
      </c>
      <c r="C32" s="131" t="s">
        <v>107</v>
      </c>
      <c r="D32" s="8">
        <v>63</v>
      </c>
      <c r="E32" s="40" t="s">
        <v>106</v>
      </c>
      <c r="F32" s="40" t="s">
        <v>174</v>
      </c>
      <c r="G32" s="16">
        <v>60</v>
      </c>
      <c r="H32" s="45">
        <v>18.704543237250025</v>
      </c>
      <c r="I32" s="45">
        <f t="shared" si="0"/>
        <v>78.704543237250022</v>
      </c>
    </row>
    <row r="33" spans="1:9" ht="14.25" customHeight="1" thickBot="1" x14ac:dyDescent="0.35">
      <c r="A33" s="8">
        <v>64</v>
      </c>
      <c r="B33" s="130" t="s">
        <v>188</v>
      </c>
      <c r="C33" s="131" t="s">
        <v>107</v>
      </c>
      <c r="D33" s="8">
        <v>64</v>
      </c>
      <c r="E33" s="40" t="s">
        <v>106</v>
      </c>
      <c r="F33" s="40" t="s">
        <v>174</v>
      </c>
      <c r="G33" s="16">
        <v>60</v>
      </c>
      <c r="H33" s="45">
        <v>57.261600000000008</v>
      </c>
      <c r="I33" s="45">
        <f t="shared" si="0"/>
        <v>117.26160000000002</v>
      </c>
    </row>
    <row r="34" spans="1:9" ht="14.25" customHeight="1" thickBot="1" x14ac:dyDescent="0.35">
      <c r="A34" s="8">
        <v>73</v>
      </c>
      <c r="B34" s="130" t="s">
        <v>189</v>
      </c>
      <c r="C34" s="131" t="s">
        <v>107</v>
      </c>
      <c r="D34" s="8">
        <v>73</v>
      </c>
      <c r="E34" s="40" t="s">
        <v>106</v>
      </c>
      <c r="F34" s="40" t="s">
        <v>174</v>
      </c>
      <c r="G34" s="16">
        <v>60</v>
      </c>
      <c r="H34" s="45">
        <v>14.46</v>
      </c>
      <c r="I34" s="45">
        <f t="shared" si="0"/>
        <v>74.460000000000008</v>
      </c>
    </row>
    <row r="35" spans="1:9" ht="14.25" customHeight="1" thickBot="1" x14ac:dyDescent="0.35">
      <c r="A35" s="8">
        <v>74</v>
      </c>
      <c r="B35" s="130" t="s">
        <v>190</v>
      </c>
      <c r="C35" s="131" t="s">
        <v>107</v>
      </c>
      <c r="D35" s="8">
        <v>74</v>
      </c>
      <c r="E35" s="40" t="s">
        <v>106</v>
      </c>
      <c r="F35" s="40" t="s">
        <v>174</v>
      </c>
      <c r="G35" s="16">
        <v>60</v>
      </c>
      <c r="H35" s="45">
        <v>6.3624000000000009</v>
      </c>
      <c r="I35" s="45">
        <f t="shared" si="0"/>
        <v>66.362400000000008</v>
      </c>
    </row>
    <row r="36" spans="1:9" ht="14.25" customHeight="1" thickBot="1" x14ac:dyDescent="0.35">
      <c r="A36" s="8">
        <v>75</v>
      </c>
      <c r="B36" s="130" t="s">
        <v>191</v>
      </c>
      <c r="C36" s="131" t="s">
        <v>107</v>
      </c>
      <c r="D36" s="8">
        <v>75</v>
      </c>
      <c r="E36" s="40" t="s">
        <v>106</v>
      </c>
      <c r="F36" s="40" t="s">
        <v>174</v>
      </c>
      <c r="G36" s="16">
        <v>60</v>
      </c>
      <c r="H36" s="45">
        <v>72.900000000000006</v>
      </c>
      <c r="I36" s="45">
        <f t="shared" si="0"/>
        <v>132.9</v>
      </c>
    </row>
    <row r="37" spans="1:9" ht="14.25" customHeight="1" thickBot="1" x14ac:dyDescent="0.35">
      <c r="A37" s="8">
        <v>84</v>
      </c>
      <c r="B37" s="130" t="s">
        <v>192</v>
      </c>
      <c r="C37" s="131" t="s">
        <v>107</v>
      </c>
      <c r="D37" s="8">
        <v>84</v>
      </c>
      <c r="E37" s="40" t="s">
        <v>106</v>
      </c>
      <c r="F37" s="40" t="s">
        <v>174</v>
      </c>
      <c r="G37" s="16">
        <v>60</v>
      </c>
      <c r="H37" s="45">
        <v>18.40909090909091</v>
      </c>
      <c r="I37" s="45">
        <f t="shared" si="0"/>
        <v>78.409090909090907</v>
      </c>
    </row>
    <row r="38" spans="1:9" ht="14.25" customHeight="1" thickBot="1" x14ac:dyDescent="0.35">
      <c r="A38" s="8">
        <v>85</v>
      </c>
      <c r="B38" s="130" t="s">
        <v>193</v>
      </c>
      <c r="C38" s="131" t="s">
        <v>107</v>
      </c>
      <c r="D38" s="8">
        <v>85</v>
      </c>
      <c r="E38" s="40" t="s">
        <v>106</v>
      </c>
      <c r="F38" s="40" t="s">
        <v>174</v>
      </c>
      <c r="G38" s="16">
        <v>60</v>
      </c>
      <c r="H38" s="45">
        <v>8.58</v>
      </c>
      <c r="I38" s="45">
        <f t="shared" si="0"/>
        <v>68.58</v>
      </c>
    </row>
    <row r="39" spans="1:9" ht="14.25" customHeight="1" thickBot="1" x14ac:dyDescent="0.35">
      <c r="A39" s="8">
        <v>86</v>
      </c>
      <c r="B39" s="130" t="s">
        <v>194</v>
      </c>
      <c r="C39" s="131" t="s">
        <v>107</v>
      </c>
      <c r="D39" s="8">
        <v>86</v>
      </c>
      <c r="E39" s="40" t="s">
        <v>106</v>
      </c>
      <c r="F39" s="40" t="s">
        <v>174</v>
      </c>
      <c r="G39" s="16">
        <v>60</v>
      </c>
      <c r="H39" s="45">
        <v>65.00181818181818</v>
      </c>
      <c r="I39" s="45">
        <f t="shared" si="0"/>
        <v>125.00181818181818</v>
      </c>
    </row>
    <row r="40" spans="1:9" ht="14.25" customHeight="1" thickBot="1" x14ac:dyDescent="0.35">
      <c r="A40" s="8">
        <v>87</v>
      </c>
      <c r="B40" s="130" t="s">
        <v>195</v>
      </c>
      <c r="C40" s="131" t="s">
        <v>107</v>
      </c>
      <c r="D40" s="8">
        <v>87</v>
      </c>
      <c r="E40" s="40" t="s">
        <v>106</v>
      </c>
      <c r="F40" s="40" t="s">
        <v>174</v>
      </c>
      <c r="G40" s="16">
        <v>60</v>
      </c>
      <c r="H40" s="45">
        <v>28.6008</v>
      </c>
      <c r="I40" s="45">
        <f t="shared" si="0"/>
        <v>88.600799999999992</v>
      </c>
    </row>
    <row r="41" spans="1:9" ht="14.25" customHeight="1" thickBot="1" x14ac:dyDescent="0.35">
      <c r="A41" s="8">
        <v>88</v>
      </c>
      <c r="B41" s="130" t="s">
        <v>196</v>
      </c>
      <c r="C41" s="131" t="s">
        <v>107</v>
      </c>
      <c r="D41" s="8">
        <v>88</v>
      </c>
      <c r="E41" s="40" t="s">
        <v>106</v>
      </c>
      <c r="F41" s="40" t="s">
        <v>174</v>
      </c>
      <c r="G41" s="16">
        <v>60</v>
      </c>
      <c r="H41" s="45">
        <v>28.6008</v>
      </c>
      <c r="I41" s="45">
        <f t="shared" si="0"/>
        <v>88.600799999999992</v>
      </c>
    </row>
    <row r="42" spans="1:9" ht="14.25" customHeight="1" thickBot="1" x14ac:dyDescent="0.35">
      <c r="A42" s="8">
        <v>89</v>
      </c>
      <c r="B42" s="130" t="s">
        <v>197</v>
      </c>
      <c r="C42" s="131" t="s">
        <v>107</v>
      </c>
      <c r="D42" s="8">
        <v>89</v>
      </c>
      <c r="E42" s="40" t="s">
        <v>106</v>
      </c>
      <c r="F42" s="40" t="s">
        <v>174</v>
      </c>
      <c r="G42" s="16">
        <v>60</v>
      </c>
      <c r="H42" s="45">
        <v>65.00181818181818</v>
      </c>
      <c r="I42" s="45">
        <f t="shared" si="0"/>
        <v>125.00181818181818</v>
      </c>
    </row>
    <row r="43" spans="1:9" ht="14.25" customHeight="1" thickBot="1" x14ac:dyDescent="0.35">
      <c r="A43" s="8">
        <v>90</v>
      </c>
      <c r="B43" s="130" t="s">
        <v>198</v>
      </c>
      <c r="C43" s="131" t="s">
        <v>105</v>
      </c>
      <c r="D43" s="8">
        <v>90</v>
      </c>
      <c r="E43" s="40" t="s">
        <v>106</v>
      </c>
      <c r="F43" s="40" t="s">
        <v>186</v>
      </c>
      <c r="G43" s="16">
        <v>180</v>
      </c>
      <c r="H43" s="45">
        <v>2.5433999999999997</v>
      </c>
      <c r="I43" s="45">
        <f t="shared" si="0"/>
        <v>182.54339999999999</v>
      </c>
    </row>
    <row r="44" spans="1:9" ht="14.25" customHeight="1" thickBot="1" x14ac:dyDescent="0.35">
      <c r="A44" s="8">
        <v>93</v>
      </c>
      <c r="B44" s="130" t="s">
        <v>199</v>
      </c>
      <c r="C44" s="131" t="s">
        <v>105</v>
      </c>
      <c r="D44" s="8">
        <v>93</v>
      </c>
      <c r="E44" s="40" t="s">
        <v>106</v>
      </c>
      <c r="F44" s="40" t="s">
        <v>186</v>
      </c>
      <c r="G44" s="16">
        <v>60</v>
      </c>
      <c r="H44" s="45">
        <v>0.19075500000000001</v>
      </c>
      <c r="I44" s="45">
        <f t="shared" si="0"/>
        <v>60.190755000000003</v>
      </c>
    </row>
    <row r="45" spans="1:9" ht="14.25" customHeight="1" thickBot="1" x14ac:dyDescent="0.35">
      <c r="A45" s="8">
        <v>94</v>
      </c>
      <c r="B45" s="130" t="s">
        <v>198</v>
      </c>
      <c r="C45" s="131" t="s">
        <v>105</v>
      </c>
      <c r="D45" s="8">
        <v>94</v>
      </c>
      <c r="E45" s="40" t="s">
        <v>106</v>
      </c>
      <c r="F45" s="40" t="s">
        <v>186</v>
      </c>
      <c r="G45" s="16">
        <v>60</v>
      </c>
      <c r="H45" s="45">
        <v>2.5433999999999997</v>
      </c>
      <c r="I45" s="45">
        <f t="shared" si="0"/>
        <v>62.543399999999998</v>
      </c>
    </row>
    <row r="46" spans="1:9" ht="14.25" customHeight="1" thickBot="1" x14ac:dyDescent="0.35">
      <c r="A46" s="8">
        <v>97</v>
      </c>
      <c r="B46" s="130" t="s">
        <v>199</v>
      </c>
      <c r="C46" s="131" t="s">
        <v>105</v>
      </c>
      <c r="D46" s="8">
        <v>97</v>
      </c>
      <c r="E46" s="40" t="s">
        <v>106</v>
      </c>
      <c r="F46" s="40" t="s">
        <v>186</v>
      </c>
      <c r="G46" s="16">
        <v>60</v>
      </c>
      <c r="H46" s="45">
        <v>0.19075500000000001</v>
      </c>
      <c r="I46" s="45">
        <f t="shared" si="0"/>
        <v>60.190755000000003</v>
      </c>
    </row>
    <row r="47" spans="1:9" ht="14.25" customHeight="1" thickBot="1" x14ac:dyDescent="0.35">
      <c r="A47" s="8">
        <v>98</v>
      </c>
      <c r="B47" s="15" t="s">
        <v>110</v>
      </c>
      <c r="C47" s="132" t="s">
        <v>98</v>
      </c>
      <c r="D47" s="8">
        <v>98</v>
      </c>
      <c r="E47" s="8"/>
      <c r="F47" s="8" t="s">
        <v>100</v>
      </c>
      <c r="G47" s="16">
        <v>0</v>
      </c>
      <c r="H47" s="16">
        <v>0</v>
      </c>
      <c r="I47" s="45">
        <f t="shared" si="0"/>
        <v>0</v>
      </c>
    </row>
    <row r="48" spans="1:9" ht="14.25" customHeight="1" thickBot="1" x14ac:dyDescent="0.35">
      <c r="H48" s="16" t="s">
        <v>27</v>
      </c>
      <c r="I48" s="16">
        <f>SUM(I12:I47)</f>
        <v>3680.7337420104236</v>
      </c>
    </row>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row r="1001" ht="15.75" customHeight="1" x14ac:dyDescent="0.3"/>
    <row r="1002" ht="15.75" customHeight="1" x14ac:dyDescent="0.3"/>
    <row r="1003" ht="15.75" customHeight="1" x14ac:dyDescent="0.3"/>
    <row r="1004" ht="15.75" customHeight="1" x14ac:dyDescent="0.3"/>
    <row r="1005" ht="15.75" customHeight="1" x14ac:dyDescent="0.3"/>
    <row r="1006" ht="15.75" customHeight="1" x14ac:dyDescent="0.3"/>
    <row r="1007" ht="15.75" customHeight="1" x14ac:dyDescent="0.3"/>
    <row r="1008" ht="15.75" customHeight="1" x14ac:dyDescent="0.3"/>
    <row r="1009" ht="15.75" customHeight="1" x14ac:dyDescent="0.3"/>
    <row r="1010" ht="15.75" customHeight="1" x14ac:dyDescent="0.3"/>
    <row r="1011" ht="15.75" customHeight="1" x14ac:dyDescent="0.3"/>
    <row r="1012" ht="15.75" customHeight="1" x14ac:dyDescent="0.3"/>
    <row r="1013" ht="15.75" customHeight="1" x14ac:dyDescent="0.3"/>
    <row r="1014" ht="15.75" customHeight="1" x14ac:dyDescent="0.3"/>
    <row r="1015" ht="15.75" customHeight="1" x14ac:dyDescent="0.3"/>
    <row r="1016" ht="15.75" customHeight="1" x14ac:dyDescent="0.3"/>
  </sheetData>
  <mergeCells count="25">
    <mergeCell ref="A9:I9"/>
    <mergeCell ref="A10:A11"/>
    <mergeCell ref="B10:B11"/>
    <mergeCell ref="C10:C11"/>
    <mergeCell ref="D10:E10"/>
    <mergeCell ref="F10:F11"/>
    <mergeCell ref="G10:G11"/>
    <mergeCell ref="H10:H11"/>
    <mergeCell ref="I10:I11"/>
    <mergeCell ref="B5:D5"/>
    <mergeCell ref="F5:I5"/>
    <mergeCell ref="A6:D6"/>
    <mergeCell ref="E6:E8"/>
    <mergeCell ref="G6:H6"/>
    <mergeCell ref="B7:D7"/>
    <mergeCell ref="G7:H7"/>
    <mergeCell ref="B8:D8"/>
    <mergeCell ref="G8:H8"/>
    <mergeCell ref="B4:D4"/>
    <mergeCell ref="F4:I4"/>
    <mergeCell ref="A1:I1"/>
    <mergeCell ref="K1:N1"/>
    <mergeCell ref="A2:I2"/>
    <mergeCell ref="B3:D3"/>
    <mergeCell ref="F3:I3"/>
  </mergeCells>
  <pageMargins left="0.7" right="0.7" top="0.75" bottom="0.75" header="0" footer="0"/>
  <pageSetup orientation="landscape"/>
  <drawing r:id="rId1"/>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35AF7-7635-44CC-B7E7-5D7EC1F2CF85}">
  <dimension ref="A1:AN962"/>
  <sheetViews>
    <sheetView topLeftCell="A24" zoomScale="99" zoomScaleNormal="133" workbookViewId="0">
      <selection activeCell="B44" sqref="B44"/>
    </sheetView>
  </sheetViews>
  <sheetFormatPr defaultColWidth="14.44140625" defaultRowHeight="15" customHeight="1" x14ac:dyDescent="0.3"/>
  <cols>
    <col min="1" max="1" width="15" style="127" customWidth="1"/>
    <col min="2" max="2" width="78.44140625" style="127" customWidth="1"/>
    <col min="3" max="3" width="10.21875" style="127" customWidth="1"/>
    <col min="4" max="4" width="9" style="127" customWidth="1"/>
    <col min="5" max="5" width="10.44140625" style="127" customWidth="1"/>
    <col min="6" max="7" width="12.5546875" style="127" customWidth="1"/>
    <col min="8" max="8" width="11.5546875" style="127" customWidth="1"/>
    <col min="9" max="9" width="9.44140625" style="127" customWidth="1"/>
    <col min="10" max="10" width="11.77734375" style="127" customWidth="1"/>
    <col min="11" max="11" width="14.44140625" style="127"/>
    <col min="12" max="12" width="12.21875" style="127" customWidth="1"/>
    <col min="13" max="13" width="18.21875" style="127" customWidth="1"/>
    <col min="14" max="14" width="18.5546875" style="127" customWidth="1"/>
    <col min="15" max="15" width="17.77734375" style="127" customWidth="1"/>
    <col min="16" max="16" width="15.21875" style="127" customWidth="1"/>
    <col min="17" max="17" width="18.44140625" style="127" customWidth="1"/>
    <col min="18" max="18" width="17.77734375" style="127" customWidth="1"/>
    <col min="19" max="19" width="18.44140625" style="127" customWidth="1"/>
    <col min="20" max="40" width="8.77734375" style="127" customWidth="1"/>
    <col min="41" max="16384" width="14.44140625" style="127"/>
  </cols>
  <sheetData>
    <row r="1" spans="1:38" ht="14.25" customHeight="1" x14ac:dyDescent="0.3">
      <c r="A1" s="263" t="s">
        <v>28</v>
      </c>
      <c r="B1" s="264"/>
      <c r="C1" s="264"/>
      <c r="D1" s="264"/>
      <c r="E1" s="264"/>
      <c r="F1" s="264"/>
      <c r="G1" s="264"/>
      <c r="H1" s="264"/>
      <c r="I1" s="264"/>
      <c r="J1" s="264"/>
      <c r="K1" s="264"/>
      <c r="L1" s="264"/>
      <c r="M1" s="264"/>
      <c r="N1" s="264"/>
      <c r="O1" s="264"/>
      <c r="P1" s="264"/>
      <c r="Q1" s="264"/>
      <c r="R1" s="265"/>
      <c r="T1" s="261" t="s">
        <v>29</v>
      </c>
      <c r="U1" s="262"/>
      <c r="V1" s="262"/>
      <c r="W1" s="262"/>
      <c r="X1" s="262"/>
      <c r="Y1" s="262"/>
      <c r="Z1" s="262"/>
      <c r="AA1" s="262"/>
      <c r="AB1" s="262"/>
      <c r="AC1" s="262"/>
      <c r="AE1" s="261" t="s">
        <v>30</v>
      </c>
      <c r="AF1" s="262"/>
      <c r="AG1" s="262"/>
      <c r="AH1" s="262"/>
      <c r="AI1" s="262"/>
      <c r="AJ1" s="262"/>
      <c r="AK1" s="262"/>
      <c r="AL1" s="262"/>
    </row>
    <row r="2" spans="1:38" ht="14.25" customHeight="1" x14ac:dyDescent="0.3">
      <c r="A2" s="266"/>
      <c r="B2" s="267"/>
      <c r="C2" s="267"/>
      <c r="D2" s="267"/>
      <c r="E2" s="267"/>
      <c r="F2" s="267"/>
      <c r="G2" s="267"/>
      <c r="H2" s="267"/>
      <c r="I2" s="267"/>
      <c r="J2" s="267"/>
      <c r="K2" s="267"/>
      <c r="L2" s="267"/>
      <c r="M2" s="267"/>
      <c r="N2" s="267"/>
      <c r="O2" s="267"/>
      <c r="P2" s="267"/>
      <c r="Q2" s="267"/>
      <c r="R2" s="268"/>
      <c r="T2" s="262"/>
      <c r="U2" s="262"/>
      <c r="V2" s="262"/>
      <c r="W2" s="262"/>
      <c r="X2" s="262"/>
      <c r="Y2" s="262"/>
      <c r="Z2" s="262"/>
      <c r="AA2" s="262"/>
      <c r="AB2" s="262"/>
      <c r="AC2" s="262"/>
      <c r="AE2" s="262"/>
      <c r="AF2" s="262"/>
      <c r="AG2" s="262"/>
      <c r="AH2" s="262"/>
      <c r="AI2" s="262"/>
      <c r="AJ2" s="262"/>
      <c r="AK2" s="262"/>
      <c r="AL2" s="262"/>
    </row>
    <row r="3" spans="1:38" ht="14.25" customHeight="1" x14ac:dyDescent="0.3"/>
    <row r="4" spans="1:38" ht="14.25" customHeight="1" x14ac:dyDescent="0.3"/>
    <row r="5" spans="1:38" ht="14.25" customHeight="1" x14ac:dyDescent="0.3">
      <c r="A5" s="269" t="s">
        <v>31</v>
      </c>
      <c r="B5" s="270"/>
    </row>
    <row r="6" spans="1:38" ht="14.25" customHeight="1" x14ac:dyDescent="0.3">
      <c r="A6" s="134" t="s">
        <v>15</v>
      </c>
      <c r="B6" s="134" t="s">
        <v>32</v>
      </c>
      <c r="C6" s="135" t="s">
        <v>33</v>
      </c>
      <c r="D6" s="135" t="s">
        <v>34</v>
      </c>
      <c r="E6" s="135" t="s">
        <v>35</v>
      </c>
      <c r="F6" s="135" t="s">
        <v>36</v>
      </c>
      <c r="G6" s="135" t="s">
        <v>37</v>
      </c>
      <c r="H6" s="135" t="s">
        <v>38</v>
      </c>
      <c r="I6" s="135" t="s">
        <v>39</v>
      </c>
      <c r="J6" s="135" t="s">
        <v>40</v>
      </c>
      <c r="K6" s="135" t="s">
        <v>41</v>
      </c>
      <c r="L6" s="135" t="s">
        <v>42</v>
      </c>
      <c r="M6" s="135" t="s">
        <v>43</v>
      </c>
      <c r="N6" s="135" t="s">
        <v>44</v>
      </c>
      <c r="O6" s="135" t="s">
        <v>45</v>
      </c>
      <c r="P6" s="135" t="s">
        <v>46</v>
      </c>
      <c r="Q6" s="135" t="s">
        <v>47</v>
      </c>
    </row>
    <row r="7" spans="1:38" ht="14.25" customHeight="1" x14ac:dyDescent="0.3">
      <c r="A7" s="151">
        <v>3</v>
      </c>
      <c r="B7" s="152" t="s">
        <v>173</v>
      </c>
      <c r="C7" s="150">
        <v>20</v>
      </c>
      <c r="D7" s="137">
        <v>5</v>
      </c>
      <c r="E7" s="137">
        <v>76.37</v>
      </c>
      <c r="F7" s="136">
        <v>200000</v>
      </c>
      <c r="G7" s="136">
        <f t="shared" ref="G7:G33" si="0">F7/(C7*3.14)</f>
        <v>3184.7133757961783</v>
      </c>
      <c r="H7" s="136">
        <v>250</v>
      </c>
      <c r="I7" s="136">
        <v>7.12</v>
      </c>
      <c r="J7" s="136">
        <f>SQRT(I7*(C7-I7))</f>
        <v>9.576304088739036</v>
      </c>
      <c r="K7" s="136">
        <f>((E7+J7)/H7)*9</f>
        <v>3.0940669471946056</v>
      </c>
      <c r="L7" s="136">
        <f t="shared" ref="L7:L33" si="1">K7*60</f>
        <v>185.64401683167634</v>
      </c>
      <c r="M7" s="136">
        <f t="shared" ref="M7:M33" si="2">I7*H7*D7</f>
        <v>8900</v>
      </c>
      <c r="N7" s="136">
        <f>R38</f>
        <v>274365.57430000004</v>
      </c>
      <c r="O7" s="136">
        <f>K7*M7</f>
        <v>27537.195830031989</v>
      </c>
      <c r="P7" s="136">
        <f t="shared" ref="P7:P33" si="3">((M7*K7)/N7)*100</f>
        <v>10.036680403614319</v>
      </c>
      <c r="Q7" s="136">
        <f t="shared" ref="Q7:Q33" si="4">N7-O7</f>
        <v>246828.37846996804</v>
      </c>
    </row>
    <row r="8" spans="1:38" ht="14.25" customHeight="1" x14ac:dyDescent="0.3">
      <c r="A8" s="151">
        <v>12</v>
      </c>
      <c r="B8" s="152" t="s">
        <v>175</v>
      </c>
      <c r="C8" s="150">
        <v>20</v>
      </c>
      <c r="D8" s="137">
        <v>2.5</v>
      </c>
      <c r="E8" s="137">
        <v>76.37</v>
      </c>
      <c r="F8" s="136">
        <v>200000</v>
      </c>
      <c r="G8" s="136">
        <f t="shared" si="0"/>
        <v>3184.7133757961783</v>
      </c>
      <c r="H8" s="136">
        <v>250</v>
      </c>
      <c r="I8" s="136">
        <v>7.12</v>
      </c>
      <c r="J8" s="136">
        <f>SQRT(I8*(C8-I8))</f>
        <v>9.576304088739036</v>
      </c>
      <c r="K8" s="136">
        <f>((E8+J8)/H8)</f>
        <v>0.34378521635495618</v>
      </c>
      <c r="L8" s="136">
        <f t="shared" si="1"/>
        <v>20.627112981297373</v>
      </c>
      <c r="M8" s="136">
        <f t="shared" si="2"/>
        <v>4450</v>
      </c>
      <c r="N8" s="136">
        <f t="shared" ref="N8:N33" si="5">Q7</f>
        <v>246828.37846996804</v>
      </c>
      <c r="O8" s="136">
        <f t="shared" ref="O8:O33" si="6">K8*M8</f>
        <v>1529.8442127795549</v>
      </c>
      <c r="P8" s="136">
        <f t="shared" si="3"/>
        <v>0.61980077909303011</v>
      </c>
      <c r="Q8" s="136">
        <f t="shared" si="4"/>
        <v>245298.5342571885</v>
      </c>
    </row>
    <row r="9" spans="1:38" ht="14.25" customHeight="1" x14ac:dyDescent="0.3">
      <c r="A9" s="151">
        <v>13</v>
      </c>
      <c r="B9" s="152" t="s">
        <v>176</v>
      </c>
      <c r="C9" s="150">
        <v>20</v>
      </c>
      <c r="D9" s="137">
        <v>1</v>
      </c>
      <c r="E9" s="137">
        <v>76.37</v>
      </c>
      <c r="F9" s="136">
        <v>250000</v>
      </c>
      <c r="G9" s="136">
        <f t="shared" si="0"/>
        <v>3980.8917197452229</v>
      </c>
      <c r="H9" s="136">
        <v>110</v>
      </c>
      <c r="I9" s="136">
        <v>7.12</v>
      </c>
      <c r="J9" s="136">
        <f>SQRT(I9*(C9-I9))</f>
        <v>9.576304088739036</v>
      </c>
      <c r="K9" s="136">
        <f>((E9+J9)/H9)</f>
        <v>0.78133003717035487</v>
      </c>
      <c r="L9" s="136">
        <f t="shared" si="1"/>
        <v>46.879802230221294</v>
      </c>
      <c r="M9" s="136">
        <f t="shared" si="2"/>
        <v>783.2</v>
      </c>
      <c r="N9" s="136">
        <f t="shared" si="5"/>
        <v>245298.5342571885</v>
      </c>
      <c r="O9" s="136">
        <f t="shared" si="6"/>
        <v>611.93768511182202</v>
      </c>
      <c r="P9" s="136">
        <f t="shared" si="3"/>
        <v>0.24946650699111919</v>
      </c>
      <c r="Q9" s="136">
        <f t="shared" si="4"/>
        <v>244686.59657207667</v>
      </c>
    </row>
    <row r="10" spans="1:38" ht="14.25" customHeight="1" x14ac:dyDescent="0.3">
      <c r="A10" s="151">
        <v>14</v>
      </c>
      <c r="B10" s="152" t="s">
        <v>177</v>
      </c>
      <c r="C10" s="150">
        <v>20</v>
      </c>
      <c r="D10" s="137">
        <v>5</v>
      </c>
      <c r="E10" s="137">
        <v>125.71</v>
      </c>
      <c r="F10" s="136">
        <v>200000</v>
      </c>
      <c r="G10" s="136">
        <f t="shared" si="0"/>
        <v>3184.7133757961783</v>
      </c>
      <c r="H10" s="136">
        <v>250</v>
      </c>
      <c r="I10" s="136">
        <v>20</v>
      </c>
      <c r="J10" s="136">
        <f>C10/2</f>
        <v>10</v>
      </c>
      <c r="K10" s="136">
        <f>((E10+J10)/H10)*2</f>
        <v>1.0856799999999998</v>
      </c>
      <c r="L10" s="136">
        <f t="shared" si="1"/>
        <v>65.140799999999984</v>
      </c>
      <c r="M10" s="136">
        <f t="shared" si="2"/>
        <v>25000</v>
      </c>
      <c r="N10" s="136">
        <f t="shared" si="5"/>
        <v>244686.59657207667</v>
      </c>
      <c r="O10" s="136">
        <f t="shared" si="6"/>
        <v>27141.999999999993</v>
      </c>
      <c r="P10" s="136">
        <f t="shared" si="3"/>
        <v>11.092556919849448</v>
      </c>
      <c r="Q10" s="136">
        <f t="shared" si="4"/>
        <v>217544.59657207667</v>
      </c>
    </row>
    <row r="11" spans="1:38" ht="14.25" customHeight="1" x14ac:dyDescent="0.3">
      <c r="A11" s="151">
        <v>16</v>
      </c>
      <c r="B11" s="152" t="s">
        <v>178</v>
      </c>
      <c r="C11" s="150">
        <v>20</v>
      </c>
      <c r="D11" s="137">
        <v>4</v>
      </c>
      <c r="E11" s="137">
        <v>125.71</v>
      </c>
      <c r="F11" s="136">
        <v>200000</v>
      </c>
      <c r="G11" s="136">
        <f t="shared" si="0"/>
        <v>3184.7133757961783</v>
      </c>
      <c r="H11" s="136">
        <v>250</v>
      </c>
      <c r="I11" s="136">
        <v>20</v>
      </c>
      <c r="J11" s="136">
        <f>C11/2</f>
        <v>10</v>
      </c>
      <c r="K11" s="136">
        <f>((E11+J11)/H11)</f>
        <v>0.54283999999999988</v>
      </c>
      <c r="L11" s="136">
        <f t="shared" si="1"/>
        <v>32.570399999999992</v>
      </c>
      <c r="M11" s="136">
        <f t="shared" si="2"/>
        <v>20000</v>
      </c>
      <c r="N11" s="136">
        <f t="shared" si="5"/>
        <v>217544.59657207667</v>
      </c>
      <c r="O11" s="136">
        <f t="shared" si="6"/>
        <v>10856.799999999997</v>
      </c>
      <c r="P11" s="136">
        <f t="shared" si="3"/>
        <v>4.990608900921579</v>
      </c>
      <c r="Q11" s="136">
        <f t="shared" si="4"/>
        <v>206687.79657207668</v>
      </c>
    </row>
    <row r="12" spans="1:38" ht="14.25" customHeight="1" x14ac:dyDescent="0.3">
      <c r="A12" s="151">
        <v>17</v>
      </c>
      <c r="B12" s="152" t="s">
        <v>179</v>
      </c>
      <c r="C12" s="150">
        <v>20</v>
      </c>
      <c r="D12" s="137">
        <v>5</v>
      </c>
      <c r="E12" s="137">
        <v>20</v>
      </c>
      <c r="F12" s="136">
        <v>250000</v>
      </c>
      <c r="G12" s="136">
        <f t="shared" si="0"/>
        <v>3980.8917197452229</v>
      </c>
      <c r="H12" s="136">
        <v>110</v>
      </c>
      <c r="I12" s="136">
        <v>1</v>
      </c>
      <c r="J12" s="136">
        <f>SQRT(I12*(C12-I12))</f>
        <v>4.358898943540674</v>
      </c>
      <c r="K12" s="136">
        <f>((E12+J12)/H12)*2</f>
        <v>0.44288907170073949</v>
      </c>
      <c r="L12" s="136">
        <f t="shared" si="1"/>
        <v>26.573344302044369</v>
      </c>
      <c r="M12" s="136">
        <f t="shared" si="2"/>
        <v>550</v>
      </c>
      <c r="N12" s="136">
        <f t="shared" si="5"/>
        <v>206687.79657207668</v>
      </c>
      <c r="O12" s="136">
        <f t="shared" si="6"/>
        <v>243.58898943540672</v>
      </c>
      <c r="P12" s="136">
        <f t="shared" si="3"/>
        <v>0.11785359052413225</v>
      </c>
      <c r="Q12" s="136">
        <f t="shared" si="4"/>
        <v>206444.20758264128</v>
      </c>
    </row>
    <row r="13" spans="1:38" ht="14.25" customHeight="1" x14ac:dyDescent="0.3">
      <c r="A13" s="151">
        <v>18</v>
      </c>
      <c r="B13" s="152" t="s">
        <v>180</v>
      </c>
      <c r="C13" s="150">
        <v>20</v>
      </c>
      <c r="D13" s="137">
        <v>4</v>
      </c>
      <c r="E13" s="137">
        <v>20</v>
      </c>
      <c r="F13" s="136">
        <v>200000</v>
      </c>
      <c r="G13" s="136">
        <f t="shared" si="0"/>
        <v>3184.7133757961783</v>
      </c>
      <c r="H13" s="136">
        <v>250</v>
      </c>
      <c r="I13" s="136">
        <v>4.8</v>
      </c>
      <c r="J13" s="136">
        <f>SQRT(I13*(C13-I13))</f>
        <v>8.541662601625049</v>
      </c>
      <c r="K13" s="136">
        <f>((E13+J13)/H13)</f>
        <v>0.11416665040650019</v>
      </c>
      <c r="L13" s="136">
        <f t="shared" si="1"/>
        <v>6.8499990243900113</v>
      </c>
      <c r="M13" s="136">
        <f t="shared" si="2"/>
        <v>4800</v>
      </c>
      <c r="N13" s="136">
        <f t="shared" si="5"/>
        <v>206444.20758264128</v>
      </c>
      <c r="O13" s="136">
        <f t="shared" si="6"/>
        <v>547.99992195120092</v>
      </c>
      <c r="P13" s="136">
        <f t="shared" si="3"/>
        <v>0.26544698365142172</v>
      </c>
      <c r="Q13" s="136">
        <f t="shared" si="4"/>
        <v>205896.20766069007</v>
      </c>
    </row>
    <row r="14" spans="1:38" ht="14.25" customHeight="1" x14ac:dyDescent="0.3">
      <c r="A14" s="151">
        <v>19</v>
      </c>
      <c r="B14" s="152" t="s">
        <v>181</v>
      </c>
      <c r="C14" s="150">
        <v>20</v>
      </c>
      <c r="D14" s="137">
        <v>5</v>
      </c>
      <c r="E14" s="137">
        <v>33.11</v>
      </c>
      <c r="F14" s="136">
        <v>200000</v>
      </c>
      <c r="G14" s="136">
        <f t="shared" si="0"/>
        <v>3184.7133757961783</v>
      </c>
      <c r="H14" s="136">
        <v>250</v>
      </c>
      <c r="I14" s="136">
        <v>4.8</v>
      </c>
      <c r="J14" s="136">
        <f>SQRT(I14*(C14-I14))</f>
        <v>8.541662601625049</v>
      </c>
      <c r="K14" s="136">
        <f>((E14+J14)/H14)*2</f>
        <v>0.33321330081300038</v>
      </c>
      <c r="L14" s="136">
        <f t="shared" si="1"/>
        <v>19.992798048780024</v>
      </c>
      <c r="M14" s="136">
        <f t="shared" si="2"/>
        <v>6000</v>
      </c>
      <c r="N14" s="136">
        <f t="shared" si="5"/>
        <v>205896.20766069007</v>
      </c>
      <c r="O14" s="136">
        <f t="shared" si="6"/>
        <v>1999.2798048780023</v>
      </c>
      <c r="P14" s="136">
        <f t="shared" si="3"/>
        <v>0.97101341865059865</v>
      </c>
      <c r="Q14" s="136">
        <f t="shared" si="4"/>
        <v>203896.92785581207</v>
      </c>
    </row>
    <row r="15" spans="1:38" ht="14.25" customHeight="1" x14ac:dyDescent="0.3">
      <c r="A15" s="151">
        <v>21</v>
      </c>
      <c r="B15" s="152" t="s">
        <v>182</v>
      </c>
      <c r="C15" s="150">
        <v>20</v>
      </c>
      <c r="D15" s="137">
        <v>4</v>
      </c>
      <c r="E15" s="137">
        <v>33.11</v>
      </c>
      <c r="F15" s="136">
        <v>250000</v>
      </c>
      <c r="G15" s="136">
        <f t="shared" si="0"/>
        <v>3980.8917197452229</v>
      </c>
      <c r="H15" s="136">
        <v>110</v>
      </c>
      <c r="I15" s="136">
        <v>4.8</v>
      </c>
      <c r="J15" s="136">
        <f>SQRT(I15*(C15-I15))</f>
        <v>8.541662601625049</v>
      </c>
      <c r="K15" s="136">
        <f>((E15+J15)/H15)</f>
        <v>0.37865147819659134</v>
      </c>
      <c r="L15" s="136">
        <f t="shared" si="1"/>
        <v>22.719088691795481</v>
      </c>
      <c r="M15" s="136">
        <f t="shared" si="2"/>
        <v>2112</v>
      </c>
      <c r="N15" s="136">
        <f t="shared" si="5"/>
        <v>203896.92785581207</v>
      </c>
      <c r="O15" s="136">
        <f t="shared" si="6"/>
        <v>799.71192195120091</v>
      </c>
      <c r="P15" s="136">
        <f t="shared" si="3"/>
        <v>0.39221381624578766</v>
      </c>
      <c r="Q15" s="136">
        <f t="shared" si="4"/>
        <v>203097.21593386086</v>
      </c>
    </row>
    <row r="16" spans="1:38" ht="14.25" customHeight="1" x14ac:dyDescent="0.3">
      <c r="A16" s="151">
        <v>22</v>
      </c>
      <c r="B16" s="152" t="s">
        <v>183</v>
      </c>
      <c r="C16" s="150">
        <v>20</v>
      </c>
      <c r="D16" s="137">
        <v>5</v>
      </c>
      <c r="E16" s="137">
        <v>25.16</v>
      </c>
      <c r="F16" s="136">
        <v>200000</v>
      </c>
      <c r="G16" s="136">
        <f t="shared" si="0"/>
        <v>3184.7133757961783</v>
      </c>
      <c r="H16" s="136">
        <v>250</v>
      </c>
      <c r="I16" s="136">
        <v>20</v>
      </c>
      <c r="J16" s="136">
        <f>C16/2</f>
        <v>10</v>
      </c>
      <c r="K16" s="136">
        <f>((E16+J16)/H16)*2</f>
        <v>0.28127999999999997</v>
      </c>
      <c r="L16" s="136">
        <f t="shared" si="1"/>
        <v>16.876799999999999</v>
      </c>
      <c r="M16" s="136">
        <f t="shared" si="2"/>
        <v>25000</v>
      </c>
      <c r="N16" s="136">
        <f t="shared" si="5"/>
        <v>203097.21593386086</v>
      </c>
      <c r="O16" s="136">
        <f t="shared" si="6"/>
        <v>7031.9999999999991</v>
      </c>
      <c r="P16" s="136">
        <f t="shared" si="3"/>
        <v>3.4623812875357132</v>
      </c>
      <c r="Q16" s="136">
        <f t="shared" si="4"/>
        <v>196065.21593386086</v>
      </c>
    </row>
    <row r="17" spans="1:40" ht="14.25" customHeight="1" x14ac:dyDescent="0.3">
      <c r="A17" s="151">
        <v>24</v>
      </c>
      <c r="B17" s="152" t="s">
        <v>184</v>
      </c>
      <c r="C17" s="150">
        <v>20</v>
      </c>
      <c r="D17" s="137">
        <v>4</v>
      </c>
      <c r="E17" s="137">
        <v>25.16</v>
      </c>
      <c r="F17" s="136">
        <v>250000</v>
      </c>
      <c r="G17" s="136">
        <f t="shared" si="0"/>
        <v>3980.8917197452229</v>
      </c>
      <c r="H17" s="136">
        <v>110</v>
      </c>
      <c r="I17" s="136">
        <v>4.8</v>
      </c>
      <c r="J17" s="136">
        <f>SQRT(I17*(C17-I17))</f>
        <v>8.541662601625049</v>
      </c>
      <c r="K17" s="136">
        <f>((E17+J17)/H17)</f>
        <v>0.30637875092386407</v>
      </c>
      <c r="L17" s="136">
        <f t="shared" si="1"/>
        <v>18.382725055431845</v>
      </c>
      <c r="M17" s="136">
        <f t="shared" si="2"/>
        <v>2112</v>
      </c>
      <c r="N17" s="136">
        <f t="shared" si="5"/>
        <v>196065.21593386086</v>
      </c>
      <c r="O17" s="136">
        <f t="shared" si="6"/>
        <v>647.07192195120092</v>
      </c>
      <c r="P17" s="136">
        <f t="shared" si="3"/>
        <v>0.33002892372784737</v>
      </c>
      <c r="Q17" s="136">
        <f t="shared" si="4"/>
        <v>195418.14401190967</v>
      </c>
    </row>
    <row r="18" spans="1:40" ht="14.25" customHeight="1" x14ac:dyDescent="0.3">
      <c r="A18" s="151">
        <v>42</v>
      </c>
      <c r="B18" s="152" t="s">
        <v>188</v>
      </c>
      <c r="C18" s="150">
        <v>20</v>
      </c>
      <c r="D18" s="137">
        <v>5</v>
      </c>
      <c r="E18" s="137">
        <v>18.510000000000002</v>
      </c>
      <c r="F18" s="136">
        <v>200000</v>
      </c>
      <c r="G18" s="136">
        <f t="shared" si="0"/>
        <v>3184.7133757961783</v>
      </c>
      <c r="H18" s="136">
        <v>250</v>
      </c>
      <c r="I18" s="136">
        <v>20</v>
      </c>
      <c r="J18" s="136">
        <f>C18/2</f>
        <v>10</v>
      </c>
      <c r="K18" s="136">
        <f>((E18+J18)/H18)*9</f>
        <v>1.0263599999999999</v>
      </c>
      <c r="L18" s="136">
        <f t="shared" si="1"/>
        <v>61.581599999999995</v>
      </c>
      <c r="M18" s="136">
        <f t="shared" si="2"/>
        <v>25000</v>
      </c>
      <c r="N18" s="136">
        <f t="shared" si="5"/>
        <v>195418.14401190967</v>
      </c>
      <c r="O18" s="136">
        <f t="shared" si="6"/>
        <v>25659</v>
      </c>
      <c r="P18" s="136">
        <f t="shared" si="3"/>
        <v>13.130305852478175</v>
      </c>
      <c r="Q18" s="136">
        <f t="shared" si="4"/>
        <v>169759.14401190967</v>
      </c>
    </row>
    <row r="19" spans="1:40" ht="14.25" customHeight="1" x14ac:dyDescent="0.3">
      <c r="A19" s="151">
        <v>51</v>
      </c>
      <c r="B19" s="152" t="s">
        <v>189</v>
      </c>
      <c r="C19" s="150">
        <v>20</v>
      </c>
      <c r="D19" s="137">
        <v>2.5</v>
      </c>
      <c r="E19" s="137">
        <v>17.510000000000002</v>
      </c>
      <c r="F19" s="136">
        <v>200000</v>
      </c>
      <c r="G19" s="136">
        <f t="shared" si="0"/>
        <v>3184.7133757961783</v>
      </c>
      <c r="H19" s="136">
        <v>250</v>
      </c>
      <c r="I19" s="136">
        <v>20</v>
      </c>
      <c r="J19" s="136">
        <f>C19/2</f>
        <v>10</v>
      </c>
      <c r="K19" s="136">
        <f>((E19+J19)/H19)</f>
        <v>0.11004000000000001</v>
      </c>
      <c r="L19" s="136">
        <f t="shared" si="1"/>
        <v>6.6024000000000012</v>
      </c>
      <c r="M19" s="136">
        <f t="shared" si="2"/>
        <v>12500</v>
      </c>
      <c r="N19" s="136">
        <f t="shared" si="5"/>
        <v>169759.14401190967</v>
      </c>
      <c r="O19" s="136">
        <f t="shared" si="6"/>
        <v>1375.5000000000002</v>
      </c>
      <c r="P19" s="136">
        <f t="shared" si="3"/>
        <v>0.81026563134855356</v>
      </c>
      <c r="Q19" s="136">
        <f t="shared" si="4"/>
        <v>168383.64401190967</v>
      </c>
    </row>
    <row r="20" spans="1:40" ht="14.25" customHeight="1" x14ac:dyDescent="0.3">
      <c r="A20" s="151">
        <v>52</v>
      </c>
      <c r="B20" s="152" t="s">
        <v>190</v>
      </c>
      <c r="C20" s="150">
        <v>20</v>
      </c>
      <c r="D20" s="137">
        <v>1</v>
      </c>
      <c r="E20" s="137">
        <v>18.510000000000002</v>
      </c>
      <c r="F20" s="136">
        <v>250000</v>
      </c>
      <c r="G20" s="136">
        <f t="shared" si="0"/>
        <v>3980.8917197452229</v>
      </c>
      <c r="H20" s="136">
        <v>110</v>
      </c>
      <c r="I20" s="136">
        <v>20</v>
      </c>
      <c r="J20" s="136">
        <f>C20/2</f>
        <v>10</v>
      </c>
      <c r="K20" s="136">
        <f>((E20+J20)/H20)</f>
        <v>0.25918181818181818</v>
      </c>
      <c r="L20" s="136">
        <f t="shared" si="1"/>
        <v>15.550909090909091</v>
      </c>
      <c r="M20" s="136">
        <f t="shared" si="2"/>
        <v>2200</v>
      </c>
      <c r="N20" s="136">
        <f t="shared" si="5"/>
        <v>168383.64401190967</v>
      </c>
      <c r="O20" s="136">
        <f t="shared" si="6"/>
        <v>570.20000000000005</v>
      </c>
      <c r="P20" s="136">
        <f t="shared" si="3"/>
        <v>0.33863146468054234</v>
      </c>
      <c r="Q20" s="136">
        <f t="shared" si="4"/>
        <v>167813.44401190965</v>
      </c>
    </row>
    <row r="21" spans="1:40" ht="14.25" customHeight="1" x14ac:dyDescent="0.3">
      <c r="A21" s="151">
        <v>53</v>
      </c>
      <c r="B21" s="152" t="s">
        <v>191</v>
      </c>
      <c r="C21" s="150">
        <v>20</v>
      </c>
      <c r="D21" s="137">
        <v>5</v>
      </c>
      <c r="E21" s="137">
        <v>25.75</v>
      </c>
      <c r="F21" s="136">
        <v>200000</v>
      </c>
      <c r="G21" s="136">
        <f t="shared" si="0"/>
        <v>3184.7133757961783</v>
      </c>
      <c r="H21" s="136">
        <v>250</v>
      </c>
      <c r="I21" s="136">
        <v>4.8</v>
      </c>
      <c r="J21" s="136">
        <f t="shared" ref="J21:J33" si="7">SQRT(I21*(C21-I21))</f>
        <v>8.541662601625049</v>
      </c>
      <c r="K21" s="136">
        <f>((E21+J21)/H21)*9</f>
        <v>1.2344998536585017</v>
      </c>
      <c r="L21" s="136">
        <f t="shared" si="1"/>
        <v>74.069991219510101</v>
      </c>
      <c r="M21" s="136">
        <f t="shared" si="2"/>
        <v>6000</v>
      </c>
      <c r="N21" s="136">
        <f t="shared" si="5"/>
        <v>167813.44401190965</v>
      </c>
      <c r="O21" s="136">
        <f t="shared" si="6"/>
        <v>7406.9991219510102</v>
      </c>
      <c r="P21" s="136">
        <f t="shared" si="3"/>
        <v>4.4138293958291799</v>
      </c>
      <c r="Q21" s="136">
        <f t="shared" si="4"/>
        <v>160406.44488995866</v>
      </c>
    </row>
    <row r="22" spans="1:40" ht="14.25" customHeight="1" x14ac:dyDescent="0.3">
      <c r="A22" s="151">
        <v>62</v>
      </c>
      <c r="B22" s="152" t="s">
        <v>192</v>
      </c>
      <c r="C22" s="150">
        <v>20</v>
      </c>
      <c r="D22" s="137">
        <v>2.5</v>
      </c>
      <c r="E22" s="137">
        <v>25.75</v>
      </c>
      <c r="F22" s="136">
        <v>200000</v>
      </c>
      <c r="G22" s="136">
        <f t="shared" si="0"/>
        <v>3184.7133757961783</v>
      </c>
      <c r="H22" s="136">
        <v>250</v>
      </c>
      <c r="I22" s="136">
        <v>4.8</v>
      </c>
      <c r="J22" s="136">
        <f t="shared" si="7"/>
        <v>8.541662601625049</v>
      </c>
      <c r="K22" s="136">
        <f>((E22+J22)/H22)</f>
        <v>0.1371666504065002</v>
      </c>
      <c r="L22" s="136">
        <f t="shared" si="1"/>
        <v>8.2299990243900112</v>
      </c>
      <c r="M22" s="136">
        <f t="shared" si="2"/>
        <v>3000</v>
      </c>
      <c r="N22" s="136">
        <f t="shared" si="5"/>
        <v>160406.44488995866</v>
      </c>
      <c r="O22" s="136">
        <f t="shared" si="6"/>
        <v>411.49995121950059</v>
      </c>
      <c r="P22" s="136">
        <f t="shared" si="3"/>
        <v>0.2565357966145288</v>
      </c>
      <c r="Q22" s="136">
        <f t="shared" si="4"/>
        <v>159994.94493873915</v>
      </c>
    </row>
    <row r="23" spans="1:40" ht="14.25" customHeight="1" x14ac:dyDescent="0.3">
      <c r="A23" s="151">
        <v>63</v>
      </c>
      <c r="B23" s="152" t="s">
        <v>193</v>
      </c>
      <c r="C23" s="150">
        <v>20</v>
      </c>
      <c r="D23" s="137">
        <v>1</v>
      </c>
      <c r="E23" s="137">
        <v>25.75</v>
      </c>
      <c r="F23" s="136">
        <v>250000</v>
      </c>
      <c r="G23" s="136">
        <f t="shared" si="0"/>
        <v>3980.8917197452229</v>
      </c>
      <c r="H23" s="136">
        <v>110</v>
      </c>
      <c r="I23" s="136">
        <v>4.8</v>
      </c>
      <c r="J23" s="136">
        <f t="shared" si="7"/>
        <v>8.541662601625049</v>
      </c>
      <c r="K23" s="136">
        <f>((E23+J23)/H23)</f>
        <v>0.31174238728750042</v>
      </c>
      <c r="L23" s="136">
        <f t="shared" si="1"/>
        <v>18.704543237250025</v>
      </c>
      <c r="M23" s="136">
        <f t="shared" si="2"/>
        <v>528</v>
      </c>
      <c r="N23" s="136">
        <f t="shared" si="5"/>
        <v>159994.94493873915</v>
      </c>
      <c r="O23" s="136">
        <f t="shared" si="6"/>
        <v>164.59998048780022</v>
      </c>
      <c r="P23" s="136">
        <f t="shared" si="3"/>
        <v>0.10287823815360185</v>
      </c>
      <c r="Q23" s="136">
        <f t="shared" si="4"/>
        <v>159830.34495825134</v>
      </c>
    </row>
    <row r="24" spans="1:40" ht="14.25" customHeight="1" x14ac:dyDescent="0.3">
      <c r="A24" s="151">
        <v>64</v>
      </c>
      <c r="B24" s="152" t="s">
        <v>188</v>
      </c>
      <c r="C24" s="150">
        <v>20</v>
      </c>
      <c r="D24" s="137">
        <v>5</v>
      </c>
      <c r="E24" s="137">
        <v>18.510000000000002</v>
      </c>
      <c r="F24" s="136">
        <v>200000</v>
      </c>
      <c r="G24" s="136">
        <f t="shared" si="0"/>
        <v>3184.7133757961783</v>
      </c>
      <c r="H24" s="136">
        <v>250</v>
      </c>
      <c r="I24" s="136">
        <v>4</v>
      </c>
      <c r="J24" s="136">
        <f t="shared" si="7"/>
        <v>8</v>
      </c>
      <c r="K24" s="136">
        <f>((E24+J24)/H24)*9</f>
        <v>0.9543600000000001</v>
      </c>
      <c r="L24" s="136">
        <f t="shared" si="1"/>
        <v>57.261600000000008</v>
      </c>
      <c r="M24" s="136">
        <f t="shared" si="2"/>
        <v>5000</v>
      </c>
      <c r="N24" s="136">
        <f t="shared" si="5"/>
        <v>159830.34495825134</v>
      </c>
      <c r="O24" s="136">
        <f t="shared" si="6"/>
        <v>4771.8</v>
      </c>
      <c r="P24" s="136">
        <f t="shared" si="3"/>
        <v>2.9855407002008434</v>
      </c>
      <c r="Q24" s="136">
        <f t="shared" si="4"/>
        <v>155058.54495825135</v>
      </c>
    </row>
    <row r="25" spans="1:40" ht="14.25" customHeight="1" x14ac:dyDescent="0.3">
      <c r="A25" s="151">
        <v>73</v>
      </c>
      <c r="B25" s="152" t="s">
        <v>189</v>
      </c>
      <c r="C25" s="150">
        <v>20</v>
      </c>
      <c r="D25" s="137">
        <v>2.5</v>
      </c>
      <c r="E25" s="137">
        <v>18.510000000000002</v>
      </c>
      <c r="F25" s="136">
        <v>250000</v>
      </c>
      <c r="G25" s="136">
        <f t="shared" si="0"/>
        <v>3980.8917197452229</v>
      </c>
      <c r="H25" s="136">
        <v>110</v>
      </c>
      <c r="I25" s="136">
        <v>4</v>
      </c>
      <c r="J25" s="136">
        <f t="shared" si="7"/>
        <v>8</v>
      </c>
      <c r="K25" s="136">
        <f>((E25+J25)/H25)</f>
        <v>0.24100000000000002</v>
      </c>
      <c r="L25" s="136">
        <f t="shared" si="1"/>
        <v>14.46</v>
      </c>
      <c r="M25" s="136">
        <f t="shared" si="2"/>
        <v>1100</v>
      </c>
      <c r="N25" s="136">
        <f t="shared" si="5"/>
        <v>155058.54495825135</v>
      </c>
      <c r="O25" s="136">
        <f t="shared" si="6"/>
        <v>265.10000000000002</v>
      </c>
      <c r="P25" s="136">
        <f t="shared" si="3"/>
        <v>0.1709676819625624</v>
      </c>
      <c r="Q25" s="136">
        <f t="shared" si="4"/>
        <v>154793.44495825135</v>
      </c>
      <c r="T25" s="261" t="s">
        <v>31</v>
      </c>
      <c r="U25" s="262"/>
      <c r="V25" s="262"/>
      <c r="W25" s="262"/>
      <c r="X25" s="262"/>
      <c r="Y25" s="262"/>
      <c r="Z25" s="262"/>
      <c r="AA25" s="262"/>
      <c r="AB25" s="262"/>
      <c r="AC25" s="262"/>
      <c r="AE25" s="261" t="s">
        <v>64</v>
      </c>
      <c r="AF25" s="262"/>
      <c r="AG25" s="262"/>
      <c r="AH25" s="262"/>
      <c r="AI25" s="262"/>
      <c r="AJ25" s="262"/>
      <c r="AK25" s="262"/>
      <c r="AL25" s="262"/>
      <c r="AM25" s="262"/>
      <c r="AN25" s="262"/>
    </row>
    <row r="26" spans="1:40" ht="14.25" customHeight="1" x14ac:dyDescent="0.3">
      <c r="A26" s="151">
        <v>74</v>
      </c>
      <c r="B26" s="152" t="s">
        <v>190</v>
      </c>
      <c r="C26" s="150">
        <v>20</v>
      </c>
      <c r="D26" s="137">
        <v>1</v>
      </c>
      <c r="E26" s="137">
        <v>18.510000000000002</v>
      </c>
      <c r="F26" s="136">
        <v>200000</v>
      </c>
      <c r="G26" s="136">
        <f t="shared" si="0"/>
        <v>3184.7133757961783</v>
      </c>
      <c r="H26" s="136">
        <v>250</v>
      </c>
      <c r="I26" s="136">
        <v>4</v>
      </c>
      <c r="J26" s="136">
        <f t="shared" si="7"/>
        <v>8</v>
      </c>
      <c r="K26" s="136">
        <f>((E26+J26)/H26)</f>
        <v>0.10604000000000001</v>
      </c>
      <c r="L26" s="136">
        <f t="shared" si="1"/>
        <v>6.3624000000000009</v>
      </c>
      <c r="M26" s="136">
        <f t="shared" si="2"/>
        <v>1000</v>
      </c>
      <c r="N26" s="136">
        <f t="shared" si="5"/>
        <v>154793.44495825135</v>
      </c>
      <c r="O26" s="136">
        <f t="shared" si="6"/>
        <v>106.04</v>
      </c>
      <c r="P26" s="136">
        <f t="shared" si="3"/>
        <v>6.850419281552883E-2</v>
      </c>
      <c r="Q26" s="136">
        <f t="shared" si="4"/>
        <v>154687.40495825134</v>
      </c>
      <c r="T26" s="262"/>
      <c r="U26" s="262"/>
      <c r="V26" s="262"/>
      <c r="W26" s="262"/>
      <c r="X26" s="262"/>
      <c r="Y26" s="262"/>
      <c r="Z26" s="262"/>
      <c r="AA26" s="262"/>
      <c r="AB26" s="262"/>
      <c r="AC26" s="262"/>
      <c r="AE26" s="262"/>
      <c r="AF26" s="262"/>
      <c r="AG26" s="262"/>
      <c r="AH26" s="262"/>
      <c r="AI26" s="262"/>
      <c r="AJ26" s="262"/>
      <c r="AK26" s="262"/>
      <c r="AL26" s="262"/>
      <c r="AM26" s="262"/>
      <c r="AN26" s="262"/>
    </row>
    <row r="27" spans="1:40" ht="14.25" customHeight="1" x14ac:dyDescent="0.3">
      <c r="A27" s="151">
        <v>75</v>
      </c>
      <c r="B27" s="152" t="s">
        <v>191</v>
      </c>
      <c r="C27" s="150">
        <v>20</v>
      </c>
      <c r="D27" s="137">
        <v>5</v>
      </c>
      <c r="E27" s="137">
        <v>25.75</v>
      </c>
      <c r="F27" s="136">
        <v>200000</v>
      </c>
      <c r="G27" s="136">
        <f t="shared" si="0"/>
        <v>3184.7133757961783</v>
      </c>
      <c r="H27" s="136">
        <v>250</v>
      </c>
      <c r="I27" s="136">
        <v>4</v>
      </c>
      <c r="J27" s="136">
        <f t="shared" si="7"/>
        <v>8</v>
      </c>
      <c r="K27" s="136">
        <f>((E27+J27)/H27)*9</f>
        <v>1.2150000000000001</v>
      </c>
      <c r="L27" s="136">
        <f t="shared" si="1"/>
        <v>72.900000000000006</v>
      </c>
      <c r="M27" s="136">
        <f t="shared" si="2"/>
        <v>5000</v>
      </c>
      <c r="N27" s="136">
        <f t="shared" si="5"/>
        <v>154687.40495825134</v>
      </c>
      <c r="O27" s="136">
        <f t="shared" si="6"/>
        <v>6075</v>
      </c>
      <c r="P27" s="136">
        <f t="shared" si="3"/>
        <v>3.9272751402349688</v>
      </c>
      <c r="Q27" s="136">
        <f t="shared" si="4"/>
        <v>148612.40495825134</v>
      </c>
    </row>
    <row r="28" spans="1:40" ht="14.25" customHeight="1" x14ac:dyDescent="0.3">
      <c r="A28" s="151">
        <v>84</v>
      </c>
      <c r="B28" s="152" t="s">
        <v>192</v>
      </c>
      <c r="C28" s="150">
        <v>20</v>
      </c>
      <c r="D28" s="137">
        <v>2.5</v>
      </c>
      <c r="E28" s="137">
        <v>25.75</v>
      </c>
      <c r="F28" s="136">
        <v>250000</v>
      </c>
      <c r="G28" s="136">
        <f t="shared" si="0"/>
        <v>3980.8917197452229</v>
      </c>
      <c r="H28" s="136">
        <v>110</v>
      </c>
      <c r="I28" s="136">
        <v>4</v>
      </c>
      <c r="J28" s="136">
        <f t="shared" si="7"/>
        <v>8</v>
      </c>
      <c r="K28" s="136">
        <f t="shared" ref="K28:K33" si="8">((E28+J28)/H28)</f>
        <v>0.30681818181818182</v>
      </c>
      <c r="L28" s="136">
        <f t="shared" si="1"/>
        <v>18.40909090909091</v>
      </c>
      <c r="M28" s="136">
        <f t="shared" si="2"/>
        <v>1100</v>
      </c>
      <c r="N28" s="136">
        <f t="shared" si="5"/>
        <v>148612.40495825134</v>
      </c>
      <c r="O28" s="136">
        <f t="shared" si="6"/>
        <v>337.5</v>
      </c>
      <c r="P28" s="136">
        <f t="shared" si="3"/>
        <v>0.22710082653921898</v>
      </c>
      <c r="Q28" s="136">
        <f t="shared" si="4"/>
        <v>148274.90495825134</v>
      </c>
    </row>
    <row r="29" spans="1:40" ht="14.25" customHeight="1" x14ac:dyDescent="0.3">
      <c r="A29" s="151">
        <v>85</v>
      </c>
      <c r="B29" s="152" t="s">
        <v>193</v>
      </c>
      <c r="C29" s="150">
        <v>20</v>
      </c>
      <c r="D29" s="137">
        <v>1</v>
      </c>
      <c r="E29" s="137">
        <v>25.75</v>
      </c>
      <c r="F29" s="136">
        <v>200000</v>
      </c>
      <c r="G29" s="136">
        <f t="shared" si="0"/>
        <v>3184.7133757961783</v>
      </c>
      <c r="H29" s="136">
        <v>250</v>
      </c>
      <c r="I29" s="136">
        <v>10</v>
      </c>
      <c r="J29" s="136">
        <f t="shared" si="7"/>
        <v>10</v>
      </c>
      <c r="K29" s="136">
        <f t="shared" si="8"/>
        <v>0.14299999999999999</v>
      </c>
      <c r="L29" s="136">
        <f t="shared" si="1"/>
        <v>8.58</v>
      </c>
      <c r="M29" s="136">
        <f t="shared" si="2"/>
        <v>2500</v>
      </c>
      <c r="N29" s="136">
        <f t="shared" si="5"/>
        <v>148274.90495825134</v>
      </c>
      <c r="O29" s="136">
        <f t="shared" si="6"/>
        <v>357.49999999999994</v>
      </c>
      <c r="P29" s="136">
        <f t="shared" si="3"/>
        <v>0.24110620748713918</v>
      </c>
      <c r="Q29" s="136">
        <f t="shared" si="4"/>
        <v>147917.40495825134</v>
      </c>
    </row>
    <row r="30" spans="1:40" ht="14.25" customHeight="1" x14ac:dyDescent="0.3">
      <c r="A30" s="151">
        <v>86</v>
      </c>
      <c r="B30" s="152" t="s">
        <v>194</v>
      </c>
      <c r="C30" s="150">
        <v>20</v>
      </c>
      <c r="D30" s="137">
        <v>5</v>
      </c>
      <c r="E30" s="137">
        <v>109.17</v>
      </c>
      <c r="F30" s="136">
        <v>250000</v>
      </c>
      <c r="G30" s="136">
        <f t="shared" si="0"/>
        <v>3980.8917197452229</v>
      </c>
      <c r="H30" s="136">
        <v>110</v>
      </c>
      <c r="I30" s="136">
        <v>10</v>
      </c>
      <c r="J30" s="136">
        <f t="shared" si="7"/>
        <v>10</v>
      </c>
      <c r="K30" s="136">
        <f t="shared" si="8"/>
        <v>1.0833636363636363</v>
      </c>
      <c r="L30" s="136">
        <f t="shared" si="1"/>
        <v>65.00181818181818</v>
      </c>
      <c r="M30" s="136">
        <f t="shared" si="2"/>
        <v>5500</v>
      </c>
      <c r="N30" s="136">
        <f t="shared" si="5"/>
        <v>147917.40495825134</v>
      </c>
      <c r="O30" s="136">
        <f t="shared" si="6"/>
        <v>5958.5</v>
      </c>
      <c r="P30" s="136">
        <f t="shared" si="3"/>
        <v>4.0282615840115268</v>
      </c>
      <c r="Q30" s="136">
        <f t="shared" si="4"/>
        <v>141958.90495825134</v>
      </c>
    </row>
    <row r="31" spans="1:40" ht="14.25" customHeight="1" x14ac:dyDescent="0.3">
      <c r="A31" s="151">
        <v>87</v>
      </c>
      <c r="B31" s="152" t="s">
        <v>195</v>
      </c>
      <c r="C31" s="150">
        <v>20</v>
      </c>
      <c r="D31" s="137">
        <v>2.5</v>
      </c>
      <c r="E31" s="137">
        <v>109.17</v>
      </c>
      <c r="F31" s="136">
        <v>200000</v>
      </c>
      <c r="G31" s="136">
        <f t="shared" si="0"/>
        <v>3184.7133757961783</v>
      </c>
      <c r="H31" s="136">
        <v>250</v>
      </c>
      <c r="I31" s="136">
        <v>10</v>
      </c>
      <c r="J31" s="136">
        <f>SQRT(I31*(C31-I31))</f>
        <v>10</v>
      </c>
      <c r="K31" s="136">
        <f t="shared" si="8"/>
        <v>0.47667999999999999</v>
      </c>
      <c r="L31" s="136">
        <f t="shared" si="1"/>
        <v>28.6008</v>
      </c>
      <c r="M31" s="136">
        <f t="shared" si="2"/>
        <v>6250</v>
      </c>
      <c r="N31" s="136">
        <f t="shared" si="5"/>
        <v>141958.90495825134</v>
      </c>
      <c r="O31" s="136">
        <f t="shared" si="6"/>
        <v>2979.25</v>
      </c>
      <c r="P31" s="136">
        <f t="shared" si="3"/>
        <v>2.098670739166498</v>
      </c>
      <c r="Q31" s="136">
        <f t="shared" si="4"/>
        <v>138979.65495825134</v>
      </c>
    </row>
    <row r="32" spans="1:40" ht="14.25" customHeight="1" x14ac:dyDescent="0.3">
      <c r="A32" s="151">
        <v>88</v>
      </c>
      <c r="B32" s="152" t="s">
        <v>196</v>
      </c>
      <c r="C32" s="150">
        <v>20</v>
      </c>
      <c r="D32" s="137">
        <v>5</v>
      </c>
      <c r="E32" s="137">
        <v>109.17</v>
      </c>
      <c r="F32" s="136">
        <v>200000</v>
      </c>
      <c r="G32" s="136">
        <f t="shared" si="0"/>
        <v>3184.7133757961783</v>
      </c>
      <c r="H32" s="136">
        <v>250</v>
      </c>
      <c r="I32" s="136">
        <v>10</v>
      </c>
      <c r="J32" s="136">
        <f t="shared" si="7"/>
        <v>10</v>
      </c>
      <c r="K32" s="136">
        <f t="shared" si="8"/>
        <v>0.47667999999999999</v>
      </c>
      <c r="L32" s="136">
        <f t="shared" si="1"/>
        <v>28.6008</v>
      </c>
      <c r="M32" s="136">
        <f t="shared" si="2"/>
        <v>12500</v>
      </c>
      <c r="N32" s="136">
        <f t="shared" si="5"/>
        <v>138979.65495825134</v>
      </c>
      <c r="O32" s="136">
        <f t="shared" si="6"/>
        <v>5958.5</v>
      </c>
      <c r="P32" s="136">
        <f t="shared" si="3"/>
        <v>4.2873181702673655</v>
      </c>
      <c r="Q32" s="136">
        <f t="shared" si="4"/>
        <v>133021.15495825134</v>
      </c>
    </row>
    <row r="33" spans="1:32" ht="14.25" customHeight="1" x14ac:dyDescent="0.3">
      <c r="A33" s="151">
        <v>89</v>
      </c>
      <c r="B33" s="152" t="s">
        <v>197</v>
      </c>
      <c r="C33" s="150">
        <v>20</v>
      </c>
      <c r="D33" s="137">
        <v>2.5</v>
      </c>
      <c r="E33" s="137">
        <v>109.17</v>
      </c>
      <c r="F33" s="136">
        <v>250000</v>
      </c>
      <c r="G33" s="136">
        <f t="shared" si="0"/>
        <v>3980.8917197452229</v>
      </c>
      <c r="H33" s="136">
        <v>110</v>
      </c>
      <c r="I33" s="136">
        <v>10</v>
      </c>
      <c r="J33" s="136">
        <f t="shared" si="7"/>
        <v>10</v>
      </c>
      <c r="K33" s="136">
        <f t="shared" si="8"/>
        <v>1.0833636363636363</v>
      </c>
      <c r="L33" s="136">
        <f t="shared" si="1"/>
        <v>65.00181818181818</v>
      </c>
      <c r="M33" s="136">
        <f t="shared" si="2"/>
        <v>2750</v>
      </c>
      <c r="N33" s="136">
        <f t="shared" si="5"/>
        <v>133021.15495825134</v>
      </c>
      <c r="O33" s="136">
        <f t="shared" si="6"/>
        <v>2979.25</v>
      </c>
      <c r="P33" s="136">
        <f t="shared" si="3"/>
        <v>2.2396813506355717</v>
      </c>
      <c r="Q33" s="136">
        <f t="shared" si="4"/>
        <v>130041.90495825134</v>
      </c>
    </row>
    <row r="34" spans="1:32" ht="14.25" customHeight="1" x14ac:dyDescent="0.3">
      <c r="B34" s="138"/>
      <c r="C34" s="139"/>
      <c r="D34" s="139"/>
      <c r="E34" s="139"/>
      <c r="F34" s="139"/>
      <c r="G34" s="139"/>
      <c r="H34" s="139"/>
      <c r="I34" s="139"/>
      <c r="J34" s="139"/>
      <c r="K34" s="139"/>
      <c r="L34" s="139"/>
      <c r="M34" s="139"/>
      <c r="N34" s="139"/>
      <c r="O34" s="139"/>
      <c r="P34" s="139"/>
      <c r="Q34" s="139"/>
      <c r="R34" s="139"/>
    </row>
    <row r="35" spans="1:32" ht="14.25" customHeight="1" x14ac:dyDescent="0.3"/>
    <row r="36" spans="1:32" ht="14.25" customHeight="1" x14ac:dyDescent="0.3">
      <c r="A36" s="269" t="s">
        <v>30</v>
      </c>
      <c r="B36" s="270"/>
    </row>
    <row r="37" spans="1:32" ht="14.25" customHeight="1" x14ac:dyDescent="0.3">
      <c r="A37" s="134" t="s">
        <v>15</v>
      </c>
      <c r="B37" s="134" t="s">
        <v>32</v>
      </c>
      <c r="C37" s="135" t="s">
        <v>49</v>
      </c>
      <c r="D37" s="135" t="s">
        <v>50</v>
      </c>
      <c r="E37" s="135" t="s">
        <v>34</v>
      </c>
      <c r="F37" s="135" t="s">
        <v>51</v>
      </c>
      <c r="G37" s="135" t="s">
        <v>35</v>
      </c>
      <c r="H37" s="135" t="s">
        <v>52</v>
      </c>
      <c r="I37" s="135" t="s">
        <v>36</v>
      </c>
      <c r="J37" s="135" t="s">
        <v>37</v>
      </c>
      <c r="K37" s="135" t="s">
        <v>38</v>
      </c>
      <c r="L37" s="135" t="s">
        <v>41</v>
      </c>
      <c r="M37" s="135" t="s">
        <v>42</v>
      </c>
      <c r="N37" s="135" t="s">
        <v>53</v>
      </c>
      <c r="O37" s="135" t="s">
        <v>44</v>
      </c>
      <c r="P37" s="135" t="s">
        <v>45</v>
      </c>
      <c r="Q37" s="135" t="s">
        <v>54</v>
      </c>
      <c r="R37" s="135" t="s">
        <v>47</v>
      </c>
      <c r="U37" s="271" t="s">
        <v>81</v>
      </c>
      <c r="V37" s="262"/>
      <c r="W37" s="262"/>
      <c r="X37" s="262"/>
      <c r="Y37" s="262"/>
      <c r="Z37" s="262"/>
      <c r="AA37" s="262"/>
      <c r="AB37" s="262"/>
      <c r="AC37" s="262"/>
      <c r="AD37" s="262"/>
      <c r="AE37" s="262"/>
      <c r="AF37" s="262"/>
    </row>
    <row r="38" spans="1:32" ht="14.25" customHeight="1" x14ac:dyDescent="0.3">
      <c r="A38" s="151">
        <v>2</v>
      </c>
      <c r="B38" s="152" t="s">
        <v>171</v>
      </c>
      <c r="C38" s="141">
        <v>9</v>
      </c>
      <c r="D38" s="140">
        <v>51</v>
      </c>
      <c r="E38" s="140">
        <v>2</v>
      </c>
      <c r="F38" s="140">
        <v>2</v>
      </c>
      <c r="G38" s="140">
        <v>94.6</v>
      </c>
      <c r="H38" s="140">
        <v>0.4</v>
      </c>
      <c r="I38" s="140">
        <v>45000</v>
      </c>
      <c r="J38" s="140">
        <f>I38/3.14/C38</f>
        <v>1592.3566878980891</v>
      </c>
      <c r="K38" s="140">
        <f>J38*H38</f>
        <v>636.9426751592357</v>
      </c>
      <c r="L38" s="140">
        <f>G38/K38</f>
        <v>0.14852199999999999</v>
      </c>
      <c r="M38" s="140">
        <f>L38*60</f>
        <v>8.9113199999999999</v>
      </c>
      <c r="N38" s="140">
        <f>(E38*H38*I38)/60</f>
        <v>600</v>
      </c>
      <c r="O38" s="140">
        <f>PRODUCT('LRP Pan'!G6:H8)</f>
        <v>274454.68750000006</v>
      </c>
      <c r="P38" s="140">
        <f>N38*L38</f>
        <v>89.113199999999992</v>
      </c>
      <c r="Q38" s="140">
        <f>P38/O38</f>
        <v>3.2469184917819987E-4</v>
      </c>
      <c r="R38" s="140">
        <f>O38-P38</f>
        <v>274365.57430000004</v>
      </c>
      <c r="U38" s="262"/>
      <c r="V38" s="262"/>
      <c r="W38" s="262"/>
      <c r="X38" s="262"/>
      <c r="Y38" s="262"/>
      <c r="Z38" s="262"/>
      <c r="AA38" s="262"/>
      <c r="AB38" s="262"/>
      <c r="AC38" s="262"/>
      <c r="AD38" s="262"/>
      <c r="AE38" s="262"/>
      <c r="AF38" s="262"/>
    </row>
    <row r="39" spans="1:32" ht="14.25" customHeight="1" x14ac:dyDescent="0.3">
      <c r="E39" s="127" t="s">
        <v>55</v>
      </c>
    </row>
    <row r="40" spans="1:32" ht="14.25" customHeight="1" x14ac:dyDescent="0.3"/>
    <row r="41" spans="1:32" ht="14.25" customHeight="1" x14ac:dyDescent="0.3">
      <c r="A41" s="272" t="s">
        <v>56</v>
      </c>
      <c r="B41" s="270"/>
    </row>
    <row r="42" spans="1:32" ht="14.25" customHeight="1" x14ac:dyDescent="0.3">
      <c r="A42" s="134" t="s">
        <v>15</v>
      </c>
      <c r="B42" s="134" t="s">
        <v>32</v>
      </c>
      <c r="C42" s="135" t="s">
        <v>33</v>
      </c>
      <c r="D42" s="135" t="s">
        <v>34</v>
      </c>
      <c r="E42" s="135" t="s">
        <v>52</v>
      </c>
      <c r="F42" s="135" t="s">
        <v>57</v>
      </c>
      <c r="G42" s="135" t="s">
        <v>37</v>
      </c>
      <c r="H42" s="135" t="s">
        <v>38</v>
      </c>
      <c r="I42" s="135" t="s">
        <v>41</v>
      </c>
      <c r="J42" s="135" t="s">
        <v>42</v>
      </c>
      <c r="K42" s="135" t="s">
        <v>43</v>
      </c>
      <c r="L42" s="135" t="s">
        <v>44</v>
      </c>
      <c r="M42" s="135" t="s">
        <v>45</v>
      </c>
      <c r="N42" s="135" t="s">
        <v>54</v>
      </c>
      <c r="O42" s="135" t="s">
        <v>47</v>
      </c>
    </row>
    <row r="43" spans="1:32" ht="14.25" customHeight="1" x14ac:dyDescent="0.3">
      <c r="A43" s="151">
        <v>25</v>
      </c>
      <c r="B43" s="152" t="s">
        <v>185</v>
      </c>
      <c r="C43" s="141">
        <v>9</v>
      </c>
      <c r="D43" s="140">
        <v>2</v>
      </c>
      <c r="E43" s="140">
        <v>0.2</v>
      </c>
      <c r="F43" s="140">
        <v>20000</v>
      </c>
      <c r="G43" s="140">
        <f>F43/(3.14*C43)</f>
        <v>707.71408351026184</v>
      </c>
      <c r="H43" s="140">
        <f>E43*G43</f>
        <v>141.54281670205236</v>
      </c>
      <c r="I43" s="140">
        <f>D43/H43*16</f>
        <v>0.22608</v>
      </c>
      <c r="J43" s="140">
        <f>I43*60</f>
        <v>13.5648</v>
      </c>
      <c r="K43" s="140">
        <f>(3.14*C43*C43*H43)/4</f>
        <v>9000</v>
      </c>
      <c r="L43" s="140">
        <f>Q33</f>
        <v>130041.90495825134</v>
      </c>
      <c r="M43" s="140">
        <f>I43*K43</f>
        <v>2034.72</v>
      </c>
      <c r="N43" s="140">
        <f>((I43*K43)/L43)*100</f>
        <v>1.5646648675695936</v>
      </c>
      <c r="O43" s="140">
        <f>L43-M43</f>
        <v>128007.18495825134</v>
      </c>
    </row>
    <row r="44" spans="1:32" ht="14.25" customHeight="1" x14ac:dyDescent="0.3">
      <c r="A44" s="151">
        <v>41</v>
      </c>
      <c r="B44" s="152" t="s">
        <v>187</v>
      </c>
      <c r="C44" s="141">
        <v>9</v>
      </c>
      <c r="D44" s="140">
        <v>1.45</v>
      </c>
      <c r="E44" s="140">
        <v>0.2</v>
      </c>
      <c r="F44" s="140">
        <v>20000</v>
      </c>
      <c r="G44" s="140">
        <f>F44/(3.14*C44)</f>
        <v>707.71408351026184</v>
      </c>
      <c r="H44" s="140">
        <f>E44*G44</f>
        <v>141.54281670205236</v>
      </c>
      <c r="I44" s="140">
        <f>D44/H44</f>
        <v>1.024425E-2</v>
      </c>
      <c r="J44" s="140">
        <f>I44*60</f>
        <v>0.61465499999999995</v>
      </c>
      <c r="K44" s="140">
        <f>(3.14*C44*C44*H44)/4</f>
        <v>9000</v>
      </c>
      <c r="L44" s="140">
        <f>O43</f>
        <v>128007.18495825134</v>
      </c>
      <c r="M44" s="140">
        <f>I44*K44</f>
        <v>92.198250000000002</v>
      </c>
      <c r="N44" s="140">
        <f>((I44*K44)/L44)*100</f>
        <v>7.2025839823030111E-2</v>
      </c>
      <c r="O44" s="140">
        <f>L44-M44</f>
        <v>127914.98670825134</v>
      </c>
    </row>
    <row r="45" spans="1:32" ht="14.25" customHeight="1" x14ac:dyDescent="0.3">
      <c r="A45" s="151">
        <v>90</v>
      </c>
      <c r="B45" s="152" t="s">
        <v>198</v>
      </c>
      <c r="C45" s="141">
        <v>9</v>
      </c>
      <c r="D45" s="140">
        <v>2</v>
      </c>
      <c r="E45" s="140">
        <v>0.2</v>
      </c>
      <c r="F45" s="140">
        <v>20000</v>
      </c>
      <c r="G45" s="140">
        <f t="shared" ref="G45:G48" si="9">F45/(3.14*C45)</f>
        <v>707.71408351026184</v>
      </c>
      <c r="H45" s="140">
        <f t="shared" ref="H45:H48" si="10">E45*G45</f>
        <v>141.54281670205236</v>
      </c>
      <c r="I45" s="140">
        <f>D45/H45*3</f>
        <v>4.2389999999999997E-2</v>
      </c>
      <c r="J45" s="140">
        <f t="shared" ref="J45:J48" si="11">I45*60</f>
        <v>2.5433999999999997</v>
      </c>
      <c r="K45" s="140">
        <f t="shared" ref="K45:K48" si="12">(3.14*C45*C45*H45)/4</f>
        <v>9000</v>
      </c>
      <c r="L45" s="140">
        <f t="shared" ref="L45:L48" si="13">O44</f>
        <v>127914.98670825134</v>
      </c>
      <c r="M45" s="140">
        <f t="shared" ref="M45:M48" si="14">I45*K45</f>
        <v>381.51</v>
      </c>
      <c r="N45" s="140">
        <f t="shared" ref="N45:N48" si="15">((I45*K45)/L45)*100</f>
        <v>0.29825277695579838</v>
      </c>
      <c r="O45" s="140">
        <f t="shared" ref="O45:O48" si="16">L45-M45</f>
        <v>127533.47670825134</v>
      </c>
    </row>
    <row r="46" spans="1:32" ht="14.25" customHeight="1" x14ac:dyDescent="0.3">
      <c r="A46" s="151">
        <v>93</v>
      </c>
      <c r="B46" s="152" t="s">
        <v>199</v>
      </c>
      <c r="C46" s="141">
        <v>9</v>
      </c>
      <c r="D46" s="140">
        <v>0.45</v>
      </c>
      <c r="E46" s="140">
        <v>0.2</v>
      </c>
      <c r="F46" s="140">
        <v>20000</v>
      </c>
      <c r="G46" s="140">
        <f t="shared" si="9"/>
        <v>707.71408351026184</v>
      </c>
      <c r="H46" s="140">
        <f t="shared" si="10"/>
        <v>141.54281670205236</v>
      </c>
      <c r="I46" s="140">
        <f t="shared" ref="I46:I48" si="17">D46/H46</f>
        <v>3.1792500000000002E-3</v>
      </c>
      <c r="J46" s="140">
        <f t="shared" si="11"/>
        <v>0.19075500000000001</v>
      </c>
      <c r="K46" s="140">
        <f t="shared" si="12"/>
        <v>9000</v>
      </c>
      <c r="L46" s="140">
        <f t="shared" si="13"/>
        <v>127533.47670825134</v>
      </c>
      <c r="M46" s="140">
        <f t="shared" si="14"/>
        <v>28.613250000000001</v>
      </c>
      <c r="N46" s="140">
        <f t="shared" si="15"/>
        <v>2.2435873888591903E-2</v>
      </c>
      <c r="O46" s="140">
        <f t="shared" si="16"/>
        <v>127504.86345825135</v>
      </c>
    </row>
    <row r="47" spans="1:32" ht="14.25" customHeight="1" x14ac:dyDescent="0.3">
      <c r="A47" s="151">
        <v>94</v>
      </c>
      <c r="B47" s="152" t="s">
        <v>198</v>
      </c>
      <c r="C47" s="141">
        <v>9</v>
      </c>
      <c r="D47" s="140">
        <v>2</v>
      </c>
      <c r="E47" s="140">
        <v>0.2</v>
      </c>
      <c r="F47" s="140">
        <v>20000</v>
      </c>
      <c r="G47" s="140">
        <f t="shared" si="9"/>
        <v>707.71408351026184</v>
      </c>
      <c r="H47" s="140">
        <f t="shared" si="10"/>
        <v>141.54281670205236</v>
      </c>
      <c r="I47" s="140">
        <f>D47/H47*3</f>
        <v>4.2389999999999997E-2</v>
      </c>
      <c r="J47" s="140">
        <f t="shared" si="11"/>
        <v>2.5433999999999997</v>
      </c>
      <c r="K47" s="140">
        <f t="shared" si="12"/>
        <v>9000</v>
      </c>
      <c r="L47" s="140">
        <f t="shared" si="13"/>
        <v>127504.86345825135</v>
      </c>
      <c r="M47" s="140">
        <f t="shared" si="14"/>
        <v>381.51</v>
      </c>
      <c r="N47" s="140">
        <f t="shared" si="15"/>
        <v>0.2992121160342382</v>
      </c>
      <c r="O47" s="140">
        <f t="shared" si="16"/>
        <v>127123.35345825135</v>
      </c>
    </row>
    <row r="48" spans="1:32" ht="14.25" customHeight="1" x14ac:dyDescent="0.3">
      <c r="A48" s="151">
        <v>97</v>
      </c>
      <c r="B48" s="152" t="s">
        <v>199</v>
      </c>
      <c r="C48" s="141">
        <v>9</v>
      </c>
      <c r="D48" s="140">
        <v>0.45</v>
      </c>
      <c r="E48" s="140">
        <v>0.2</v>
      </c>
      <c r="F48" s="140">
        <v>20000</v>
      </c>
      <c r="G48" s="140">
        <f t="shared" si="9"/>
        <v>707.71408351026184</v>
      </c>
      <c r="H48" s="140">
        <f t="shared" si="10"/>
        <v>141.54281670205236</v>
      </c>
      <c r="I48" s="140">
        <f t="shared" si="17"/>
        <v>3.1792500000000002E-3</v>
      </c>
      <c r="J48" s="140">
        <f t="shared" si="11"/>
        <v>0.19075500000000001</v>
      </c>
      <c r="K48" s="140">
        <f t="shared" si="12"/>
        <v>9000</v>
      </c>
      <c r="L48" s="140">
        <f t="shared" si="13"/>
        <v>127123.35345825135</v>
      </c>
      <c r="M48" s="140">
        <f t="shared" si="14"/>
        <v>28.613250000000001</v>
      </c>
      <c r="N48" s="140">
        <f t="shared" si="15"/>
        <v>2.2508256132022897E-2</v>
      </c>
      <c r="O48" s="140">
        <f t="shared" si="16"/>
        <v>127094.74020825136</v>
      </c>
    </row>
    <row r="49" spans="1:15" ht="14.25" customHeight="1" x14ac:dyDescent="0.3">
      <c r="A49" s="142"/>
      <c r="B49" s="143"/>
      <c r="C49" s="144"/>
      <c r="D49" s="144"/>
      <c r="E49" s="144"/>
      <c r="F49" s="144"/>
      <c r="G49" s="144"/>
      <c r="H49" s="144"/>
      <c r="I49" s="144"/>
      <c r="J49" s="144"/>
      <c r="K49" s="144"/>
      <c r="L49" s="144"/>
      <c r="M49" s="144"/>
      <c r="N49" s="144"/>
      <c r="O49" s="144"/>
    </row>
    <row r="50" spans="1:15" ht="14.25" customHeight="1" x14ac:dyDescent="0.3">
      <c r="A50" s="142"/>
      <c r="B50" s="145"/>
      <c r="C50" s="144"/>
      <c r="D50" s="144"/>
      <c r="E50" s="144"/>
      <c r="F50" s="144"/>
      <c r="G50" s="144"/>
      <c r="H50" s="146"/>
      <c r="I50" s="144"/>
    </row>
    <row r="51" spans="1:15" ht="14.25" customHeight="1" x14ac:dyDescent="0.3"/>
    <row r="52" spans="1:15" ht="14.25" customHeight="1" x14ac:dyDescent="0.3">
      <c r="A52" s="261" t="s">
        <v>74</v>
      </c>
      <c r="B52" s="262"/>
      <c r="C52" s="262"/>
      <c r="D52" s="262"/>
      <c r="E52" s="262"/>
      <c r="F52" s="262"/>
      <c r="G52" s="262"/>
      <c r="H52" s="262"/>
      <c r="I52" s="262"/>
      <c r="J52" s="262"/>
      <c r="K52" s="262"/>
      <c r="L52" s="262"/>
      <c r="M52" s="262"/>
      <c r="N52" s="262"/>
    </row>
    <row r="53" spans="1:15" ht="14.25" customHeight="1" x14ac:dyDescent="0.3">
      <c r="A53" s="133"/>
      <c r="B53" s="133"/>
      <c r="C53" s="133"/>
      <c r="D53" s="133"/>
      <c r="E53" s="133"/>
      <c r="F53" s="133"/>
      <c r="G53" s="133"/>
      <c r="H53" s="133"/>
    </row>
    <row r="54" spans="1:15" ht="14.25" customHeight="1" x14ac:dyDescent="0.3"/>
    <row r="55" spans="1:15" ht="14.25" customHeight="1" x14ac:dyDescent="0.3">
      <c r="A55" s="128" t="s">
        <v>75</v>
      </c>
    </row>
    <row r="56" spans="1:15" ht="14.25" customHeight="1" x14ac:dyDescent="0.3"/>
    <row r="57" spans="1:15" ht="14.25" customHeight="1" x14ac:dyDescent="0.3">
      <c r="A57" s="128" t="s">
        <v>76</v>
      </c>
    </row>
    <row r="58" spans="1:15" ht="14.25" customHeight="1" x14ac:dyDescent="0.3"/>
    <row r="59" spans="1:15" ht="14.25" customHeight="1" x14ac:dyDescent="0.3">
      <c r="A59" s="128" t="s">
        <v>77</v>
      </c>
    </row>
    <row r="60" spans="1:15" ht="14.25" customHeight="1" x14ac:dyDescent="0.3"/>
    <row r="61" spans="1:15" ht="14.25" customHeight="1" x14ac:dyDescent="0.3">
      <c r="A61" s="128" t="s">
        <v>78</v>
      </c>
    </row>
    <row r="62" spans="1:15" ht="14.25" customHeight="1" x14ac:dyDescent="0.3"/>
    <row r="63" spans="1:15" ht="14.25" customHeight="1" x14ac:dyDescent="0.3">
      <c r="A63" s="128" t="s">
        <v>79</v>
      </c>
    </row>
    <row r="64" spans="1:15" ht="14.25" customHeight="1" x14ac:dyDescent="0.3"/>
    <row r="65" spans="1:2" ht="14.25" customHeight="1" x14ac:dyDescent="0.3">
      <c r="A65" s="128" t="s">
        <v>80</v>
      </c>
    </row>
    <row r="66" spans="1:2" ht="14.25" customHeight="1" x14ac:dyDescent="0.3"/>
    <row r="67" spans="1:2" ht="14.25" customHeight="1" x14ac:dyDescent="0.3">
      <c r="B67" s="147"/>
    </row>
    <row r="68" spans="1:2" ht="14.25" customHeight="1" x14ac:dyDescent="0.3"/>
    <row r="69" spans="1:2" ht="14.25" customHeight="1" x14ac:dyDescent="0.3"/>
    <row r="70" spans="1:2" ht="14.25" customHeight="1" x14ac:dyDescent="0.3"/>
    <row r="71" spans="1:2" ht="14.25" customHeight="1" x14ac:dyDescent="0.3"/>
    <row r="72" spans="1:2" ht="14.25" customHeight="1" x14ac:dyDescent="0.3"/>
    <row r="73" spans="1:2" ht="14.25" customHeight="1" x14ac:dyDescent="0.3"/>
    <row r="74" spans="1:2" ht="16.5" customHeight="1" x14ac:dyDescent="0.3"/>
    <row r="75" spans="1:2" ht="14.25" customHeight="1" x14ac:dyDescent="0.3"/>
    <row r="76" spans="1:2" ht="14.25" customHeight="1" x14ac:dyDescent="0.3"/>
    <row r="77" spans="1:2" ht="14.25" customHeight="1" x14ac:dyDescent="0.3"/>
    <row r="78" spans="1:2" ht="30" customHeight="1" x14ac:dyDescent="0.3"/>
    <row r="79" spans="1:2" ht="14.25" customHeight="1" x14ac:dyDescent="0.3"/>
    <row r="80" spans="1:2" ht="14.25" customHeight="1" x14ac:dyDescent="0.3"/>
    <row r="81" spans="1:14" ht="14.25" customHeight="1" x14ac:dyDescent="0.3">
      <c r="B81" s="147"/>
    </row>
    <row r="82" spans="1:14" ht="14.25" customHeight="1" x14ac:dyDescent="0.3"/>
    <row r="83" spans="1:14" ht="14.25" customHeight="1" x14ac:dyDescent="0.3"/>
    <row r="84" spans="1:14" ht="14.25" customHeight="1" x14ac:dyDescent="0.3">
      <c r="B84" s="147"/>
    </row>
    <row r="85" spans="1:14" ht="14.25" customHeight="1" x14ac:dyDescent="0.3">
      <c r="B85" s="147"/>
    </row>
    <row r="86" spans="1:14" ht="14.25" customHeight="1" x14ac:dyDescent="0.3"/>
    <row r="87" spans="1:14" ht="14.25" customHeight="1" x14ac:dyDescent="0.3"/>
    <row r="88" spans="1:14" ht="14.25" customHeight="1" x14ac:dyDescent="0.3">
      <c r="J88" s="133"/>
      <c r="K88" s="133"/>
      <c r="L88" s="133"/>
      <c r="M88" s="133"/>
      <c r="N88" s="133"/>
    </row>
    <row r="89" spans="1:14" ht="14.25" customHeight="1" x14ac:dyDescent="0.3"/>
    <row r="90" spans="1:14" ht="14.25" customHeight="1" x14ac:dyDescent="0.3">
      <c r="B90" s="147"/>
    </row>
    <row r="91" spans="1:14" ht="14.25" customHeight="1" x14ac:dyDescent="0.3">
      <c r="A91" s="261" t="s">
        <v>82</v>
      </c>
      <c r="B91" s="262"/>
      <c r="C91" s="262"/>
      <c r="D91" s="262"/>
      <c r="E91" s="262"/>
      <c r="F91" s="262"/>
      <c r="G91" s="262"/>
      <c r="H91" s="262"/>
      <c r="I91" s="262"/>
      <c r="J91" s="262"/>
      <c r="K91" s="262"/>
      <c r="L91" s="262"/>
      <c r="M91" s="262"/>
      <c r="N91" s="262"/>
    </row>
    <row r="92" spans="1:14" ht="14.25" customHeight="1" x14ac:dyDescent="0.3"/>
    <row r="93" spans="1:14" ht="14.25" customHeight="1" x14ac:dyDescent="0.3">
      <c r="A93" s="128" t="s">
        <v>83</v>
      </c>
      <c r="B93" s="147"/>
    </row>
    <row r="94" spans="1:14" ht="14.25" customHeight="1" x14ac:dyDescent="0.3">
      <c r="B94" s="147"/>
    </row>
    <row r="95" spans="1:14" ht="14.25" customHeight="1" x14ac:dyDescent="0.3">
      <c r="A95" s="128" t="s">
        <v>84</v>
      </c>
    </row>
    <row r="96" spans="1:14" ht="14.25" customHeight="1" x14ac:dyDescent="0.3"/>
    <row r="97" spans="1:2" ht="14.25" customHeight="1" x14ac:dyDescent="0.3">
      <c r="A97" s="128" t="s">
        <v>85</v>
      </c>
      <c r="B97" s="147"/>
    </row>
    <row r="98" spans="1:2" ht="14.25" customHeight="1" x14ac:dyDescent="0.3">
      <c r="A98" s="128" t="s">
        <v>86</v>
      </c>
      <c r="B98" s="147"/>
    </row>
    <row r="99" spans="1:2" ht="14.25" customHeight="1" x14ac:dyDescent="0.3"/>
    <row r="100" spans="1:2" ht="14.25" customHeight="1" x14ac:dyDescent="0.3">
      <c r="A100" s="128" t="s">
        <v>87</v>
      </c>
    </row>
    <row r="101" spans="1:2" ht="14.25" customHeight="1" x14ac:dyDescent="0.3">
      <c r="B101" s="147"/>
    </row>
    <row r="102" spans="1:2" ht="14.25" customHeight="1" x14ac:dyDescent="0.3">
      <c r="A102" s="128" t="s">
        <v>88</v>
      </c>
      <c r="B102" s="147"/>
    </row>
    <row r="103" spans="1:2" ht="14.25" customHeight="1" x14ac:dyDescent="0.3"/>
    <row r="104" spans="1:2" ht="14.25" customHeight="1" x14ac:dyDescent="0.3"/>
    <row r="105" spans="1:2" ht="14.25" customHeight="1" x14ac:dyDescent="0.3"/>
    <row r="106" spans="1:2" ht="14.25" customHeight="1" x14ac:dyDescent="0.3"/>
    <row r="107" spans="1:2" ht="14.25" customHeight="1" x14ac:dyDescent="0.3"/>
    <row r="108" spans="1:2" ht="14.25" customHeight="1" x14ac:dyDescent="0.3"/>
    <row r="109" spans="1:2" ht="14.25" customHeight="1" x14ac:dyDescent="0.3"/>
    <row r="110" spans="1:2" ht="14.25" customHeight="1" x14ac:dyDescent="0.3"/>
    <row r="111" spans="1:2" ht="14.25" customHeight="1" x14ac:dyDescent="0.3"/>
    <row r="112" spans="1:2" ht="14.25" customHeight="1" x14ac:dyDescent="0.3"/>
    <row r="113" spans="1:14" ht="14.25" customHeight="1" x14ac:dyDescent="0.3">
      <c r="B113" s="148"/>
    </row>
    <row r="114" spans="1:14" ht="14.25" customHeight="1" x14ac:dyDescent="0.3"/>
    <row r="115" spans="1:14" ht="14.25" customHeight="1" x14ac:dyDescent="0.3"/>
    <row r="116" spans="1:14" ht="14.25" customHeight="1" x14ac:dyDescent="0.3"/>
    <row r="117" spans="1:14" ht="14.25" customHeight="1" x14ac:dyDescent="0.3"/>
    <row r="118" spans="1:14" ht="14.25" customHeight="1" x14ac:dyDescent="0.3"/>
    <row r="119" spans="1:14" ht="14.25" customHeight="1" x14ac:dyDescent="0.3"/>
    <row r="120" spans="1:14" ht="14.25" customHeight="1" x14ac:dyDescent="0.3"/>
    <row r="121" spans="1:14" ht="14.25" customHeight="1" x14ac:dyDescent="0.3"/>
    <row r="122" spans="1:14" ht="14.25" customHeight="1" x14ac:dyDescent="0.3"/>
    <row r="123" spans="1:14" ht="14.25" customHeight="1" x14ac:dyDescent="0.3"/>
    <row r="124" spans="1:14" ht="14.25" customHeight="1" x14ac:dyDescent="0.3">
      <c r="J124" s="149"/>
      <c r="K124" s="149"/>
      <c r="L124" s="149"/>
      <c r="M124" s="149"/>
      <c r="N124" s="149"/>
    </row>
    <row r="125" spans="1:14" ht="14.25" customHeight="1" x14ac:dyDescent="0.3">
      <c r="J125" s="133"/>
      <c r="K125" s="133"/>
      <c r="L125" s="133"/>
      <c r="M125" s="133"/>
      <c r="N125" s="133"/>
    </row>
    <row r="126" spans="1:14" ht="14.25" customHeight="1" x14ac:dyDescent="0.3"/>
    <row r="127" spans="1:14" ht="14.25" customHeight="1" x14ac:dyDescent="0.3">
      <c r="A127" s="149"/>
      <c r="B127" s="149"/>
      <c r="C127" s="149"/>
      <c r="D127" s="149"/>
      <c r="E127" s="149"/>
      <c r="F127" s="149"/>
      <c r="G127" s="149"/>
      <c r="H127" s="149"/>
      <c r="I127" s="149"/>
    </row>
    <row r="128" spans="1:14" ht="14.25" customHeight="1" x14ac:dyDescent="0.3">
      <c r="A128" s="261" t="s">
        <v>89</v>
      </c>
      <c r="B128" s="262"/>
      <c r="C128" s="262"/>
      <c r="D128" s="262"/>
      <c r="E128" s="262"/>
      <c r="F128" s="262"/>
      <c r="G128" s="262"/>
      <c r="H128" s="262"/>
      <c r="I128" s="262"/>
      <c r="J128" s="262"/>
      <c r="K128" s="262"/>
      <c r="L128" s="262"/>
      <c r="M128" s="262"/>
      <c r="N128" s="262"/>
    </row>
    <row r="129" spans="1:1" ht="14.25" customHeight="1" x14ac:dyDescent="0.3">
      <c r="A129" s="128" t="s">
        <v>90</v>
      </c>
    </row>
    <row r="130" spans="1:1" ht="14.25" customHeight="1" x14ac:dyDescent="0.3"/>
    <row r="131" spans="1:1" ht="14.25" customHeight="1" x14ac:dyDescent="0.3">
      <c r="A131" s="128" t="s">
        <v>84</v>
      </c>
    </row>
    <row r="132" spans="1:1" ht="14.25" customHeight="1" x14ac:dyDescent="0.3"/>
    <row r="133" spans="1:1" ht="14.25" customHeight="1" x14ac:dyDescent="0.3">
      <c r="A133" s="128" t="s">
        <v>91</v>
      </c>
    </row>
    <row r="134" spans="1:1" ht="14.25" customHeight="1" x14ac:dyDescent="0.3"/>
    <row r="135" spans="1:1" ht="14.25" customHeight="1" x14ac:dyDescent="0.3">
      <c r="A135" s="128" t="s">
        <v>92</v>
      </c>
    </row>
    <row r="136" spans="1:1" ht="14.25" customHeight="1" x14ac:dyDescent="0.3"/>
    <row r="137" spans="1:1" ht="14.25" customHeight="1" x14ac:dyDescent="0.3"/>
    <row r="138" spans="1:1" ht="14.25" customHeight="1" x14ac:dyDescent="0.3"/>
    <row r="139" spans="1:1" ht="14.25" customHeight="1" x14ac:dyDescent="0.3"/>
    <row r="140" spans="1:1" ht="14.25" customHeight="1" x14ac:dyDescent="0.3"/>
    <row r="141" spans="1:1" ht="14.25" customHeight="1" x14ac:dyDescent="0.3"/>
    <row r="142" spans="1:1" ht="14.25" customHeight="1" x14ac:dyDescent="0.3"/>
    <row r="143" spans="1:1" ht="14.25" customHeight="1" x14ac:dyDescent="0.3"/>
    <row r="144" spans="1:1"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sheetData>
  <mergeCells count="12">
    <mergeCell ref="A128:N128"/>
    <mergeCell ref="A1:R2"/>
    <mergeCell ref="T1:AC2"/>
    <mergeCell ref="AE1:AL2"/>
    <mergeCell ref="A5:B5"/>
    <mergeCell ref="T25:AC26"/>
    <mergeCell ref="AE25:AN26"/>
    <mergeCell ref="A36:B36"/>
    <mergeCell ref="U37:AF38"/>
    <mergeCell ref="A41:B41"/>
    <mergeCell ref="A52:N52"/>
    <mergeCell ref="A91:N91"/>
  </mergeCells>
  <pageMargins left="0.7" right="0.7" top="0.75" bottom="0.75" header="0" footer="0"/>
  <pageSetup orientation="landscape"/>
  <drawing r:id="rId1"/>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7FD66A-76F4-4564-B2D0-2A7C6C4AEFE5}">
  <sheetPr>
    <outlinePr summaryBelow="0" summaryRight="0"/>
  </sheetPr>
  <dimension ref="A1:N1037"/>
  <sheetViews>
    <sheetView topLeftCell="A6" workbookViewId="0">
      <selection activeCell="Q44" sqref="Q44"/>
    </sheetView>
  </sheetViews>
  <sheetFormatPr defaultColWidth="14.44140625" defaultRowHeight="15" customHeight="1" x14ac:dyDescent="0.3"/>
  <cols>
    <col min="1" max="1" width="8.5546875" style="57" customWidth="1"/>
    <col min="2" max="2" width="52.21875" style="57" customWidth="1"/>
    <col min="3" max="3" width="9.5546875" style="57" customWidth="1"/>
    <col min="4" max="4" width="8.5546875" style="57" customWidth="1"/>
    <col min="5" max="5" width="9.44140625" style="57" customWidth="1"/>
    <col min="6" max="6" width="18.21875" style="57" customWidth="1"/>
    <col min="7" max="14" width="8.5546875" style="57" customWidth="1"/>
    <col min="15" max="16384" width="14.44140625" style="57"/>
  </cols>
  <sheetData>
    <row r="1" spans="1:14" ht="14.25" customHeight="1" thickBot="1" x14ac:dyDescent="0.35">
      <c r="A1" s="214" t="s">
        <v>0</v>
      </c>
      <c r="B1" s="202"/>
      <c r="C1" s="202"/>
      <c r="D1" s="202"/>
      <c r="E1" s="202"/>
      <c r="F1" s="202"/>
      <c r="G1" s="202"/>
      <c r="H1" s="202"/>
      <c r="I1" s="203"/>
      <c r="K1" s="217" t="s">
        <v>1</v>
      </c>
      <c r="L1" s="202"/>
      <c r="M1" s="202"/>
      <c r="N1" s="203"/>
    </row>
    <row r="2" spans="1:14" ht="14.25" customHeight="1" thickBot="1" x14ac:dyDescent="0.35">
      <c r="A2" s="201"/>
      <c r="B2" s="202"/>
      <c r="C2" s="202"/>
      <c r="D2" s="202"/>
      <c r="E2" s="202"/>
      <c r="F2" s="202"/>
      <c r="G2" s="202"/>
      <c r="H2" s="202"/>
      <c r="I2" s="203"/>
      <c r="K2" s="58"/>
      <c r="L2" s="59"/>
      <c r="M2" s="59"/>
      <c r="N2" s="60"/>
    </row>
    <row r="3" spans="1:14" ht="14.25" customHeight="1" thickBot="1" x14ac:dyDescent="0.35">
      <c r="A3" s="61" t="s">
        <v>2</v>
      </c>
      <c r="B3" s="213">
        <v>10</v>
      </c>
      <c r="C3" s="202"/>
      <c r="D3" s="203"/>
      <c r="E3" s="62" t="s">
        <v>3</v>
      </c>
      <c r="F3" s="213">
        <v>1</v>
      </c>
      <c r="G3" s="202"/>
      <c r="H3" s="202"/>
      <c r="I3" s="203"/>
      <c r="K3" s="58"/>
      <c r="L3" s="59"/>
      <c r="M3" s="59"/>
      <c r="N3" s="60"/>
    </row>
    <row r="4" spans="1:14" ht="14.25" customHeight="1" thickBot="1" x14ac:dyDescent="0.35">
      <c r="A4" s="61" t="s">
        <v>4</v>
      </c>
      <c r="B4" s="213">
        <v>10</v>
      </c>
      <c r="C4" s="202"/>
      <c r="D4" s="203"/>
      <c r="E4" s="62" t="s">
        <v>5</v>
      </c>
      <c r="F4" s="210" t="s">
        <v>200</v>
      </c>
      <c r="G4" s="202"/>
      <c r="H4" s="202"/>
      <c r="I4" s="203"/>
      <c r="K4" s="58"/>
      <c r="L4" s="59"/>
      <c r="M4" s="59"/>
      <c r="N4" s="60"/>
    </row>
    <row r="5" spans="1:14" ht="14.25" customHeight="1" thickBot="1" x14ac:dyDescent="0.35">
      <c r="A5" s="61" t="s">
        <v>6</v>
      </c>
      <c r="B5" s="210" t="s">
        <v>201</v>
      </c>
      <c r="C5" s="202"/>
      <c r="D5" s="203"/>
      <c r="E5" s="62" t="s">
        <v>7</v>
      </c>
      <c r="F5" s="210" t="s">
        <v>94</v>
      </c>
      <c r="G5" s="202"/>
      <c r="H5" s="202"/>
      <c r="I5" s="203"/>
      <c r="K5" s="58"/>
      <c r="L5" s="59"/>
      <c r="M5" s="59"/>
      <c r="N5" s="60"/>
    </row>
    <row r="6" spans="1:14" ht="14.25" customHeight="1" thickBot="1" x14ac:dyDescent="0.35">
      <c r="A6" s="210"/>
      <c r="B6" s="202"/>
      <c r="C6" s="202"/>
      <c r="D6" s="203"/>
      <c r="E6" s="206" t="s">
        <v>8</v>
      </c>
      <c r="F6" s="63" t="s">
        <v>9</v>
      </c>
      <c r="G6" s="201">
        <v>75</v>
      </c>
      <c r="H6" s="202"/>
      <c r="I6" s="64" t="s">
        <v>10</v>
      </c>
      <c r="K6" s="58"/>
      <c r="L6" s="59"/>
      <c r="M6" s="59"/>
      <c r="N6" s="60"/>
    </row>
    <row r="7" spans="1:14" ht="14.25" customHeight="1" thickBot="1" x14ac:dyDescent="0.35">
      <c r="A7" s="61" t="s">
        <v>11</v>
      </c>
      <c r="B7" s="210" t="s">
        <v>95</v>
      </c>
      <c r="C7" s="202"/>
      <c r="D7" s="203"/>
      <c r="E7" s="211"/>
      <c r="F7" s="63" t="s">
        <v>12</v>
      </c>
      <c r="G7" s="201">
        <v>65</v>
      </c>
      <c r="H7" s="202"/>
      <c r="I7" s="64" t="s">
        <v>10</v>
      </c>
      <c r="K7" s="58"/>
      <c r="L7" s="59"/>
      <c r="M7" s="59"/>
      <c r="N7" s="60"/>
    </row>
    <row r="8" spans="1:14" ht="14.25" customHeight="1" thickBot="1" x14ac:dyDescent="0.35">
      <c r="A8" s="61" t="s">
        <v>13</v>
      </c>
      <c r="B8" s="212" t="s">
        <v>96</v>
      </c>
      <c r="C8" s="202"/>
      <c r="D8" s="203"/>
      <c r="E8" s="205"/>
      <c r="F8" s="63" t="s">
        <v>14</v>
      </c>
      <c r="G8" s="201">
        <v>50</v>
      </c>
      <c r="H8" s="202"/>
      <c r="I8" s="64" t="s">
        <v>10</v>
      </c>
      <c r="K8" s="65"/>
      <c r="L8" s="66"/>
      <c r="M8" s="66"/>
      <c r="N8" s="67"/>
    </row>
    <row r="9" spans="1:14" ht="14.25" customHeight="1" thickBot="1" x14ac:dyDescent="0.35">
      <c r="A9" s="201"/>
      <c r="B9" s="202"/>
      <c r="C9" s="202"/>
      <c r="D9" s="202"/>
      <c r="E9" s="202"/>
      <c r="F9" s="202"/>
      <c r="G9" s="202"/>
      <c r="H9" s="202"/>
      <c r="I9" s="203"/>
    </row>
    <row r="10" spans="1:14" ht="14.25" customHeight="1" thickBot="1" x14ac:dyDescent="0.35">
      <c r="A10" s="204" t="s">
        <v>15</v>
      </c>
      <c r="B10" s="206" t="s">
        <v>16</v>
      </c>
      <c r="C10" s="206" t="s">
        <v>17</v>
      </c>
      <c r="D10" s="207" t="s">
        <v>18</v>
      </c>
      <c r="E10" s="203"/>
      <c r="F10" s="208" t="s">
        <v>19</v>
      </c>
      <c r="G10" s="209" t="s">
        <v>20</v>
      </c>
      <c r="H10" s="209" t="s">
        <v>21</v>
      </c>
      <c r="I10" s="209" t="s">
        <v>22</v>
      </c>
    </row>
    <row r="11" spans="1:14" ht="14.25" customHeight="1" thickBot="1" x14ac:dyDescent="0.35">
      <c r="A11" s="205"/>
      <c r="B11" s="205"/>
      <c r="C11" s="205"/>
      <c r="D11" s="62" t="s">
        <v>23</v>
      </c>
      <c r="E11" s="62" t="s">
        <v>24</v>
      </c>
      <c r="F11" s="205"/>
      <c r="G11" s="205"/>
      <c r="H11" s="205"/>
      <c r="I11" s="205"/>
    </row>
    <row r="12" spans="1:14" ht="14.25" customHeight="1" thickBot="1" x14ac:dyDescent="0.35">
      <c r="A12" s="68">
        <v>1</v>
      </c>
      <c r="B12" s="63" t="s">
        <v>97</v>
      </c>
      <c r="C12" s="62" t="s">
        <v>98</v>
      </c>
      <c r="D12" s="68"/>
      <c r="E12" s="62"/>
      <c r="F12" s="69" t="s">
        <v>100</v>
      </c>
      <c r="G12" s="70">
        <v>0</v>
      </c>
      <c r="H12" s="71">
        <v>0</v>
      </c>
      <c r="I12" s="71">
        <f t="shared" ref="I12:I68" si="0">G12+H12</f>
        <v>0</v>
      </c>
    </row>
    <row r="13" spans="1:14" ht="14.25" customHeight="1" thickBot="1" x14ac:dyDescent="0.35">
      <c r="A13" s="68">
        <v>2</v>
      </c>
      <c r="B13" s="63" t="s">
        <v>202</v>
      </c>
      <c r="C13" s="72" t="s">
        <v>203</v>
      </c>
      <c r="D13" s="68">
        <f>A13-1</f>
        <v>1</v>
      </c>
      <c r="E13" s="62" t="s">
        <v>106</v>
      </c>
      <c r="F13" s="62" t="s">
        <v>174</v>
      </c>
      <c r="G13" s="70">
        <v>180</v>
      </c>
      <c r="H13" s="71">
        <f>'Perhitungan LRP Pivot'!L7</f>
        <v>182.68481683167633</v>
      </c>
      <c r="I13" s="71">
        <f t="shared" si="0"/>
        <v>362.68481683167636</v>
      </c>
    </row>
    <row r="14" spans="1:14" ht="14.25" customHeight="1" thickBot="1" x14ac:dyDescent="0.35">
      <c r="A14" s="68">
        <v>11</v>
      </c>
      <c r="B14" s="63" t="s">
        <v>204</v>
      </c>
      <c r="C14" s="72" t="s">
        <v>203</v>
      </c>
      <c r="D14" s="68">
        <f t="shared" ref="D14:D67" si="1">A14-1</f>
        <v>10</v>
      </c>
      <c r="E14" s="62" t="s">
        <v>106</v>
      </c>
      <c r="F14" s="62" t="s">
        <v>174</v>
      </c>
      <c r="G14" s="70">
        <v>60</v>
      </c>
      <c r="H14" s="71">
        <f>'Perhitungan LRP Pivot'!L8</f>
        <v>20.298312981297368</v>
      </c>
      <c r="I14" s="71">
        <f t="shared" si="0"/>
        <v>80.298312981297371</v>
      </c>
    </row>
    <row r="15" spans="1:14" ht="14.25" customHeight="1" thickBot="1" x14ac:dyDescent="0.35">
      <c r="A15" s="68">
        <v>12</v>
      </c>
      <c r="B15" s="63" t="s">
        <v>205</v>
      </c>
      <c r="C15" s="72" t="s">
        <v>203</v>
      </c>
      <c r="D15" s="68">
        <f t="shared" si="1"/>
        <v>11</v>
      </c>
      <c r="E15" s="62" t="s">
        <v>106</v>
      </c>
      <c r="F15" s="62" t="s">
        <v>174</v>
      </c>
      <c r="G15" s="70">
        <v>60</v>
      </c>
      <c r="H15" s="71">
        <f>'Perhitungan LRP Pivot'!L9</f>
        <v>46.132529502948564</v>
      </c>
      <c r="I15" s="71">
        <f t="shared" si="0"/>
        <v>106.13252950294856</v>
      </c>
    </row>
    <row r="16" spans="1:14" ht="14.25" customHeight="1" thickBot="1" x14ac:dyDescent="0.35">
      <c r="A16" s="68">
        <v>13</v>
      </c>
      <c r="B16" s="63" t="s">
        <v>206</v>
      </c>
      <c r="C16" s="72" t="s">
        <v>203</v>
      </c>
      <c r="D16" s="68">
        <f t="shared" si="1"/>
        <v>12</v>
      </c>
      <c r="E16" s="62" t="s">
        <v>106</v>
      </c>
      <c r="F16" s="62" t="s">
        <v>174</v>
      </c>
      <c r="G16" s="70">
        <v>90</v>
      </c>
      <c r="H16" s="71">
        <f>'Perhitungan LRP Pivot'!L10</f>
        <v>75.600000000000009</v>
      </c>
      <c r="I16" s="71">
        <f t="shared" si="0"/>
        <v>165.60000000000002</v>
      </c>
    </row>
    <row r="17" spans="1:9" ht="14.25" customHeight="1" thickBot="1" x14ac:dyDescent="0.35">
      <c r="A17" s="68">
        <v>22</v>
      </c>
      <c r="B17" s="63" t="s">
        <v>207</v>
      </c>
      <c r="C17" s="72" t="s">
        <v>203</v>
      </c>
      <c r="D17" s="68">
        <f t="shared" si="1"/>
        <v>21</v>
      </c>
      <c r="E17" s="62" t="s">
        <v>106</v>
      </c>
      <c r="F17" s="62" t="s">
        <v>174</v>
      </c>
      <c r="G17" s="70">
        <v>60</v>
      </c>
      <c r="H17" s="71">
        <f>'Perhitungan LRP Pivot'!L11</f>
        <v>8.4</v>
      </c>
      <c r="I17" s="71">
        <f t="shared" si="0"/>
        <v>68.400000000000006</v>
      </c>
    </row>
    <row r="18" spans="1:9" ht="14.25" customHeight="1" thickBot="1" x14ac:dyDescent="0.35">
      <c r="A18" s="68">
        <v>23</v>
      </c>
      <c r="B18" s="63" t="s">
        <v>208</v>
      </c>
      <c r="C18" s="72" t="s">
        <v>203</v>
      </c>
      <c r="D18" s="68">
        <f t="shared" si="1"/>
        <v>22</v>
      </c>
      <c r="E18" s="62" t="s">
        <v>106</v>
      </c>
      <c r="F18" s="62" t="s">
        <v>174</v>
      </c>
      <c r="G18" s="92">
        <v>60</v>
      </c>
      <c r="H18" s="71">
        <f>'Perhitungan LRP Pivot'!L12</f>
        <v>16.013944878294911</v>
      </c>
      <c r="I18" s="71">
        <f t="shared" si="0"/>
        <v>76.013944878294907</v>
      </c>
    </row>
    <row r="19" spans="1:9" ht="14.25" customHeight="1" thickBot="1" x14ac:dyDescent="0.35">
      <c r="A19" s="68">
        <v>24</v>
      </c>
      <c r="B19" s="63" t="s">
        <v>209</v>
      </c>
      <c r="C19" s="72" t="s">
        <v>203</v>
      </c>
      <c r="D19" s="68">
        <f t="shared" si="1"/>
        <v>23</v>
      </c>
      <c r="E19" s="62" t="s">
        <v>106</v>
      </c>
      <c r="F19" s="62" t="s">
        <v>174</v>
      </c>
      <c r="G19" s="92">
        <v>90</v>
      </c>
      <c r="H19" s="71">
        <f>'Perhitungan LRP Pivot'!L13</f>
        <v>72.44999121951011</v>
      </c>
      <c r="I19" s="71">
        <f t="shared" si="0"/>
        <v>162.44999121951011</v>
      </c>
    </row>
    <row r="20" spans="1:9" ht="14.25" customHeight="1" thickBot="1" x14ac:dyDescent="0.35">
      <c r="A20" s="68">
        <v>33</v>
      </c>
      <c r="B20" s="63" t="s">
        <v>210</v>
      </c>
      <c r="C20" s="72" t="s">
        <v>203</v>
      </c>
      <c r="D20" s="68">
        <f t="shared" si="1"/>
        <v>32</v>
      </c>
      <c r="E20" s="62" t="s">
        <v>106</v>
      </c>
      <c r="F20" s="62" t="s">
        <v>174</v>
      </c>
      <c r="G20" s="92">
        <v>60</v>
      </c>
      <c r="H20" s="71">
        <f>'Perhitungan LRP Pivot'!L14</f>
        <v>8.0499990243900115</v>
      </c>
      <c r="I20" s="71">
        <f t="shared" si="0"/>
        <v>68.049999024390019</v>
      </c>
    </row>
    <row r="21" spans="1:9" ht="14.25" customHeight="1" thickBot="1" x14ac:dyDescent="0.35">
      <c r="A21" s="68">
        <v>34</v>
      </c>
      <c r="B21" s="63" t="s">
        <v>211</v>
      </c>
      <c r="C21" s="72" t="s">
        <v>203</v>
      </c>
      <c r="D21" s="68">
        <f t="shared" si="1"/>
        <v>33</v>
      </c>
      <c r="E21" s="62" t="s">
        <v>106</v>
      </c>
      <c r="F21" s="62" t="s">
        <v>174</v>
      </c>
      <c r="G21" s="92">
        <v>60</v>
      </c>
      <c r="H21" s="71">
        <f>'Perhitungan LRP Pivot'!L15</f>
        <v>27.568179600886392</v>
      </c>
      <c r="I21" s="71">
        <f t="shared" si="0"/>
        <v>87.568179600886396</v>
      </c>
    </row>
    <row r="22" spans="1:9" ht="14.25" customHeight="1" thickBot="1" x14ac:dyDescent="0.35">
      <c r="A22" s="68">
        <v>35</v>
      </c>
      <c r="B22" s="63" t="s">
        <v>212</v>
      </c>
      <c r="C22" s="72" t="s">
        <v>203</v>
      </c>
      <c r="D22" s="68">
        <f t="shared" si="1"/>
        <v>34</v>
      </c>
      <c r="E22" s="62" t="s">
        <v>106</v>
      </c>
      <c r="F22" s="62" t="s">
        <v>174</v>
      </c>
      <c r="G22" s="92">
        <v>90</v>
      </c>
      <c r="H22" s="71">
        <f>'Perhitungan LRP Pivot'!L16</f>
        <v>24.959999999999997</v>
      </c>
      <c r="I22" s="71">
        <f t="shared" si="0"/>
        <v>114.96</v>
      </c>
    </row>
    <row r="23" spans="1:9" ht="14.25" customHeight="1" thickBot="1" x14ac:dyDescent="0.35">
      <c r="A23" s="68">
        <v>37</v>
      </c>
      <c r="B23" s="63" t="s">
        <v>213</v>
      </c>
      <c r="C23" s="72" t="s">
        <v>203</v>
      </c>
      <c r="D23" s="68">
        <f t="shared" si="1"/>
        <v>36</v>
      </c>
      <c r="E23" s="62" t="s">
        <v>106</v>
      </c>
      <c r="F23" s="62" t="s">
        <v>174</v>
      </c>
      <c r="G23" s="70">
        <v>60</v>
      </c>
      <c r="H23" s="71">
        <f>'Perhitungan LRP Pivot'!L17</f>
        <v>9.0227250554318452</v>
      </c>
      <c r="I23" s="71">
        <f t="shared" si="0"/>
        <v>69.022725055431849</v>
      </c>
    </row>
    <row r="24" spans="1:9" ht="14.25" customHeight="1" thickBot="1" x14ac:dyDescent="0.35">
      <c r="A24" s="68">
        <v>38</v>
      </c>
      <c r="B24" s="63" t="s">
        <v>214</v>
      </c>
      <c r="C24" s="72" t="s">
        <v>203</v>
      </c>
      <c r="D24" s="68">
        <f t="shared" si="1"/>
        <v>37</v>
      </c>
      <c r="E24" s="62" t="s">
        <v>106</v>
      </c>
      <c r="F24" s="62" t="s">
        <v>174</v>
      </c>
      <c r="G24" s="92">
        <v>90</v>
      </c>
      <c r="H24" s="71">
        <f>'Perhitungan LRP Pivot'!L18</f>
        <v>38.879999999999995</v>
      </c>
      <c r="I24" s="71">
        <f t="shared" si="0"/>
        <v>128.88</v>
      </c>
    </row>
    <row r="25" spans="1:9" ht="14.25" customHeight="1" thickBot="1" x14ac:dyDescent="0.35">
      <c r="A25" s="68">
        <v>47</v>
      </c>
      <c r="B25" s="63" t="s">
        <v>215</v>
      </c>
      <c r="C25" s="72" t="s">
        <v>203</v>
      </c>
      <c r="D25" s="68">
        <f t="shared" si="1"/>
        <v>46</v>
      </c>
      <c r="E25" s="62" t="s">
        <v>106</v>
      </c>
      <c r="F25" s="62" t="s">
        <v>174</v>
      </c>
      <c r="G25" s="92">
        <v>60</v>
      </c>
      <c r="H25" s="71">
        <f>'Perhitungan LRP Pivot'!L19</f>
        <v>4.3199999999999994</v>
      </c>
      <c r="I25" s="71">
        <f t="shared" si="0"/>
        <v>64.319999999999993</v>
      </c>
    </row>
    <row r="26" spans="1:9" ht="14.25" customHeight="1" thickBot="1" x14ac:dyDescent="0.35">
      <c r="A26" s="68">
        <v>48</v>
      </c>
      <c r="B26" s="63" t="s">
        <v>216</v>
      </c>
      <c r="C26" s="72" t="s">
        <v>203</v>
      </c>
      <c r="D26" s="68">
        <f t="shared" si="1"/>
        <v>47</v>
      </c>
      <c r="E26" s="62" t="s">
        <v>106</v>
      </c>
      <c r="F26" s="62" t="s">
        <v>174</v>
      </c>
      <c r="G26" s="73">
        <v>60</v>
      </c>
      <c r="H26" s="71">
        <f>'Perhitungan LRP Pivot'!L20</f>
        <v>9.8181818181818183</v>
      </c>
      <c r="I26" s="71">
        <f t="shared" si="0"/>
        <v>69.818181818181813</v>
      </c>
    </row>
    <row r="27" spans="1:9" ht="14.25" customHeight="1" thickBot="1" x14ac:dyDescent="0.35">
      <c r="A27" s="68">
        <v>49</v>
      </c>
      <c r="B27" s="63" t="s">
        <v>217</v>
      </c>
      <c r="C27" s="72" t="s">
        <v>203</v>
      </c>
      <c r="D27" s="68">
        <f t="shared" si="1"/>
        <v>48</v>
      </c>
      <c r="E27" s="62" t="s">
        <v>106</v>
      </c>
      <c r="F27" s="62" t="s">
        <v>174</v>
      </c>
      <c r="G27" s="73">
        <v>90</v>
      </c>
      <c r="H27" s="71">
        <f>'Perhitungan LRP Pivot'!L21</f>
        <v>35.729991219510104</v>
      </c>
      <c r="I27" s="71">
        <f t="shared" si="0"/>
        <v>125.72999121951011</v>
      </c>
    </row>
    <row r="28" spans="1:9" ht="14.25" customHeight="1" thickBot="1" x14ac:dyDescent="0.35">
      <c r="A28" s="68">
        <v>58</v>
      </c>
      <c r="B28" s="63" t="s">
        <v>218</v>
      </c>
      <c r="C28" s="72" t="s">
        <v>203</v>
      </c>
      <c r="D28" s="68">
        <f t="shared" si="1"/>
        <v>57</v>
      </c>
      <c r="E28" s="62" t="s">
        <v>106</v>
      </c>
      <c r="F28" s="62" t="s">
        <v>174</v>
      </c>
      <c r="G28" s="73">
        <v>60</v>
      </c>
      <c r="H28" s="71">
        <f>'Perhitungan LRP Pivot'!L22</f>
        <v>3.9699990243900123</v>
      </c>
      <c r="I28" s="71">
        <f t="shared" si="0"/>
        <v>63.969999024390013</v>
      </c>
    </row>
    <row r="29" spans="1:9" ht="14.25" customHeight="1" thickBot="1" x14ac:dyDescent="0.35">
      <c r="A29" s="68">
        <v>59</v>
      </c>
      <c r="B29" s="63" t="s">
        <v>219</v>
      </c>
      <c r="C29" s="72" t="s">
        <v>203</v>
      </c>
      <c r="D29" s="68">
        <f t="shared" si="1"/>
        <v>58</v>
      </c>
      <c r="E29" s="62" t="s">
        <v>106</v>
      </c>
      <c r="F29" s="62" t="s">
        <v>174</v>
      </c>
      <c r="G29" s="73">
        <v>60</v>
      </c>
      <c r="H29" s="71">
        <f>'Perhitungan LRP Pivot'!L23</f>
        <v>9.0227250554318452</v>
      </c>
      <c r="I29" s="71">
        <f t="shared" si="0"/>
        <v>69.022725055431849</v>
      </c>
    </row>
    <row r="30" spans="1:9" ht="14.25" customHeight="1" thickBot="1" x14ac:dyDescent="0.35">
      <c r="A30" s="68">
        <v>60</v>
      </c>
      <c r="B30" s="63" t="s">
        <v>220</v>
      </c>
      <c r="C30" s="72" t="s">
        <v>203</v>
      </c>
      <c r="D30" s="68">
        <f t="shared" si="1"/>
        <v>59</v>
      </c>
      <c r="E30" s="62" t="s">
        <v>106</v>
      </c>
      <c r="F30" s="62" t="s">
        <v>174</v>
      </c>
      <c r="G30" s="73">
        <v>90</v>
      </c>
      <c r="H30" s="71">
        <f>'Perhitungan LRP Pivot'!L24</f>
        <v>18.431999999999999</v>
      </c>
      <c r="I30" s="71">
        <f t="shared" si="0"/>
        <v>108.432</v>
      </c>
    </row>
    <row r="31" spans="1:9" ht="14.25" customHeight="1" thickBot="1" x14ac:dyDescent="0.35">
      <c r="A31" s="68">
        <v>61</v>
      </c>
      <c r="B31" s="63" t="s">
        <v>221</v>
      </c>
      <c r="C31" s="72" t="s">
        <v>203</v>
      </c>
      <c r="D31" s="68">
        <f t="shared" si="1"/>
        <v>60</v>
      </c>
      <c r="E31" s="62" t="s">
        <v>106</v>
      </c>
      <c r="F31" s="62" t="s">
        <v>174</v>
      </c>
      <c r="G31" s="73">
        <v>60</v>
      </c>
      <c r="H31" s="71">
        <f>'Perhitungan LRP Pivot'!L25</f>
        <v>41.890909090909091</v>
      </c>
      <c r="I31" s="71">
        <f t="shared" si="0"/>
        <v>101.89090909090909</v>
      </c>
    </row>
    <row r="32" spans="1:9" ht="14.25" customHeight="1" thickBot="1" x14ac:dyDescent="0.35">
      <c r="A32" s="68">
        <v>62</v>
      </c>
      <c r="B32" s="63" t="s">
        <v>222</v>
      </c>
      <c r="C32" s="72" t="s">
        <v>203</v>
      </c>
      <c r="D32" s="68">
        <f t="shared" si="1"/>
        <v>61</v>
      </c>
      <c r="E32" s="62" t="s">
        <v>106</v>
      </c>
      <c r="F32" s="62" t="s">
        <v>174</v>
      </c>
      <c r="G32" s="73">
        <v>90</v>
      </c>
      <c r="H32" s="71">
        <f>'Perhitungan LRP Pivot'!L26</f>
        <v>3.4079999999999999</v>
      </c>
      <c r="I32" s="71">
        <f t="shared" si="0"/>
        <v>93.408000000000001</v>
      </c>
    </row>
    <row r="33" spans="1:9" ht="14.25" customHeight="1" thickBot="1" x14ac:dyDescent="0.35">
      <c r="A33" s="68">
        <v>71</v>
      </c>
      <c r="B33" s="63" t="s">
        <v>223</v>
      </c>
      <c r="C33" s="72" t="s">
        <v>203</v>
      </c>
      <c r="D33" s="68">
        <f t="shared" si="1"/>
        <v>70</v>
      </c>
      <c r="E33" s="62" t="s">
        <v>106</v>
      </c>
      <c r="F33" s="62" t="s">
        <v>174</v>
      </c>
      <c r="G33" s="73">
        <v>60</v>
      </c>
      <c r="H33" s="71">
        <f>'Perhitungan LRP Pivot'!L27</f>
        <v>30.672000000000001</v>
      </c>
      <c r="I33" s="71">
        <f t="shared" si="0"/>
        <v>90.671999999999997</v>
      </c>
    </row>
    <row r="34" spans="1:9" ht="14.25" customHeight="1" thickBot="1" x14ac:dyDescent="0.35">
      <c r="A34" s="68">
        <v>72</v>
      </c>
      <c r="B34" s="63" t="s">
        <v>224</v>
      </c>
      <c r="C34" s="72" t="s">
        <v>203</v>
      </c>
      <c r="D34" s="68">
        <f t="shared" si="1"/>
        <v>71</v>
      </c>
      <c r="E34" s="62" t="s">
        <v>106</v>
      </c>
      <c r="F34" s="62" t="s">
        <v>174</v>
      </c>
      <c r="G34" s="73">
        <v>60</v>
      </c>
      <c r="H34" s="71">
        <f>'Perhitungan LRP Pivot'!L28</f>
        <v>7.7454545454545451</v>
      </c>
      <c r="I34" s="71">
        <f t="shared" si="0"/>
        <v>67.74545454545455</v>
      </c>
    </row>
    <row r="35" spans="1:9" ht="14.25" customHeight="1" thickBot="1" x14ac:dyDescent="0.35">
      <c r="A35" s="68">
        <v>73</v>
      </c>
      <c r="B35" s="63" t="s">
        <v>225</v>
      </c>
      <c r="C35" s="72" t="s">
        <v>203</v>
      </c>
      <c r="D35" s="68">
        <f t="shared" si="1"/>
        <v>72</v>
      </c>
      <c r="E35" s="62" t="s">
        <v>106</v>
      </c>
      <c r="F35" s="62" t="s">
        <v>174</v>
      </c>
      <c r="G35" s="73">
        <v>90</v>
      </c>
      <c r="H35" s="71">
        <f>'Perhitungan LRP Pivot'!L29</f>
        <v>18.48</v>
      </c>
      <c r="I35" s="71">
        <f t="shared" si="0"/>
        <v>108.48</v>
      </c>
    </row>
    <row r="36" spans="1:9" ht="14.25" customHeight="1" thickBot="1" x14ac:dyDescent="0.35">
      <c r="A36" s="68">
        <v>74</v>
      </c>
      <c r="B36" s="63" t="s">
        <v>226</v>
      </c>
      <c r="C36" s="72" t="s">
        <v>203</v>
      </c>
      <c r="D36" s="68">
        <f t="shared" si="1"/>
        <v>73</v>
      </c>
      <c r="E36" s="62" t="s">
        <v>106</v>
      </c>
      <c r="F36" s="62" t="s">
        <v>174</v>
      </c>
      <c r="G36" s="73">
        <v>60</v>
      </c>
      <c r="H36" s="71">
        <f>'Perhitungan LRP Pivot'!L30</f>
        <v>42</v>
      </c>
      <c r="I36" s="71">
        <f t="shared" si="0"/>
        <v>102</v>
      </c>
    </row>
    <row r="37" spans="1:9" ht="14.25" customHeight="1" thickBot="1" x14ac:dyDescent="0.35">
      <c r="A37" s="68">
        <v>75</v>
      </c>
      <c r="B37" s="63" t="s">
        <v>227</v>
      </c>
      <c r="C37" s="72" t="s">
        <v>203</v>
      </c>
      <c r="D37" s="68">
        <f t="shared" si="1"/>
        <v>74</v>
      </c>
      <c r="E37" s="62" t="s">
        <v>106</v>
      </c>
      <c r="F37" s="62" t="s">
        <v>174</v>
      </c>
      <c r="G37" s="73">
        <v>90</v>
      </c>
      <c r="H37" s="71">
        <f>'Perhitungan LRP Pivot'!L31</f>
        <v>38.879999999999995</v>
      </c>
      <c r="I37" s="71">
        <f t="shared" si="0"/>
        <v>128.88</v>
      </c>
    </row>
    <row r="38" spans="1:9" ht="14.25" customHeight="1" thickBot="1" x14ac:dyDescent="0.35">
      <c r="A38" s="68">
        <v>84</v>
      </c>
      <c r="B38" s="63" t="s">
        <v>228</v>
      </c>
      <c r="C38" s="72" t="s">
        <v>203</v>
      </c>
      <c r="D38" s="68">
        <f t="shared" si="1"/>
        <v>83</v>
      </c>
      <c r="E38" s="62" t="s">
        <v>106</v>
      </c>
      <c r="F38" s="62" t="s">
        <v>174</v>
      </c>
      <c r="G38" s="73">
        <v>60</v>
      </c>
      <c r="H38" s="71">
        <f>'Perhitungan LRP Pivot'!L32</f>
        <v>4.3199999999999994</v>
      </c>
      <c r="I38" s="71">
        <f t="shared" si="0"/>
        <v>64.319999999999993</v>
      </c>
    </row>
    <row r="39" spans="1:9" ht="14.25" customHeight="1" thickBot="1" x14ac:dyDescent="0.35">
      <c r="A39" s="68">
        <v>85</v>
      </c>
      <c r="B39" s="63" t="s">
        <v>229</v>
      </c>
      <c r="C39" s="72" t="s">
        <v>203</v>
      </c>
      <c r="D39" s="68">
        <f t="shared" si="1"/>
        <v>84</v>
      </c>
      <c r="E39" s="62" t="s">
        <v>106</v>
      </c>
      <c r="F39" s="62" t="s">
        <v>174</v>
      </c>
      <c r="G39" s="73">
        <v>60</v>
      </c>
      <c r="H39" s="71">
        <f>'Perhitungan LRP Pivot'!L33</f>
        <v>9.8181818181818183</v>
      </c>
      <c r="I39" s="71">
        <f t="shared" si="0"/>
        <v>69.818181818181813</v>
      </c>
    </row>
    <row r="40" spans="1:9" ht="14.25" customHeight="1" thickBot="1" x14ac:dyDescent="0.35">
      <c r="A40" s="68">
        <v>86</v>
      </c>
      <c r="B40" s="63" t="s">
        <v>230</v>
      </c>
      <c r="C40" s="72" t="s">
        <v>203</v>
      </c>
      <c r="D40" s="68">
        <f t="shared" si="1"/>
        <v>85</v>
      </c>
      <c r="E40" s="62" t="s">
        <v>106</v>
      </c>
      <c r="F40" s="62" t="s">
        <v>174</v>
      </c>
      <c r="G40" s="73">
        <v>90</v>
      </c>
      <c r="H40" s="71">
        <f>'Perhitungan LRP Pivot'!L34</f>
        <v>12.279636333578804</v>
      </c>
      <c r="I40" s="71">
        <f t="shared" si="0"/>
        <v>102.27963633357881</v>
      </c>
    </row>
    <row r="41" spans="1:9" ht="14.25" customHeight="1" thickBot="1" x14ac:dyDescent="0.35">
      <c r="A41" s="68">
        <v>87</v>
      </c>
      <c r="B41" s="63" t="s">
        <v>231</v>
      </c>
      <c r="C41" s="72" t="s">
        <v>203</v>
      </c>
      <c r="D41" s="68">
        <f t="shared" si="1"/>
        <v>86</v>
      </c>
      <c r="E41" s="62" t="s">
        <v>106</v>
      </c>
      <c r="F41" s="62" t="s">
        <v>174</v>
      </c>
      <c r="G41" s="73">
        <v>60</v>
      </c>
      <c r="H41" s="71">
        <f>'Perhitungan LRP Pivot'!L35</f>
        <v>27.90826439449728</v>
      </c>
      <c r="I41" s="71">
        <f t="shared" si="0"/>
        <v>87.90826439449728</v>
      </c>
    </row>
    <row r="42" spans="1:9" ht="14.25" customHeight="1" thickBot="1" x14ac:dyDescent="0.35">
      <c r="A42" s="68">
        <v>88</v>
      </c>
      <c r="B42" s="63" t="s">
        <v>232</v>
      </c>
      <c r="C42" s="72" t="s">
        <v>203</v>
      </c>
      <c r="D42" s="68">
        <f t="shared" si="1"/>
        <v>87</v>
      </c>
      <c r="E42" s="62" t="s">
        <v>106</v>
      </c>
      <c r="F42" s="62" t="s">
        <v>174</v>
      </c>
      <c r="G42" s="73">
        <v>90</v>
      </c>
      <c r="H42" s="71">
        <f>'Perhitungan LRP Pivot'!L36</f>
        <v>80.695221718047847</v>
      </c>
      <c r="I42" s="71">
        <f t="shared" si="0"/>
        <v>170.69522171804783</v>
      </c>
    </row>
    <row r="43" spans="1:9" ht="14.25" customHeight="1" thickBot="1" x14ac:dyDescent="0.35">
      <c r="A43" s="68">
        <v>97</v>
      </c>
      <c r="B43" s="63" t="s">
        <v>233</v>
      </c>
      <c r="C43" s="72" t="s">
        <v>203</v>
      </c>
      <c r="D43" s="68">
        <f t="shared" si="1"/>
        <v>96</v>
      </c>
      <c r="E43" s="62" t="s">
        <v>106</v>
      </c>
      <c r="F43" s="62" t="s">
        <v>174</v>
      </c>
      <c r="G43" s="73">
        <v>60</v>
      </c>
      <c r="H43" s="71">
        <f>'Perhitungan LRP Pivot'!L37</f>
        <v>8.9661357464497602</v>
      </c>
      <c r="I43" s="71">
        <f t="shared" si="0"/>
        <v>68.966135746449766</v>
      </c>
    </row>
    <row r="44" spans="1:9" ht="14.25" customHeight="1" thickBot="1" x14ac:dyDescent="0.35">
      <c r="A44" s="68">
        <v>98</v>
      </c>
      <c r="B44" s="63" t="s">
        <v>234</v>
      </c>
      <c r="C44" s="72" t="s">
        <v>203</v>
      </c>
      <c r="D44" s="68">
        <f t="shared" si="1"/>
        <v>97</v>
      </c>
      <c r="E44" s="62" t="s">
        <v>106</v>
      </c>
      <c r="F44" s="62" t="s">
        <v>174</v>
      </c>
      <c r="G44" s="73">
        <v>60</v>
      </c>
      <c r="H44" s="71">
        <f>'Perhitungan LRP Pivot'!L38</f>
        <v>20.377581241931278</v>
      </c>
      <c r="I44" s="71">
        <f t="shared" si="0"/>
        <v>80.377581241931281</v>
      </c>
    </row>
    <row r="45" spans="1:9" ht="14.25" customHeight="1" thickBot="1" x14ac:dyDescent="0.35">
      <c r="A45" s="68">
        <v>99</v>
      </c>
      <c r="B45" s="63" t="s">
        <v>235</v>
      </c>
      <c r="C45" s="72" t="s">
        <v>203</v>
      </c>
      <c r="D45" s="68">
        <f t="shared" si="1"/>
        <v>98</v>
      </c>
      <c r="E45" s="62" t="s">
        <v>106</v>
      </c>
      <c r="F45" s="62" t="s">
        <v>174</v>
      </c>
      <c r="G45" s="73">
        <v>90</v>
      </c>
      <c r="H45" s="71">
        <f>'Perhitungan LRP Pivot'!L39</f>
        <v>68.386148721743879</v>
      </c>
      <c r="I45" s="71">
        <f t="shared" si="0"/>
        <v>158.38614872174389</v>
      </c>
    </row>
    <row r="46" spans="1:9" ht="14.25" customHeight="1" thickBot="1" x14ac:dyDescent="0.35">
      <c r="A46" s="68">
        <v>108</v>
      </c>
      <c r="B46" s="63" t="s">
        <v>236</v>
      </c>
      <c r="C46" s="72" t="s">
        <v>203</v>
      </c>
      <c r="D46" s="68">
        <f t="shared" si="1"/>
        <v>107</v>
      </c>
      <c r="E46" s="62" t="s">
        <v>106</v>
      </c>
      <c r="F46" s="62" t="s">
        <v>174</v>
      </c>
      <c r="G46" s="73">
        <v>60</v>
      </c>
      <c r="H46" s="71">
        <f>'Perhitungan LRP Pivot'!L40</f>
        <v>7.5984609690826526</v>
      </c>
      <c r="I46" s="71">
        <f t="shared" si="0"/>
        <v>67.598460969082652</v>
      </c>
    </row>
    <row r="47" spans="1:9" ht="14.25" customHeight="1" thickBot="1" x14ac:dyDescent="0.35">
      <c r="A47" s="68">
        <v>109</v>
      </c>
      <c r="B47" s="63" t="s">
        <v>237</v>
      </c>
      <c r="C47" s="72" t="s">
        <v>203</v>
      </c>
      <c r="D47" s="68">
        <f t="shared" si="1"/>
        <v>108</v>
      </c>
      <c r="E47" s="62" t="s">
        <v>106</v>
      </c>
      <c r="F47" s="62" t="s">
        <v>174</v>
      </c>
      <c r="G47" s="73">
        <v>60</v>
      </c>
      <c r="H47" s="71">
        <f>'Perhitungan LRP Pivot'!L41</f>
        <v>17.269229475187849</v>
      </c>
      <c r="I47" s="71">
        <f t="shared" si="0"/>
        <v>77.269229475187842</v>
      </c>
    </row>
    <row r="48" spans="1:9" ht="14.25" customHeight="1" thickBot="1" x14ac:dyDescent="0.35">
      <c r="A48" s="68">
        <v>110</v>
      </c>
      <c r="B48" s="63" t="s">
        <v>238</v>
      </c>
      <c r="C48" s="72" t="s">
        <v>203</v>
      </c>
      <c r="D48" s="68">
        <f t="shared" si="1"/>
        <v>109</v>
      </c>
      <c r="E48" s="62" t="s">
        <v>106</v>
      </c>
      <c r="F48" s="62" t="s">
        <v>174</v>
      </c>
      <c r="G48" s="73">
        <v>90</v>
      </c>
      <c r="H48" s="71">
        <f>'Perhitungan LRP Pivot'!L42</f>
        <v>6.6384609690826535</v>
      </c>
      <c r="I48" s="71">
        <f t="shared" si="0"/>
        <v>96.638460969082658</v>
      </c>
    </row>
    <row r="49" spans="1:9" ht="14.25" customHeight="1" thickBot="1" x14ac:dyDescent="0.35">
      <c r="A49" s="68">
        <v>111</v>
      </c>
      <c r="B49" s="63" t="s">
        <v>239</v>
      </c>
      <c r="C49" s="72" t="s">
        <v>203</v>
      </c>
      <c r="D49" s="68">
        <f t="shared" si="1"/>
        <v>110</v>
      </c>
      <c r="E49" s="62" t="s">
        <v>106</v>
      </c>
      <c r="F49" s="62" t="s">
        <v>174</v>
      </c>
      <c r="G49" s="73">
        <v>60</v>
      </c>
      <c r="H49" s="71">
        <f>'Perhitungan LRP Pivot'!L43</f>
        <v>15.087411293369666</v>
      </c>
      <c r="I49" s="71">
        <f t="shared" si="0"/>
        <v>75.087411293369669</v>
      </c>
    </row>
    <row r="50" spans="1:9" ht="14.25" customHeight="1" thickBot="1" x14ac:dyDescent="0.35">
      <c r="A50" s="68">
        <v>112</v>
      </c>
      <c r="B50" s="63" t="s">
        <v>240</v>
      </c>
      <c r="C50" s="72" t="s">
        <v>203</v>
      </c>
      <c r="D50" s="68">
        <f t="shared" si="1"/>
        <v>111</v>
      </c>
      <c r="E50" s="62" t="s">
        <v>106</v>
      </c>
      <c r="F50" s="62" t="s">
        <v>174</v>
      </c>
      <c r="G50" s="73">
        <v>90</v>
      </c>
      <c r="H50" s="71">
        <f>'Perhitungan LRP Pivot'!L44</f>
        <v>6.6384609690826535</v>
      </c>
      <c r="I50" s="71">
        <f t="shared" si="0"/>
        <v>96.638460969082658</v>
      </c>
    </row>
    <row r="51" spans="1:9" ht="14.25" customHeight="1" thickBot="1" x14ac:dyDescent="0.35">
      <c r="A51" s="68">
        <v>113</v>
      </c>
      <c r="B51" s="63" t="s">
        <v>241</v>
      </c>
      <c r="C51" s="72" t="s">
        <v>203</v>
      </c>
      <c r="D51" s="68">
        <f t="shared" si="1"/>
        <v>112</v>
      </c>
      <c r="E51" s="62" t="s">
        <v>106</v>
      </c>
      <c r="F51" s="62" t="s">
        <v>174</v>
      </c>
      <c r="G51" s="73">
        <v>60</v>
      </c>
      <c r="H51" s="71">
        <f>'Perhitungan LRP Pivot'!L45</f>
        <v>15.087411293369666</v>
      </c>
      <c r="I51" s="71">
        <f t="shared" si="0"/>
        <v>75.087411293369669</v>
      </c>
    </row>
    <row r="52" spans="1:9" ht="14.25" customHeight="1" thickBot="1" x14ac:dyDescent="0.35">
      <c r="A52" s="68">
        <v>114</v>
      </c>
      <c r="B52" s="93" t="s">
        <v>242</v>
      </c>
      <c r="C52" s="72" t="s">
        <v>203</v>
      </c>
      <c r="D52" s="68">
        <f t="shared" si="1"/>
        <v>113</v>
      </c>
      <c r="E52" s="62" t="s">
        <v>106</v>
      </c>
      <c r="F52" s="62" t="s">
        <v>174</v>
      </c>
      <c r="G52" s="73">
        <v>90</v>
      </c>
      <c r="H52" s="71">
        <f>'Perhitungan LRP Pivot'!L46</f>
        <v>12.279636333578804</v>
      </c>
      <c r="I52" s="71">
        <f t="shared" si="0"/>
        <v>102.27963633357881</v>
      </c>
    </row>
    <row r="53" spans="1:9" ht="14.25" customHeight="1" thickBot="1" x14ac:dyDescent="0.35">
      <c r="A53" s="94">
        <v>115</v>
      </c>
      <c r="B53" s="95" t="s">
        <v>243</v>
      </c>
      <c r="C53" s="96" t="s">
        <v>203</v>
      </c>
      <c r="D53" s="68">
        <f t="shared" si="1"/>
        <v>114</v>
      </c>
      <c r="E53" s="62" t="s">
        <v>106</v>
      </c>
      <c r="F53" s="62" t="s">
        <v>174</v>
      </c>
      <c r="G53" s="73">
        <v>60</v>
      </c>
      <c r="H53" s="71">
        <f>'Perhitungan LRP Pivot'!L47</f>
        <v>27.90826439449728</v>
      </c>
      <c r="I53" s="71">
        <f t="shared" si="0"/>
        <v>87.90826439449728</v>
      </c>
    </row>
    <row r="54" spans="1:9" ht="14.25" customHeight="1" thickBot="1" x14ac:dyDescent="0.35">
      <c r="A54" s="68">
        <v>116</v>
      </c>
      <c r="B54" s="63" t="s">
        <v>244</v>
      </c>
      <c r="C54" s="72" t="s">
        <v>203</v>
      </c>
      <c r="D54" s="68">
        <f t="shared" si="1"/>
        <v>115</v>
      </c>
      <c r="E54" s="62" t="s">
        <v>106</v>
      </c>
      <c r="F54" s="62" t="s">
        <v>174</v>
      </c>
      <c r="G54" s="73">
        <v>90</v>
      </c>
      <c r="H54" s="71">
        <f>'Perhitungan LRP Pivot'!L48</f>
        <v>18.48</v>
      </c>
      <c r="I54" s="71">
        <f t="shared" si="0"/>
        <v>108.48</v>
      </c>
    </row>
    <row r="55" spans="1:9" ht="14.25" customHeight="1" thickBot="1" x14ac:dyDescent="0.35">
      <c r="A55" s="68">
        <v>117</v>
      </c>
      <c r="B55" s="63" t="s">
        <v>245</v>
      </c>
      <c r="C55" s="72" t="s">
        <v>203</v>
      </c>
      <c r="D55" s="68">
        <f t="shared" si="1"/>
        <v>116</v>
      </c>
      <c r="E55" s="62" t="s">
        <v>106</v>
      </c>
      <c r="F55" s="62" t="s">
        <v>174</v>
      </c>
      <c r="G55" s="73">
        <v>60</v>
      </c>
      <c r="H55" s="71">
        <f>'Perhitungan LRP Pivot'!L49</f>
        <v>42</v>
      </c>
      <c r="I55" s="71">
        <f t="shared" si="0"/>
        <v>102</v>
      </c>
    </row>
    <row r="56" spans="1:9" ht="14.25" customHeight="1" thickBot="1" x14ac:dyDescent="0.35">
      <c r="A56" s="68">
        <v>118</v>
      </c>
      <c r="B56" s="63" t="s">
        <v>246</v>
      </c>
      <c r="C56" s="72" t="s">
        <v>203</v>
      </c>
      <c r="D56" s="68">
        <f t="shared" si="1"/>
        <v>117</v>
      </c>
      <c r="E56" s="62" t="s">
        <v>106</v>
      </c>
      <c r="F56" s="62" t="s">
        <v>174</v>
      </c>
      <c r="G56" s="73">
        <v>90</v>
      </c>
      <c r="H56" s="71">
        <f>'Perhitungan LRP Pivot'!L50</f>
        <v>18.431999999999999</v>
      </c>
      <c r="I56" s="71">
        <f t="shared" si="0"/>
        <v>108.432</v>
      </c>
    </row>
    <row r="57" spans="1:9" ht="14.25" customHeight="1" thickBot="1" x14ac:dyDescent="0.35">
      <c r="A57" s="68">
        <v>119</v>
      </c>
      <c r="B57" s="63" t="s">
        <v>247</v>
      </c>
      <c r="C57" s="72" t="s">
        <v>203</v>
      </c>
      <c r="D57" s="68">
        <f t="shared" si="1"/>
        <v>118</v>
      </c>
      <c r="E57" s="62" t="s">
        <v>106</v>
      </c>
      <c r="F57" s="62" t="s">
        <v>174</v>
      </c>
      <c r="G57" s="73">
        <v>60</v>
      </c>
      <c r="H57" s="71">
        <f>'Perhitungan LRP Pivot'!L51</f>
        <v>41.890909090909091</v>
      </c>
      <c r="I57" s="71">
        <f t="shared" si="0"/>
        <v>101.89090909090909</v>
      </c>
    </row>
    <row r="58" spans="1:9" ht="14.25" customHeight="1" thickBot="1" x14ac:dyDescent="0.35">
      <c r="A58" s="68">
        <v>120</v>
      </c>
      <c r="B58" s="63" t="s">
        <v>248</v>
      </c>
      <c r="C58" s="72" t="s">
        <v>203</v>
      </c>
      <c r="D58" s="68">
        <f t="shared" si="1"/>
        <v>119</v>
      </c>
      <c r="E58" s="62" t="s">
        <v>106</v>
      </c>
      <c r="F58" s="62" t="s">
        <v>174</v>
      </c>
      <c r="G58" s="73">
        <v>90</v>
      </c>
      <c r="H58" s="71">
        <f>'Perhitungan LRP Pivot'!L52</f>
        <v>24.959999999999997</v>
      </c>
      <c r="I58" s="71">
        <f t="shared" si="0"/>
        <v>114.96</v>
      </c>
    </row>
    <row r="59" spans="1:9" ht="14.25" customHeight="1" thickBot="1" x14ac:dyDescent="0.35">
      <c r="A59" s="68">
        <v>122</v>
      </c>
      <c r="B59" s="63" t="s">
        <v>249</v>
      </c>
      <c r="C59" s="72" t="s">
        <v>203</v>
      </c>
      <c r="D59" s="68">
        <f t="shared" si="1"/>
        <v>121</v>
      </c>
      <c r="E59" s="62" t="s">
        <v>106</v>
      </c>
      <c r="F59" s="62" t="s">
        <v>174</v>
      </c>
      <c r="G59" s="73">
        <v>60</v>
      </c>
      <c r="H59" s="71">
        <f>'Perhitungan LRP Pivot'!L53</f>
        <v>27.568179600886392</v>
      </c>
      <c r="I59" s="71">
        <f t="shared" si="0"/>
        <v>87.568179600886396</v>
      </c>
    </row>
    <row r="60" spans="1:9" ht="14.25" customHeight="1" thickBot="1" x14ac:dyDescent="0.35">
      <c r="A60" s="68">
        <v>123</v>
      </c>
      <c r="B60" s="63" t="s">
        <v>250</v>
      </c>
      <c r="C60" s="72" t="s">
        <v>203</v>
      </c>
      <c r="D60" s="68">
        <f t="shared" si="1"/>
        <v>122</v>
      </c>
      <c r="E60" s="62" t="s">
        <v>106</v>
      </c>
      <c r="F60" s="62" t="s">
        <v>174</v>
      </c>
      <c r="G60" s="73">
        <v>90</v>
      </c>
      <c r="H60" s="71">
        <f>'Perhitungan LRP Pivot'!L54</f>
        <v>88.893457079748799</v>
      </c>
      <c r="I60" s="71">
        <f t="shared" si="0"/>
        <v>178.8934570797488</v>
      </c>
    </row>
    <row r="61" spans="1:9" ht="14.25" customHeight="1" thickBot="1" x14ac:dyDescent="0.35">
      <c r="A61" s="68">
        <v>132</v>
      </c>
      <c r="B61" s="63" t="s">
        <v>251</v>
      </c>
      <c r="C61" s="72" t="s">
        <v>203</v>
      </c>
      <c r="D61" s="68">
        <f t="shared" si="1"/>
        <v>131</v>
      </c>
      <c r="E61" s="62" t="s">
        <v>106</v>
      </c>
      <c r="F61" s="62" t="s">
        <v>174</v>
      </c>
      <c r="G61" s="73">
        <v>60</v>
      </c>
      <c r="H61" s="71">
        <f>'Perhitungan LRP Pivot'!L55</f>
        <v>9.8770507866387565</v>
      </c>
      <c r="I61" s="71">
        <f t="shared" si="0"/>
        <v>69.877050786638762</v>
      </c>
    </row>
    <row r="62" spans="1:9" ht="14.25" customHeight="1" thickBot="1" x14ac:dyDescent="0.35">
      <c r="A62" s="68">
        <v>133</v>
      </c>
      <c r="B62" s="63" t="s">
        <v>252</v>
      </c>
      <c r="C62" s="72" t="s">
        <v>203</v>
      </c>
      <c r="D62" s="68">
        <f t="shared" si="1"/>
        <v>132</v>
      </c>
      <c r="E62" s="62" t="s">
        <v>106</v>
      </c>
      <c r="F62" s="62" t="s">
        <v>174</v>
      </c>
      <c r="G62" s="73">
        <v>60</v>
      </c>
      <c r="H62" s="71">
        <f>'Perhitungan LRP Pivot'!L56</f>
        <v>22.44784269690626</v>
      </c>
      <c r="I62" s="71">
        <f t="shared" si="0"/>
        <v>82.447842696906264</v>
      </c>
    </row>
    <row r="63" spans="1:9" ht="14.25" customHeight="1" thickBot="1" x14ac:dyDescent="0.35">
      <c r="A63" s="68">
        <v>134</v>
      </c>
      <c r="B63" s="63" t="s">
        <v>253</v>
      </c>
      <c r="C63" s="72" t="s">
        <v>105</v>
      </c>
      <c r="D63" s="68">
        <f t="shared" si="1"/>
        <v>133</v>
      </c>
      <c r="E63" s="62" t="s">
        <v>106</v>
      </c>
      <c r="F63" s="62" t="s">
        <v>254</v>
      </c>
      <c r="G63" s="73">
        <v>180</v>
      </c>
      <c r="H63" s="73">
        <f>'Perhitungan LRP Pivot'!J70</f>
        <v>30.614999999999998</v>
      </c>
      <c r="I63" s="71">
        <f t="shared" si="0"/>
        <v>210.61500000000001</v>
      </c>
    </row>
    <row r="64" spans="1:9" ht="14.25" customHeight="1" thickBot="1" x14ac:dyDescent="0.35">
      <c r="A64" s="68">
        <v>135</v>
      </c>
      <c r="B64" s="63" t="s">
        <v>255</v>
      </c>
      <c r="C64" s="72" t="s">
        <v>105</v>
      </c>
      <c r="D64" s="68">
        <f t="shared" si="1"/>
        <v>134</v>
      </c>
      <c r="E64" s="62" t="s">
        <v>106</v>
      </c>
      <c r="F64" s="62" t="s">
        <v>254</v>
      </c>
      <c r="G64" s="73">
        <v>90</v>
      </c>
      <c r="H64" s="73">
        <f>'Perhitungan LRP Pivot'!J71</f>
        <v>7.0649999999999995</v>
      </c>
      <c r="I64" s="71">
        <f t="shared" si="0"/>
        <v>97.064999999999998</v>
      </c>
    </row>
    <row r="65" spans="1:9" ht="14.25" customHeight="1" thickBot="1" x14ac:dyDescent="0.35">
      <c r="A65" s="68">
        <v>136</v>
      </c>
      <c r="B65" s="63" t="s">
        <v>256</v>
      </c>
      <c r="C65" s="72" t="s">
        <v>203</v>
      </c>
      <c r="D65" s="68">
        <f t="shared" si="1"/>
        <v>135</v>
      </c>
      <c r="E65" s="62" t="s">
        <v>106</v>
      </c>
      <c r="F65" s="62" t="s">
        <v>174</v>
      </c>
      <c r="G65" s="73">
        <v>180</v>
      </c>
      <c r="H65" s="73">
        <f>'Perhitungan LRP Pivot'!L57</f>
        <v>17.600556900684659</v>
      </c>
      <c r="I65" s="71">
        <f t="shared" si="0"/>
        <v>197.60055690068467</v>
      </c>
    </row>
    <row r="66" spans="1:9" ht="14.25" customHeight="1" thickBot="1" x14ac:dyDescent="0.35">
      <c r="A66" s="68">
        <v>138</v>
      </c>
      <c r="B66" s="63" t="s">
        <v>257</v>
      </c>
      <c r="C66" s="72" t="s">
        <v>203</v>
      </c>
      <c r="D66" s="68">
        <f t="shared" si="1"/>
        <v>137</v>
      </c>
      <c r="E66" s="62" t="s">
        <v>106</v>
      </c>
      <c r="F66" s="62" t="s">
        <v>174</v>
      </c>
      <c r="G66" s="73">
        <v>60</v>
      </c>
      <c r="H66" s="73">
        <f>'Perhitungan LRP Pivot'!L58</f>
        <v>8.8002784503423293</v>
      </c>
      <c r="I66" s="71">
        <f t="shared" si="0"/>
        <v>68.800278450342333</v>
      </c>
    </row>
    <row r="67" spans="1:9" ht="14.25" customHeight="1" thickBot="1" x14ac:dyDescent="0.35">
      <c r="A67" s="68">
        <v>139</v>
      </c>
      <c r="B67" s="63" t="s">
        <v>258</v>
      </c>
      <c r="C67" s="72" t="s">
        <v>203</v>
      </c>
      <c r="D67" s="68">
        <f t="shared" si="1"/>
        <v>138</v>
      </c>
      <c r="E67" s="62" t="s">
        <v>106</v>
      </c>
      <c r="F67" s="62" t="s">
        <v>174</v>
      </c>
      <c r="G67" s="73">
        <v>60</v>
      </c>
      <c r="H67" s="73">
        <f>'Perhitungan LRP Pivot'!L59</f>
        <v>20.000632841687111</v>
      </c>
      <c r="I67" s="71">
        <f t="shared" si="0"/>
        <v>80.000632841687107</v>
      </c>
    </row>
    <row r="68" spans="1:9" ht="14.25" customHeight="1" thickBot="1" x14ac:dyDescent="0.35">
      <c r="A68" s="68">
        <v>140</v>
      </c>
      <c r="B68" s="74" t="s">
        <v>110</v>
      </c>
      <c r="C68" s="68" t="s">
        <v>98</v>
      </c>
      <c r="D68" s="68"/>
      <c r="E68" s="68"/>
      <c r="F68" s="68" t="s">
        <v>100</v>
      </c>
      <c r="G68" s="73">
        <v>0</v>
      </c>
      <c r="H68" s="73">
        <f>'Perhitungan LRP Pivot'!L60</f>
        <v>0</v>
      </c>
      <c r="I68" s="71">
        <f t="shared" si="0"/>
        <v>0</v>
      </c>
    </row>
    <row r="69" spans="1:9" ht="14.25" customHeight="1" thickBot="1" x14ac:dyDescent="0.35">
      <c r="H69" s="73" t="s">
        <v>27</v>
      </c>
      <c r="I69" s="73">
        <f>SUM(I12:I68)</f>
        <v>5774.3191729677983</v>
      </c>
    </row>
    <row r="70" spans="1:9" ht="14.25" customHeight="1" x14ac:dyDescent="0.3"/>
    <row r="71" spans="1:9" ht="14.25" customHeight="1" x14ac:dyDescent="0.3"/>
    <row r="72" spans="1:9" ht="14.25" customHeight="1" x14ac:dyDescent="0.3"/>
    <row r="73" spans="1:9" ht="14.25" customHeight="1" x14ac:dyDescent="0.3"/>
    <row r="74" spans="1:9" ht="14.25" customHeight="1" x14ac:dyDescent="0.3"/>
    <row r="75" spans="1:9" ht="14.25" customHeight="1" x14ac:dyDescent="0.3"/>
    <row r="76" spans="1:9" ht="14.25" customHeight="1" x14ac:dyDescent="0.3"/>
    <row r="77" spans="1:9" ht="14.25" customHeight="1" x14ac:dyDescent="0.3"/>
    <row r="78" spans="1:9" ht="14.25" customHeight="1" x14ac:dyDescent="0.3"/>
    <row r="79" spans="1:9" ht="14.25" customHeight="1" x14ac:dyDescent="0.3"/>
    <row r="80" spans="1:9"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row r="1001" ht="15.75" customHeight="1" x14ac:dyDescent="0.3"/>
    <row r="1002" ht="15.75" customHeight="1" x14ac:dyDescent="0.3"/>
    <row r="1003" ht="15.75" customHeight="1" x14ac:dyDescent="0.3"/>
    <row r="1004" ht="15.75" customHeight="1" x14ac:dyDescent="0.3"/>
    <row r="1005" ht="15.75" customHeight="1" x14ac:dyDescent="0.3"/>
    <row r="1006" ht="15.75" customHeight="1" x14ac:dyDescent="0.3"/>
    <row r="1007" ht="15.75" customHeight="1" x14ac:dyDescent="0.3"/>
    <row r="1008" ht="15.75" customHeight="1" x14ac:dyDescent="0.3"/>
    <row r="1009" ht="15.75" customHeight="1" x14ac:dyDescent="0.3"/>
    <row r="1010" ht="15.75" customHeight="1" x14ac:dyDescent="0.3"/>
    <row r="1011" ht="15.75" customHeight="1" x14ac:dyDescent="0.3"/>
    <row r="1012" ht="15.75" customHeight="1" x14ac:dyDescent="0.3"/>
    <row r="1013" ht="15.75" customHeight="1" x14ac:dyDescent="0.3"/>
    <row r="1014" ht="15.75" customHeight="1" x14ac:dyDescent="0.3"/>
    <row r="1015" ht="15.75" customHeight="1" x14ac:dyDescent="0.3"/>
    <row r="1016" ht="15.75" customHeight="1" x14ac:dyDescent="0.3"/>
    <row r="1017" ht="15.75" customHeight="1" x14ac:dyDescent="0.3"/>
    <row r="1018" ht="15.75" customHeight="1" x14ac:dyDescent="0.3"/>
    <row r="1019" ht="15.75" customHeight="1" x14ac:dyDescent="0.3"/>
    <row r="1020" ht="15.75" customHeight="1" x14ac:dyDescent="0.3"/>
    <row r="1021" ht="15.75" customHeight="1" x14ac:dyDescent="0.3"/>
    <row r="1022" ht="15.75" customHeight="1" x14ac:dyDescent="0.3"/>
    <row r="1023" ht="15.75" customHeight="1" x14ac:dyDescent="0.3"/>
    <row r="1024" ht="15.75" customHeight="1" x14ac:dyDescent="0.3"/>
    <row r="1025" ht="15.75" customHeight="1" x14ac:dyDescent="0.3"/>
    <row r="1026" ht="15.75" customHeight="1" x14ac:dyDescent="0.3"/>
    <row r="1027" ht="15.75" customHeight="1" x14ac:dyDescent="0.3"/>
    <row r="1028" ht="15.75" customHeight="1" x14ac:dyDescent="0.3"/>
    <row r="1029" ht="15.75" customHeight="1" x14ac:dyDescent="0.3"/>
    <row r="1030" ht="15.75" customHeight="1" x14ac:dyDescent="0.3"/>
    <row r="1031" ht="15.75" customHeight="1" x14ac:dyDescent="0.3"/>
    <row r="1032" ht="15.75" customHeight="1" x14ac:dyDescent="0.3"/>
    <row r="1033" ht="15.75" customHeight="1" x14ac:dyDescent="0.3"/>
    <row r="1034" ht="15.75" customHeight="1" x14ac:dyDescent="0.3"/>
    <row r="1035" ht="15.75" customHeight="1" x14ac:dyDescent="0.3"/>
    <row r="1036" ht="15.75" customHeight="1" x14ac:dyDescent="0.3"/>
    <row r="1037" ht="15.75" customHeight="1" x14ac:dyDescent="0.3"/>
  </sheetData>
  <mergeCells count="25">
    <mergeCell ref="B4:D4"/>
    <mergeCell ref="F4:I4"/>
    <mergeCell ref="A1:I1"/>
    <mergeCell ref="K1:N1"/>
    <mergeCell ref="A2:I2"/>
    <mergeCell ref="B3:D3"/>
    <mergeCell ref="F3:I3"/>
    <mergeCell ref="B5:D5"/>
    <mergeCell ref="F5:I5"/>
    <mergeCell ref="A6:D6"/>
    <mergeCell ref="E6:E8"/>
    <mergeCell ref="G6:H6"/>
    <mergeCell ref="B7:D7"/>
    <mergeCell ref="G7:H7"/>
    <mergeCell ref="B8:D8"/>
    <mergeCell ref="G8:H8"/>
    <mergeCell ref="A9:I9"/>
    <mergeCell ref="A10:A11"/>
    <mergeCell ref="B10:B11"/>
    <mergeCell ref="C10:C11"/>
    <mergeCell ref="D10:E10"/>
    <mergeCell ref="F10:F11"/>
    <mergeCell ref="G10:G11"/>
    <mergeCell ref="H10:H11"/>
    <mergeCell ref="I10:I11"/>
  </mergeCells>
  <pageMargins left="0.7" right="0.7" top="0.75" bottom="0.75" header="0" footer="0"/>
  <pageSetup orientation="landscape"/>
  <drawing r:id="rId1"/>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C7DC3-C1C9-4EB1-8A99-EB82E764309D}">
  <dimension ref="A1:AN1001"/>
  <sheetViews>
    <sheetView topLeftCell="A4" zoomScale="89" workbookViewId="0">
      <selection activeCell="D7" sqref="D7"/>
    </sheetView>
  </sheetViews>
  <sheetFormatPr defaultColWidth="14.44140625" defaultRowHeight="15" customHeight="1" x14ac:dyDescent="0.3"/>
  <cols>
    <col min="1" max="1" width="15" style="57" customWidth="1"/>
    <col min="2" max="2" width="78.44140625" style="57" customWidth="1"/>
    <col min="3" max="3" width="10.21875" style="57" customWidth="1"/>
    <col min="4" max="4" width="9" style="57" customWidth="1"/>
    <col min="5" max="5" width="10.44140625" style="57" customWidth="1"/>
    <col min="6" max="7" width="12.5546875" style="57" customWidth="1"/>
    <col min="8" max="8" width="11.5546875" style="57" customWidth="1"/>
    <col min="9" max="9" width="9.44140625" style="57" customWidth="1"/>
    <col min="10" max="10" width="11.5546875" style="57" customWidth="1"/>
    <col min="11" max="11" width="14.44140625" style="57"/>
    <col min="12" max="12" width="12.21875" style="57" customWidth="1"/>
    <col min="13" max="13" width="18.21875" style="57" customWidth="1"/>
    <col min="14" max="14" width="18.5546875" style="57" customWidth="1"/>
    <col min="15" max="15" width="17.5546875" style="57" customWidth="1"/>
    <col min="16" max="16" width="15.21875" style="57" customWidth="1"/>
    <col min="17" max="17" width="18.44140625" style="57" customWidth="1"/>
    <col min="18" max="18" width="17.5546875" style="57" customWidth="1"/>
    <col min="19" max="19" width="18.44140625" style="57" customWidth="1"/>
    <col min="20" max="40" width="8.5546875" style="57" customWidth="1"/>
    <col min="41" max="16384" width="14.44140625" style="57"/>
  </cols>
  <sheetData>
    <row r="1" spans="1:38" ht="14.25" customHeight="1" x14ac:dyDescent="0.3">
      <c r="A1" s="247" t="s">
        <v>28</v>
      </c>
      <c r="B1" s="248"/>
      <c r="C1" s="248"/>
      <c r="D1" s="248"/>
      <c r="E1" s="248"/>
      <c r="F1" s="248"/>
      <c r="G1" s="248"/>
      <c r="H1" s="248"/>
      <c r="I1" s="248"/>
      <c r="J1" s="248"/>
      <c r="K1" s="248"/>
      <c r="L1" s="248"/>
      <c r="M1" s="248"/>
      <c r="N1" s="248"/>
      <c r="O1" s="248"/>
      <c r="P1" s="248"/>
      <c r="Q1" s="248"/>
      <c r="R1" s="249"/>
      <c r="T1" s="253" t="s">
        <v>29</v>
      </c>
      <c r="U1" s="254"/>
      <c r="V1" s="254"/>
      <c r="W1" s="254"/>
      <c r="X1" s="254"/>
      <c r="Y1" s="254"/>
      <c r="Z1" s="254"/>
      <c r="AA1" s="254"/>
      <c r="AB1" s="254"/>
      <c r="AC1" s="254"/>
      <c r="AE1" s="253" t="s">
        <v>30</v>
      </c>
      <c r="AF1" s="254"/>
      <c r="AG1" s="254"/>
      <c r="AH1" s="254"/>
      <c r="AI1" s="254"/>
      <c r="AJ1" s="254"/>
      <c r="AK1" s="254"/>
      <c r="AL1" s="254"/>
    </row>
    <row r="2" spans="1:38" ht="14.25" customHeight="1" x14ac:dyDescent="0.3">
      <c r="A2" s="250"/>
      <c r="B2" s="251"/>
      <c r="C2" s="251"/>
      <c r="D2" s="251"/>
      <c r="E2" s="251"/>
      <c r="F2" s="251"/>
      <c r="G2" s="251"/>
      <c r="H2" s="251"/>
      <c r="I2" s="251"/>
      <c r="J2" s="251"/>
      <c r="K2" s="251"/>
      <c r="L2" s="251"/>
      <c r="M2" s="251"/>
      <c r="N2" s="251"/>
      <c r="O2" s="251"/>
      <c r="P2" s="251"/>
      <c r="Q2" s="251"/>
      <c r="R2" s="252"/>
      <c r="T2" s="254"/>
      <c r="U2" s="254"/>
      <c r="V2" s="254"/>
      <c r="W2" s="254"/>
      <c r="X2" s="254"/>
      <c r="Y2" s="254"/>
      <c r="Z2" s="254"/>
      <c r="AA2" s="254"/>
      <c r="AB2" s="254"/>
      <c r="AC2" s="254"/>
      <c r="AE2" s="254"/>
      <c r="AF2" s="254"/>
      <c r="AG2" s="254"/>
      <c r="AH2" s="254"/>
      <c r="AI2" s="254"/>
      <c r="AJ2" s="254"/>
      <c r="AK2" s="254"/>
      <c r="AL2" s="254"/>
    </row>
    <row r="3" spans="1:38" ht="14.25" customHeight="1" x14ac:dyDescent="0.3"/>
    <row r="4" spans="1:38" ht="14.25" customHeight="1" x14ac:dyDescent="0.3"/>
    <row r="5" spans="1:38" ht="14.25" customHeight="1" x14ac:dyDescent="0.3">
      <c r="A5" s="255" t="s">
        <v>31</v>
      </c>
      <c r="B5" s="246"/>
    </row>
    <row r="6" spans="1:38" ht="14.25" customHeight="1" x14ac:dyDescent="0.3">
      <c r="A6" s="76" t="s">
        <v>15</v>
      </c>
      <c r="B6" s="76" t="s">
        <v>32</v>
      </c>
      <c r="C6" s="81" t="s">
        <v>33</v>
      </c>
      <c r="D6" s="81" t="s">
        <v>34</v>
      </c>
      <c r="E6" s="81" t="s">
        <v>35</v>
      </c>
      <c r="F6" s="81" t="s">
        <v>36</v>
      </c>
      <c r="G6" s="81" t="s">
        <v>37</v>
      </c>
      <c r="H6" s="81" t="s">
        <v>38</v>
      </c>
      <c r="I6" s="81" t="s">
        <v>39</v>
      </c>
      <c r="J6" s="81" t="s">
        <v>40</v>
      </c>
      <c r="K6" s="81" t="s">
        <v>41</v>
      </c>
      <c r="L6" s="81" t="s">
        <v>42</v>
      </c>
      <c r="M6" s="81" t="s">
        <v>43</v>
      </c>
      <c r="N6" s="81" t="s">
        <v>44</v>
      </c>
      <c r="O6" s="81" t="s">
        <v>45</v>
      </c>
      <c r="P6" s="81" t="s">
        <v>46</v>
      </c>
      <c r="Q6" s="81" t="s">
        <v>47</v>
      </c>
    </row>
    <row r="7" spans="1:38" ht="14.25" customHeight="1" x14ac:dyDescent="0.3">
      <c r="A7" s="97">
        <v>2</v>
      </c>
      <c r="B7" s="98" t="s">
        <v>259</v>
      </c>
      <c r="C7" s="78">
        <v>20</v>
      </c>
      <c r="D7" s="99">
        <v>5</v>
      </c>
      <c r="E7" s="99">
        <v>75</v>
      </c>
      <c r="F7" s="78">
        <v>200000</v>
      </c>
      <c r="G7" s="78">
        <f t="shared" ref="G7:G59" si="0">F7/(C7*3.14)</f>
        <v>3184.7133757961783</v>
      </c>
      <c r="H7" s="78">
        <v>250</v>
      </c>
      <c r="I7" s="78">
        <v>7.12</v>
      </c>
      <c r="J7" s="78">
        <f>SQRT(I7*(C7-I7))</f>
        <v>9.576304088739036</v>
      </c>
      <c r="K7" s="78">
        <f>((E7+J7)/H7)*9</f>
        <v>3.0447469471946054</v>
      </c>
      <c r="L7" s="78">
        <f t="shared" ref="L7:L59" si="1">K7*60</f>
        <v>182.68481683167633</v>
      </c>
      <c r="M7" s="78">
        <f t="shared" ref="M7:M59" si="2">I7*H7*D7</f>
        <v>8900</v>
      </c>
      <c r="N7" s="78">
        <v>243750</v>
      </c>
      <c r="O7" s="78">
        <f t="shared" ref="O7:O59" si="3">K7*M7</f>
        <v>27098.247830031989</v>
      </c>
      <c r="P7" s="78">
        <f t="shared" ref="P7:P59" si="4">((M7*K7)/N7)*100</f>
        <v>11.117229878987482</v>
      </c>
      <c r="Q7" s="78">
        <f t="shared" ref="Q7:Q59" si="5">N7-O7</f>
        <v>216651.75216996801</v>
      </c>
    </row>
    <row r="8" spans="1:38" ht="14.25" customHeight="1" x14ac:dyDescent="0.3">
      <c r="A8" s="97">
        <v>11</v>
      </c>
      <c r="B8" s="98" t="s">
        <v>260</v>
      </c>
      <c r="C8" s="78">
        <v>20</v>
      </c>
      <c r="D8" s="99">
        <v>4</v>
      </c>
      <c r="E8" s="99">
        <v>75</v>
      </c>
      <c r="F8" s="78">
        <v>200000</v>
      </c>
      <c r="G8" s="78">
        <f t="shared" si="0"/>
        <v>3184.7133757961783</v>
      </c>
      <c r="H8" s="78">
        <v>250</v>
      </c>
      <c r="I8" s="78">
        <v>7.12</v>
      </c>
      <c r="J8" s="78">
        <f>SQRT(I8*(C8-I8))</f>
        <v>9.576304088739036</v>
      </c>
      <c r="K8" s="78">
        <f>((E8+J8)/H8)</f>
        <v>0.33830521635495614</v>
      </c>
      <c r="L8" s="78">
        <f t="shared" si="1"/>
        <v>20.298312981297368</v>
      </c>
      <c r="M8" s="78">
        <f t="shared" si="2"/>
        <v>7120</v>
      </c>
      <c r="N8" s="78">
        <f>Q7</f>
        <v>216651.75216996801</v>
      </c>
      <c r="O8" s="78">
        <f t="shared" si="3"/>
        <v>2408.7331404472875</v>
      </c>
      <c r="P8" s="78">
        <f t="shared" si="4"/>
        <v>1.1117995198846045</v>
      </c>
      <c r="Q8" s="78">
        <f t="shared" si="5"/>
        <v>214243.01902952071</v>
      </c>
    </row>
    <row r="9" spans="1:38" ht="14.25" customHeight="1" x14ac:dyDescent="0.3">
      <c r="A9" s="97">
        <v>12</v>
      </c>
      <c r="B9" s="98" t="s">
        <v>261</v>
      </c>
      <c r="C9" s="78">
        <v>20</v>
      </c>
      <c r="D9" s="99">
        <v>1</v>
      </c>
      <c r="E9" s="99">
        <v>75</v>
      </c>
      <c r="F9" s="78">
        <v>250000</v>
      </c>
      <c r="G9" s="78">
        <f t="shared" si="0"/>
        <v>3980.8917197452229</v>
      </c>
      <c r="H9" s="78">
        <v>110</v>
      </c>
      <c r="I9" s="78">
        <v>7.12</v>
      </c>
      <c r="J9" s="78">
        <f>SQRT(I9*(C9-I9))</f>
        <v>9.576304088739036</v>
      </c>
      <c r="K9" s="78">
        <f>((E9+J9)/H9)</f>
        <v>0.76887549171580938</v>
      </c>
      <c r="L9" s="78">
        <f t="shared" si="1"/>
        <v>46.132529502948564</v>
      </c>
      <c r="M9" s="78">
        <f t="shared" si="2"/>
        <v>783.2</v>
      </c>
      <c r="N9" s="78">
        <f t="shared" ref="N9:N59" si="6">Q8</f>
        <v>214243.01902952071</v>
      </c>
      <c r="O9" s="78">
        <f t="shared" si="3"/>
        <v>602.18328511182199</v>
      </c>
      <c r="P9" s="78">
        <f t="shared" si="4"/>
        <v>0.28107486901538048</v>
      </c>
      <c r="Q9" s="78">
        <f t="shared" si="5"/>
        <v>213640.83574440889</v>
      </c>
    </row>
    <row r="10" spans="1:38" ht="14.25" customHeight="1" x14ac:dyDescent="0.3">
      <c r="A10" s="97">
        <v>13</v>
      </c>
      <c r="B10" s="98" t="s">
        <v>262</v>
      </c>
      <c r="C10" s="78">
        <v>20</v>
      </c>
      <c r="D10" s="99">
        <v>5</v>
      </c>
      <c r="E10" s="99">
        <v>25</v>
      </c>
      <c r="F10" s="78">
        <v>200000</v>
      </c>
      <c r="G10" s="78">
        <f t="shared" si="0"/>
        <v>3184.7133757961783</v>
      </c>
      <c r="H10" s="78">
        <v>250</v>
      </c>
      <c r="I10" s="78">
        <v>20</v>
      </c>
      <c r="J10" s="78">
        <f>C10/2</f>
        <v>10</v>
      </c>
      <c r="K10" s="78">
        <f>((E10+J10)/H10)*9</f>
        <v>1.2600000000000002</v>
      </c>
      <c r="L10" s="78">
        <f t="shared" si="1"/>
        <v>75.600000000000009</v>
      </c>
      <c r="M10" s="78">
        <f t="shared" si="2"/>
        <v>25000</v>
      </c>
      <c r="N10" s="78">
        <f t="shared" si="6"/>
        <v>213640.83574440889</v>
      </c>
      <c r="O10" s="78">
        <f t="shared" si="3"/>
        <v>31500.000000000007</v>
      </c>
      <c r="P10" s="78">
        <f t="shared" si="4"/>
        <v>14.744372203114441</v>
      </c>
      <c r="Q10" s="78">
        <f t="shared" si="5"/>
        <v>182140.83574440889</v>
      </c>
    </row>
    <row r="11" spans="1:38" ht="14.25" customHeight="1" x14ac:dyDescent="0.3">
      <c r="A11" s="97">
        <v>22</v>
      </c>
      <c r="B11" s="98" t="s">
        <v>263</v>
      </c>
      <c r="C11" s="78">
        <v>20</v>
      </c>
      <c r="D11" s="99">
        <v>4</v>
      </c>
      <c r="E11" s="99">
        <v>25</v>
      </c>
      <c r="F11" s="78">
        <v>200000</v>
      </c>
      <c r="G11" s="78">
        <f t="shared" si="0"/>
        <v>3184.7133757961783</v>
      </c>
      <c r="H11" s="78">
        <v>250</v>
      </c>
      <c r="I11" s="78">
        <v>20</v>
      </c>
      <c r="J11" s="78">
        <f>C11/2</f>
        <v>10</v>
      </c>
      <c r="K11" s="78">
        <f>((E11+J11)/H11)</f>
        <v>0.14000000000000001</v>
      </c>
      <c r="L11" s="78">
        <f t="shared" si="1"/>
        <v>8.4</v>
      </c>
      <c r="M11" s="78">
        <f t="shared" si="2"/>
        <v>20000</v>
      </c>
      <c r="N11" s="78">
        <f t="shared" si="6"/>
        <v>182140.83574440889</v>
      </c>
      <c r="O11" s="78">
        <f t="shared" si="3"/>
        <v>2800.0000000000005</v>
      </c>
      <c r="P11" s="78">
        <f t="shared" si="4"/>
        <v>1.5372719624110713</v>
      </c>
      <c r="Q11" s="78">
        <f t="shared" si="5"/>
        <v>179340.83574440889</v>
      </c>
    </row>
    <row r="12" spans="1:38" ht="14.25" customHeight="1" x14ac:dyDescent="0.3">
      <c r="A12" s="97">
        <v>23</v>
      </c>
      <c r="B12" s="98" t="s">
        <v>264</v>
      </c>
      <c r="C12" s="78">
        <v>20</v>
      </c>
      <c r="D12" s="99">
        <v>1</v>
      </c>
      <c r="E12" s="99">
        <v>25</v>
      </c>
      <c r="F12" s="78">
        <v>250000</v>
      </c>
      <c r="G12" s="78">
        <f t="shared" si="0"/>
        <v>3980.8917197452229</v>
      </c>
      <c r="H12" s="78">
        <v>110</v>
      </c>
      <c r="I12" s="78">
        <v>1</v>
      </c>
      <c r="J12" s="78">
        <f>SQRT(I12*(C12-I12))</f>
        <v>4.358898943540674</v>
      </c>
      <c r="K12" s="78">
        <f>((E12+J12)/H12)</f>
        <v>0.26689908130491519</v>
      </c>
      <c r="L12" s="78">
        <f t="shared" si="1"/>
        <v>16.013944878294911</v>
      </c>
      <c r="M12" s="78">
        <f t="shared" si="2"/>
        <v>110</v>
      </c>
      <c r="N12" s="78">
        <f t="shared" si="6"/>
        <v>179340.83574440889</v>
      </c>
      <c r="O12" s="78">
        <f t="shared" si="3"/>
        <v>29.35889894354067</v>
      </c>
      <c r="P12" s="78">
        <f t="shared" si="4"/>
        <v>1.637044838208632E-2</v>
      </c>
      <c r="Q12" s="78">
        <f t="shared" si="5"/>
        <v>179311.47684546534</v>
      </c>
    </row>
    <row r="13" spans="1:38" ht="14.25" customHeight="1" x14ac:dyDescent="0.3">
      <c r="A13" s="97">
        <v>24</v>
      </c>
      <c r="B13" s="98" t="s">
        <v>265</v>
      </c>
      <c r="C13" s="78">
        <v>20</v>
      </c>
      <c r="D13" s="99">
        <v>5</v>
      </c>
      <c r="E13" s="99">
        <v>25</v>
      </c>
      <c r="F13" s="78">
        <v>200000</v>
      </c>
      <c r="G13" s="78">
        <f t="shared" si="0"/>
        <v>3184.7133757961783</v>
      </c>
      <c r="H13" s="78">
        <v>250</v>
      </c>
      <c r="I13" s="78">
        <v>4.8</v>
      </c>
      <c r="J13" s="78">
        <f>SQRT(I13*(C13-I13))</f>
        <v>8.541662601625049</v>
      </c>
      <c r="K13" s="78">
        <f>((E13+J13)/H13)*9</f>
        <v>1.2074998536585018</v>
      </c>
      <c r="L13" s="78">
        <f t="shared" si="1"/>
        <v>72.44999121951011</v>
      </c>
      <c r="M13" s="78">
        <f t="shared" si="2"/>
        <v>6000</v>
      </c>
      <c r="N13" s="78">
        <f t="shared" si="6"/>
        <v>179311.47684546534</v>
      </c>
      <c r="O13" s="78">
        <f t="shared" si="3"/>
        <v>7244.9991219510102</v>
      </c>
      <c r="P13" s="78">
        <f t="shared" si="4"/>
        <v>4.0404547714449501</v>
      </c>
      <c r="Q13" s="78">
        <f t="shared" si="5"/>
        <v>172066.47772351434</v>
      </c>
    </row>
    <row r="14" spans="1:38" ht="14.25" customHeight="1" x14ac:dyDescent="0.3">
      <c r="A14" s="97">
        <v>33</v>
      </c>
      <c r="B14" s="98" t="s">
        <v>266</v>
      </c>
      <c r="C14" s="78">
        <v>20</v>
      </c>
      <c r="D14" s="99">
        <v>4</v>
      </c>
      <c r="E14" s="99">
        <v>25</v>
      </c>
      <c r="F14" s="78">
        <v>200000</v>
      </c>
      <c r="G14" s="78">
        <f t="shared" si="0"/>
        <v>3184.7133757961783</v>
      </c>
      <c r="H14" s="78">
        <v>250</v>
      </c>
      <c r="I14" s="78">
        <v>4.8</v>
      </c>
      <c r="J14" s="78">
        <f>SQRT(I14*(C14-I14))</f>
        <v>8.541662601625049</v>
      </c>
      <c r="K14" s="78">
        <f>((E14+J14)/H14)</f>
        <v>0.13416665040650019</v>
      </c>
      <c r="L14" s="78">
        <f t="shared" si="1"/>
        <v>8.0499990243900115</v>
      </c>
      <c r="M14" s="78">
        <f t="shared" si="2"/>
        <v>4800</v>
      </c>
      <c r="N14" s="78">
        <f t="shared" si="6"/>
        <v>172066.47772351434</v>
      </c>
      <c r="O14" s="78">
        <f t="shared" si="3"/>
        <v>643.99992195120092</v>
      </c>
      <c r="P14" s="78">
        <f t="shared" si="4"/>
        <v>0.37427390301207569</v>
      </c>
      <c r="Q14" s="78">
        <f t="shared" si="5"/>
        <v>171422.47780156313</v>
      </c>
    </row>
    <row r="15" spans="1:38" ht="14.25" customHeight="1" x14ac:dyDescent="0.3">
      <c r="A15" s="97">
        <v>34</v>
      </c>
      <c r="B15" s="98" t="s">
        <v>267</v>
      </c>
      <c r="C15" s="78">
        <v>20</v>
      </c>
      <c r="D15" s="99">
        <v>1</v>
      </c>
      <c r="E15" s="99">
        <v>42</v>
      </c>
      <c r="F15" s="78">
        <v>250000</v>
      </c>
      <c r="G15" s="78">
        <f t="shared" si="0"/>
        <v>3980.8917197452229</v>
      </c>
      <c r="H15" s="78">
        <v>110</v>
      </c>
      <c r="I15" s="78">
        <v>4.8</v>
      </c>
      <c r="J15" s="78">
        <f>SQRT(I15*(C15-I15))</f>
        <v>8.541662601625049</v>
      </c>
      <c r="K15" s="78">
        <f>((E15+J15)/H15)</f>
        <v>0.45946966001477318</v>
      </c>
      <c r="L15" s="78">
        <f t="shared" si="1"/>
        <v>27.568179600886392</v>
      </c>
      <c r="M15" s="78">
        <f t="shared" si="2"/>
        <v>528</v>
      </c>
      <c r="N15" s="78">
        <f t="shared" si="6"/>
        <v>171422.47780156313</v>
      </c>
      <c r="O15" s="78">
        <f t="shared" si="3"/>
        <v>242.59998048780025</v>
      </c>
      <c r="P15" s="78">
        <f t="shared" si="4"/>
        <v>0.14152168583669142</v>
      </c>
      <c r="Q15" s="78">
        <f t="shared" si="5"/>
        <v>171179.87782107532</v>
      </c>
    </row>
    <row r="16" spans="1:38" ht="14.25" customHeight="1" x14ac:dyDescent="0.3">
      <c r="A16" s="97">
        <v>35</v>
      </c>
      <c r="B16" s="98" t="s">
        <v>268</v>
      </c>
      <c r="C16" s="78">
        <v>20</v>
      </c>
      <c r="D16" s="99">
        <v>3</v>
      </c>
      <c r="E16" s="99">
        <v>42</v>
      </c>
      <c r="F16" s="78">
        <v>200000</v>
      </c>
      <c r="G16" s="78">
        <f t="shared" si="0"/>
        <v>3184.7133757961783</v>
      </c>
      <c r="H16" s="78">
        <v>250</v>
      </c>
      <c r="I16" s="78">
        <v>20</v>
      </c>
      <c r="J16" s="78">
        <f>C16/2</f>
        <v>10</v>
      </c>
      <c r="K16" s="78">
        <f>((E16+J16)/H16)*2</f>
        <v>0.41599999999999998</v>
      </c>
      <c r="L16" s="78">
        <f t="shared" si="1"/>
        <v>24.959999999999997</v>
      </c>
      <c r="M16" s="78">
        <f t="shared" si="2"/>
        <v>15000</v>
      </c>
      <c r="N16" s="78">
        <f t="shared" si="6"/>
        <v>171179.87782107532</v>
      </c>
      <c r="O16" s="78">
        <f t="shared" si="3"/>
        <v>6240</v>
      </c>
      <c r="P16" s="78">
        <f t="shared" si="4"/>
        <v>3.6452882660205659</v>
      </c>
      <c r="Q16" s="78">
        <f t="shared" si="5"/>
        <v>164939.87782107532</v>
      </c>
    </row>
    <row r="17" spans="1:40" ht="14.25" customHeight="1" x14ac:dyDescent="0.3">
      <c r="A17" s="97">
        <v>37</v>
      </c>
      <c r="B17" s="98" t="s">
        <v>269</v>
      </c>
      <c r="C17" s="78">
        <v>20</v>
      </c>
      <c r="D17" s="99">
        <v>1</v>
      </c>
      <c r="E17" s="99">
        <v>8</v>
      </c>
      <c r="F17" s="78">
        <v>250000</v>
      </c>
      <c r="G17" s="78">
        <f t="shared" si="0"/>
        <v>3980.8917197452229</v>
      </c>
      <c r="H17" s="78">
        <v>110</v>
      </c>
      <c r="I17" s="78">
        <v>4.8</v>
      </c>
      <c r="J17" s="78">
        <f>SQRT(I17*(C17-I17))</f>
        <v>8.541662601625049</v>
      </c>
      <c r="K17" s="78">
        <f>((E17+J17)/H17)</f>
        <v>0.15037875092386407</v>
      </c>
      <c r="L17" s="78">
        <f t="shared" si="1"/>
        <v>9.0227250554318452</v>
      </c>
      <c r="M17" s="78">
        <f t="shared" si="2"/>
        <v>528</v>
      </c>
      <c r="N17" s="78">
        <f t="shared" si="6"/>
        <v>164939.87782107532</v>
      </c>
      <c r="O17" s="78">
        <f t="shared" si="3"/>
        <v>79.399980487800235</v>
      </c>
      <c r="P17" s="78">
        <f t="shared" si="4"/>
        <v>4.8138740938035815E-2</v>
      </c>
      <c r="Q17" s="78">
        <f t="shared" si="5"/>
        <v>164860.47784058753</v>
      </c>
    </row>
    <row r="18" spans="1:40" ht="14.25" customHeight="1" x14ac:dyDescent="0.3">
      <c r="A18" s="97">
        <v>38</v>
      </c>
      <c r="B18" s="98" t="s">
        <v>270</v>
      </c>
      <c r="C18" s="78">
        <v>20</v>
      </c>
      <c r="D18" s="99">
        <v>5</v>
      </c>
      <c r="E18" s="99">
        <v>8</v>
      </c>
      <c r="F18" s="78">
        <v>200000</v>
      </c>
      <c r="G18" s="78">
        <f t="shared" si="0"/>
        <v>3184.7133757961783</v>
      </c>
      <c r="H18" s="78">
        <v>250</v>
      </c>
      <c r="I18" s="78">
        <v>20</v>
      </c>
      <c r="J18" s="78">
        <f>C18/2</f>
        <v>10</v>
      </c>
      <c r="K18" s="78">
        <f>((E18+J18)/H18)*9</f>
        <v>0.64799999999999991</v>
      </c>
      <c r="L18" s="78">
        <f t="shared" si="1"/>
        <v>38.879999999999995</v>
      </c>
      <c r="M18" s="78">
        <f t="shared" si="2"/>
        <v>25000</v>
      </c>
      <c r="N18" s="78">
        <f t="shared" si="6"/>
        <v>164860.47784058753</v>
      </c>
      <c r="O18" s="78">
        <f t="shared" si="3"/>
        <v>16199.999999999998</v>
      </c>
      <c r="P18" s="78">
        <f t="shared" si="4"/>
        <v>9.826490989347155</v>
      </c>
      <c r="Q18" s="78">
        <f t="shared" si="5"/>
        <v>148660.47784058753</v>
      </c>
    </row>
    <row r="19" spans="1:40" ht="14.25" customHeight="1" x14ac:dyDescent="0.3">
      <c r="A19" s="97">
        <v>47</v>
      </c>
      <c r="B19" s="98" t="s">
        <v>271</v>
      </c>
      <c r="C19" s="78">
        <v>20</v>
      </c>
      <c r="D19" s="99">
        <v>4</v>
      </c>
      <c r="E19" s="99">
        <v>8</v>
      </c>
      <c r="F19" s="78">
        <v>200000</v>
      </c>
      <c r="G19" s="78">
        <f t="shared" si="0"/>
        <v>3184.7133757961783</v>
      </c>
      <c r="H19" s="78">
        <v>250</v>
      </c>
      <c r="I19" s="78">
        <v>20</v>
      </c>
      <c r="J19" s="78">
        <f>C19/2</f>
        <v>10</v>
      </c>
      <c r="K19" s="78">
        <f>((E19+J19)/H19)</f>
        <v>7.1999999999999995E-2</v>
      </c>
      <c r="L19" s="78">
        <f t="shared" si="1"/>
        <v>4.3199999999999994</v>
      </c>
      <c r="M19" s="78">
        <f t="shared" si="2"/>
        <v>20000</v>
      </c>
      <c r="N19" s="78">
        <f t="shared" si="6"/>
        <v>148660.47784058753</v>
      </c>
      <c r="O19" s="78">
        <f t="shared" si="3"/>
        <v>1440</v>
      </c>
      <c r="P19" s="78">
        <f t="shared" si="4"/>
        <v>0.96865018928847335</v>
      </c>
      <c r="Q19" s="78">
        <f t="shared" si="5"/>
        <v>147220.47784058753</v>
      </c>
    </row>
    <row r="20" spans="1:40" ht="14.25" customHeight="1" x14ac:dyDescent="0.3">
      <c r="A20" s="97">
        <v>48</v>
      </c>
      <c r="B20" s="98" t="s">
        <v>272</v>
      </c>
      <c r="C20" s="78">
        <v>20</v>
      </c>
      <c r="D20" s="99">
        <v>1</v>
      </c>
      <c r="E20" s="99">
        <v>8</v>
      </c>
      <c r="F20" s="78">
        <v>250000</v>
      </c>
      <c r="G20" s="78">
        <f t="shared" si="0"/>
        <v>3980.8917197452229</v>
      </c>
      <c r="H20" s="78">
        <v>110</v>
      </c>
      <c r="I20" s="78">
        <v>20</v>
      </c>
      <c r="J20" s="78">
        <f>C20/2</f>
        <v>10</v>
      </c>
      <c r="K20" s="78">
        <f>((E20+J20)/H20)</f>
        <v>0.16363636363636364</v>
      </c>
      <c r="L20" s="78">
        <f t="shared" si="1"/>
        <v>9.8181818181818183</v>
      </c>
      <c r="M20" s="78">
        <f t="shared" si="2"/>
        <v>2200</v>
      </c>
      <c r="N20" s="78">
        <f t="shared" si="6"/>
        <v>147220.47784058753</v>
      </c>
      <c r="O20" s="78">
        <f t="shared" si="3"/>
        <v>360</v>
      </c>
      <c r="P20" s="78">
        <f t="shared" si="4"/>
        <v>0.24453119924648881</v>
      </c>
      <c r="Q20" s="78">
        <f t="shared" si="5"/>
        <v>146860.47784058753</v>
      </c>
    </row>
    <row r="21" spans="1:40" ht="14.25" customHeight="1" x14ac:dyDescent="0.3">
      <c r="A21" s="97">
        <v>49</v>
      </c>
      <c r="B21" s="98" t="s">
        <v>273</v>
      </c>
      <c r="C21" s="78">
        <v>20</v>
      </c>
      <c r="D21" s="99">
        <v>5</v>
      </c>
      <c r="E21" s="99">
        <v>8</v>
      </c>
      <c r="F21" s="78">
        <v>200000</v>
      </c>
      <c r="G21" s="78">
        <f t="shared" si="0"/>
        <v>3184.7133757961783</v>
      </c>
      <c r="H21" s="78">
        <v>250</v>
      </c>
      <c r="I21" s="78">
        <v>4.8</v>
      </c>
      <c r="J21" s="78">
        <f t="shared" ref="J21:J51" si="7">SQRT(I21*(C21-I21))</f>
        <v>8.541662601625049</v>
      </c>
      <c r="K21" s="78">
        <f>((E21+J21)/H21)*9</f>
        <v>0.59549985365850178</v>
      </c>
      <c r="L21" s="78">
        <f t="shared" si="1"/>
        <v>35.729991219510104</v>
      </c>
      <c r="M21" s="78">
        <f t="shared" si="2"/>
        <v>6000</v>
      </c>
      <c r="N21" s="78">
        <f t="shared" si="6"/>
        <v>146860.47784058753</v>
      </c>
      <c r="O21" s="78">
        <f t="shared" si="3"/>
        <v>3572.9991219510107</v>
      </c>
      <c r="P21" s="78">
        <f t="shared" si="4"/>
        <v>2.4329208065286223</v>
      </c>
      <c r="Q21" s="78">
        <f t="shared" si="5"/>
        <v>143287.47871863653</v>
      </c>
    </row>
    <row r="22" spans="1:40" ht="14.25" customHeight="1" x14ac:dyDescent="0.3">
      <c r="A22" s="97">
        <v>58</v>
      </c>
      <c r="B22" s="98" t="s">
        <v>274</v>
      </c>
      <c r="C22" s="78">
        <v>20</v>
      </c>
      <c r="D22" s="99">
        <v>4</v>
      </c>
      <c r="E22" s="99">
        <v>8</v>
      </c>
      <c r="F22" s="78">
        <v>200000</v>
      </c>
      <c r="G22" s="78">
        <f t="shared" si="0"/>
        <v>3184.7133757961783</v>
      </c>
      <c r="H22" s="78">
        <v>250</v>
      </c>
      <c r="I22" s="78">
        <v>4.8</v>
      </c>
      <c r="J22" s="78">
        <f t="shared" si="7"/>
        <v>8.541662601625049</v>
      </c>
      <c r="K22" s="78">
        <f>((E22+J22)/H22)</f>
        <v>6.6166650406500202E-2</v>
      </c>
      <c r="L22" s="78">
        <f t="shared" si="1"/>
        <v>3.9699990243900123</v>
      </c>
      <c r="M22" s="78">
        <f t="shared" si="2"/>
        <v>4800</v>
      </c>
      <c r="N22" s="78">
        <f t="shared" si="6"/>
        <v>143287.47871863653</v>
      </c>
      <c r="O22" s="78">
        <f t="shared" si="3"/>
        <v>317.599921951201</v>
      </c>
      <c r="P22" s="78">
        <f t="shared" si="4"/>
        <v>0.22165225097920066</v>
      </c>
      <c r="Q22" s="78">
        <f t="shared" si="5"/>
        <v>142969.87879668534</v>
      </c>
    </row>
    <row r="23" spans="1:40" ht="14.25" customHeight="1" x14ac:dyDescent="0.3">
      <c r="A23" s="97">
        <v>59</v>
      </c>
      <c r="B23" s="98" t="s">
        <v>275</v>
      </c>
      <c r="C23" s="78">
        <v>20</v>
      </c>
      <c r="D23" s="99">
        <v>1</v>
      </c>
      <c r="E23" s="99">
        <v>8</v>
      </c>
      <c r="F23" s="78">
        <v>250000</v>
      </c>
      <c r="G23" s="78">
        <f t="shared" si="0"/>
        <v>3980.8917197452229</v>
      </c>
      <c r="H23" s="78">
        <v>110</v>
      </c>
      <c r="I23" s="78">
        <v>4.8</v>
      </c>
      <c r="J23" s="78">
        <f t="shared" si="7"/>
        <v>8.541662601625049</v>
      </c>
      <c r="K23" s="78">
        <f>((E23+J23)/H23)</f>
        <v>0.15037875092386407</v>
      </c>
      <c r="L23" s="78">
        <f t="shared" si="1"/>
        <v>9.0227250554318452</v>
      </c>
      <c r="M23" s="78">
        <f t="shared" si="2"/>
        <v>528</v>
      </c>
      <c r="N23" s="78">
        <f t="shared" si="6"/>
        <v>142969.87879668534</v>
      </c>
      <c r="O23" s="78">
        <f t="shared" si="3"/>
        <v>79.399980487800235</v>
      </c>
      <c r="P23" s="78">
        <f t="shared" si="4"/>
        <v>5.5536159893311086E-2</v>
      </c>
      <c r="Q23" s="78">
        <f t="shared" si="5"/>
        <v>142890.47881619754</v>
      </c>
    </row>
    <row r="24" spans="1:40" ht="14.25" customHeight="1" x14ac:dyDescent="0.3">
      <c r="A24" s="97">
        <v>60</v>
      </c>
      <c r="B24" s="98" t="s">
        <v>276</v>
      </c>
      <c r="C24" s="78">
        <v>20</v>
      </c>
      <c r="D24" s="99">
        <v>2</v>
      </c>
      <c r="E24" s="99">
        <v>68.8</v>
      </c>
      <c r="F24" s="78">
        <v>200000</v>
      </c>
      <c r="G24" s="78">
        <f t="shared" si="0"/>
        <v>3184.7133757961783</v>
      </c>
      <c r="H24" s="78">
        <v>250</v>
      </c>
      <c r="I24" s="78">
        <v>4</v>
      </c>
      <c r="J24" s="78">
        <f t="shared" si="7"/>
        <v>8</v>
      </c>
      <c r="K24" s="78">
        <f>((E24+J24)/H24)</f>
        <v>0.30719999999999997</v>
      </c>
      <c r="L24" s="78">
        <f t="shared" si="1"/>
        <v>18.431999999999999</v>
      </c>
      <c r="M24" s="78">
        <f t="shared" si="2"/>
        <v>2000</v>
      </c>
      <c r="N24" s="78">
        <f t="shared" si="6"/>
        <v>142890.47881619754</v>
      </c>
      <c r="O24" s="78">
        <f t="shared" si="3"/>
        <v>614.4</v>
      </c>
      <c r="P24" s="78">
        <f t="shared" si="4"/>
        <v>0.42997966350880046</v>
      </c>
      <c r="Q24" s="78">
        <f t="shared" si="5"/>
        <v>142276.07881619755</v>
      </c>
    </row>
    <row r="25" spans="1:40" ht="14.25" customHeight="1" x14ac:dyDescent="0.3">
      <c r="A25" s="97">
        <v>61</v>
      </c>
      <c r="B25" s="98" t="s">
        <v>277</v>
      </c>
      <c r="C25" s="78">
        <v>20</v>
      </c>
      <c r="D25" s="99">
        <v>0.75</v>
      </c>
      <c r="E25" s="99">
        <v>68.8</v>
      </c>
      <c r="F25" s="78">
        <v>250000</v>
      </c>
      <c r="G25" s="78">
        <f t="shared" si="0"/>
        <v>3980.8917197452229</v>
      </c>
      <c r="H25" s="78">
        <v>110</v>
      </c>
      <c r="I25" s="78">
        <v>4</v>
      </c>
      <c r="J25" s="78">
        <f t="shared" si="7"/>
        <v>8</v>
      </c>
      <c r="K25" s="78">
        <f>((E25+J25)/H25)</f>
        <v>0.69818181818181813</v>
      </c>
      <c r="L25" s="78">
        <f t="shared" si="1"/>
        <v>41.890909090909091</v>
      </c>
      <c r="M25" s="78">
        <f t="shared" si="2"/>
        <v>330</v>
      </c>
      <c r="N25" s="78">
        <f t="shared" si="6"/>
        <v>142276.07881619755</v>
      </c>
      <c r="O25" s="78">
        <f t="shared" si="3"/>
        <v>230.39999999999998</v>
      </c>
      <c r="P25" s="78">
        <f t="shared" si="4"/>
        <v>0.16193867719509422</v>
      </c>
      <c r="Q25" s="78">
        <f t="shared" si="5"/>
        <v>142045.67881619756</v>
      </c>
      <c r="T25" s="253" t="s">
        <v>31</v>
      </c>
      <c r="U25" s="254"/>
      <c r="V25" s="254"/>
      <c r="W25" s="254"/>
      <c r="X25" s="254"/>
      <c r="Y25" s="254"/>
      <c r="Z25" s="254"/>
      <c r="AA25" s="254"/>
      <c r="AB25" s="254"/>
      <c r="AC25" s="254"/>
      <c r="AE25" s="253" t="s">
        <v>64</v>
      </c>
      <c r="AF25" s="254"/>
      <c r="AG25" s="254"/>
      <c r="AH25" s="254"/>
      <c r="AI25" s="254"/>
      <c r="AJ25" s="254"/>
      <c r="AK25" s="254"/>
      <c r="AL25" s="254"/>
      <c r="AM25" s="254"/>
      <c r="AN25" s="254"/>
    </row>
    <row r="26" spans="1:40" ht="14.25" customHeight="1" x14ac:dyDescent="0.3">
      <c r="A26" s="97">
        <v>62</v>
      </c>
      <c r="B26" s="98" t="s">
        <v>278</v>
      </c>
      <c r="C26" s="78">
        <v>20</v>
      </c>
      <c r="D26" s="99">
        <v>5</v>
      </c>
      <c r="E26" s="99">
        <v>6.2</v>
      </c>
      <c r="F26" s="78">
        <v>200000</v>
      </c>
      <c r="G26" s="78">
        <f t="shared" si="0"/>
        <v>3184.7133757961783</v>
      </c>
      <c r="H26" s="78">
        <v>250</v>
      </c>
      <c r="I26" s="78">
        <v>4</v>
      </c>
      <c r="J26" s="78">
        <f t="shared" si="7"/>
        <v>8</v>
      </c>
      <c r="K26" s="78">
        <f>((E26+J26)/H26)</f>
        <v>5.6799999999999996E-2</v>
      </c>
      <c r="L26" s="78">
        <f t="shared" si="1"/>
        <v>3.4079999999999999</v>
      </c>
      <c r="M26" s="78">
        <f t="shared" si="2"/>
        <v>5000</v>
      </c>
      <c r="N26" s="78">
        <f t="shared" si="6"/>
        <v>142045.67881619756</v>
      </c>
      <c r="O26" s="78">
        <f t="shared" si="3"/>
        <v>284</v>
      </c>
      <c r="P26" s="78">
        <f t="shared" si="4"/>
        <v>0.19993568432833966</v>
      </c>
      <c r="Q26" s="78">
        <f t="shared" si="5"/>
        <v>141761.67881619756</v>
      </c>
      <c r="T26" s="254"/>
      <c r="U26" s="254"/>
      <c r="V26" s="254"/>
      <c r="W26" s="254"/>
      <c r="X26" s="254"/>
      <c r="Y26" s="254"/>
      <c r="Z26" s="254"/>
      <c r="AA26" s="254"/>
      <c r="AB26" s="254"/>
      <c r="AC26" s="254"/>
      <c r="AE26" s="254"/>
      <c r="AF26" s="254"/>
      <c r="AG26" s="254"/>
      <c r="AH26" s="254"/>
      <c r="AI26" s="254"/>
      <c r="AJ26" s="254"/>
      <c r="AK26" s="254"/>
      <c r="AL26" s="254"/>
      <c r="AM26" s="254"/>
      <c r="AN26" s="254"/>
    </row>
    <row r="27" spans="1:40" ht="14.25" customHeight="1" x14ac:dyDescent="0.3">
      <c r="A27" s="97">
        <v>71</v>
      </c>
      <c r="B27" s="98" t="s">
        <v>279</v>
      </c>
      <c r="C27" s="78">
        <v>20</v>
      </c>
      <c r="D27" s="99">
        <v>4</v>
      </c>
      <c r="E27" s="99">
        <v>6.2</v>
      </c>
      <c r="F27" s="78">
        <v>200000</v>
      </c>
      <c r="G27" s="78">
        <f t="shared" si="0"/>
        <v>3184.7133757961783</v>
      </c>
      <c r="H27" s="78">
        <v>250</v>
      </c>
      <c r="I27" s="78">
        <v>4</v>
      </c>
      <c r="J27" s="78">
        <f t="shared" si="7"/>
        <v>8</v>
      </c>
      <c r="K27" s="78">
        <f>((E27+J27)/H27)*9</f>
        <v>0.51119999999999999</v>
      </c>
      <c r="L27" s="78">
        <f t="shared" si="1"/>
        <v>30.672000000000001</v>
      </c>
      <c r="M27" s="78">
        <f t="shared" si="2"/>
        <v>4000</v>
      </c>
      <c r="N27" s="78">
        <f t="shared" si="6"/>
        <v>141761.67881619756</v>
      </c>
      <c r="O27" s="78">
        <f t="shared" si="3"/>
        <v>2044.8</v>
      </c>
      <c r="P27" s="78">
        <f t="shared" si="4"/>
        <v>1.4424208411436807</v>
      </c>
      <c r="Q27" s="78">
        <f t="shared" si="5"/>
        <v>139716.87881619757</v>
      </c>
    </row>
    <row r="28" spans="1:40" ht="14.25" customHeight="1" x14ac:dyDescent="0.3">
      <c r="A28" s="97">
        <v>72</v>
      </c>
      <c r="B28" s="98" t="s">
        <v>280</v>
      </c>
      <c r="C28" s="78">
        <v>20</v>
      </c>
      <c r="D28" s="99">
        <v>1</v>
      </c>
      <c r="E28" s="99">
        <v>6.2</v>
      </c>
      <c r="F28" s="78">
        <v>250000</v>
      </c>
      <c r="G28" s="78">
        <f t="shared" si="0"/>
        <v>3980.8917197452229</v>
      </c>
      <c r="H28" s="78">
        <v>110</v>
      </c>
      <c r="I28" s="78">
        <v>4</v>
      </c>
      <c r="J28" s="78">
        <f t="shared" si="7"/>
        <v>8</v>
      </c>
      <c r="K28" s="78">
        <f>((E28+J28)/H28)</f>
        <v>0.12909090909090909</v>
      </c>
      <c r="L28" s="78">
        <f t="shared" si="1"/>
        <v>7.7454545454545451</v>
      </c>
      <c r="M28" s="78">
        <f t="shared" si="2"/>
        <v>440</v>
      </c>
      <c r="N28" s="78">
        <f t="shared" si="6"/>
        <v>139716.87881619757</v>
      </c>
      <c r="O28" s="78">
        <f t="shared" si="3"/>
        <v>56.8</v>
      </c>
      <c r="P28" s="78">
        <f t="shared" si="4"/>
        <v>4.0653642195029552E-2</v>
      </c>
      <c r="Q28" s="78">
        <f t="shared" si="5"/>
        <v>139660.07881619758</v>
      </c>
    </row>
    <row r="29" spans="1:40" ht="14.25" customHeight="1" x14ac:dyDescent="0.3">
      <c r="A29" s="97">
        <v>73</v>
      </c>
      <c r="B29" s="98" t="s">
        <v>281</v>
      </c>
      <c r="C29" s="78">
        <v>20</v>
      </c>
      <c r="D29" s="99">
        <v>2</v>
      </c>
      <c r="E29" s="99">
        <v>67</v>
      </c>
      <c r="F29" s="78">
        <v>200000</v>
      </c>
      <c r="G29" s="78">
        <f t="shared" si="0"/>
        <v>3184.7133757961783</v>
      </c>
      <c r="H29" s="78">
        <v>250</v>
      </c>
      <c r="I29" s="78">
        <v>10</v>
      </c>
      <c r="J29" s="78">
        <f t="shared" si="7"/>
        <v>10</v>
      </c>
      <c r="K29" s="78">
        <f>((E29+J29)/H29)</f>
        <v>0.308</v>
      </c>
      <c r="L29" s="78">
        <f t="shared" si="1"/>
        <v>18.48</v>
      </c>
      <c r="M29" s="78">
        <f t="shared" si="2"/>
        <v>5000</v>
      </c>
      <c r="N29" s="78">
        <f t="shared" si="6"/>
        <v>139660.07881619758</v>
      </c>
      <c r="O29" s="78">
        <f t="shared" si="3"/>
        <v>1540</v>
      </c>
      <c r="P29" s="78">
        <f t="shared" si="4"/>
        <v>1.102677309832216</v>
      </c>
      <c r="Q29" s="78">
        <f t="shared" si="5"/>
        <v>138120.07881619758</v>
      </c>
    </row>
    <row r="30" spans="1:40" ht="14.25" customHeight="1" x14ac:dyDescent="0.3">
      <c r="A30" s="97">
        <v>74</v>
      </c>
      <c r="B30" s="98" t="s">
        <v>282</v>
      </c>
      <c r="C30" s="78">
        <v>20</v>
      </c>
      <c r="D30" s="99">
        <v>0.75</v>
      </c>
      <c r="E30" s="99">
        <v>67</v>
      </c>
      <c r="F30" s="78">
        <v>250000</v>
      </c>
      <c r="G30" s="78">
        <f t="shared" si="0"/>
        <v>3980.8917197452229</v>
      </c>
      <c r="H30" s="78">
        <v>110</v>
      </c>
      <c r="I30" s="78">
        <v>10</v>
      </c>
      <c r="J30" s="78">
        <f t="shared" si="7"/>
        <v>10</v>
      </c>
      <c r="K30" s="78">
        <f>((E30+J30)/H30)</f>
        <v>0.7</v>
      </c>
      <c r="L30" s="78">
        <f t="shared" si="1"/>
        <v>42</v>
      </c>
      <c r="M30" s="78">
        <f t="shared" si="2"/>
        <v>825</v>
      </c>
      <c r="N30" s="78">
        <f t="shared" si="6"/>
        <v>138120.07881619758</v>
      </c>
      <c r="O30" s="78">
        <f t="shared" si="3"/>
        <v>577.5</v>
      </c>
      <c r="P30" s="78">
        <f t="shared" si="4"/>
        <v>0.41811444429343581</v>
      </c>
      <c r="Q30" s="78">
        <f t="shared" si="5"/>
        <v>137542.57881619758</v>
      </c>
    </row>
    <row r="31" spans="1:40" ht="14.25" customHeight="1" x14ac:dyDescent="0.3">
      <c r="A31" s="97">
        <v>75</v>
      </c>
      <c r="B31" s="98" t="s">
        <v>283</v>
      </c>
      <c r="C31" s="78">
        <v>20</v>
      </c>
      <c r="D31" s="99">
        <v>5</v>
      </c>
      <c r="E31" s="99">
        <v>8</v>
      </c>
      <c r="F31" s="78">
        <v>200000</v>
      </c>
      <c r="G31" s="78">
        <f t="shared" si="0"/>
        <v>3184.7133757961783</v>
      </c>
      <c r="H31" s="78">
        <v>250</v>
      </c>
      <c r="I31" s="78">
        <v>10</v>
      </c>
      <c r="J31" s="78">
        <f t="shared" si="7"/>
        <v>10</v>
      </c>
      <c r="K31" s="78">
        <f>((E31+J31)/H31)*9</f>
        <v>0.64799999999999991</v>
      </c>
      <c r="L31" s="78">
        <f t="shared" si="1"/>
        <v>38.879999999999995</v>
      </c>
      <c r="M31" s="78">
        <f t="shared" si="2"/>
        <v>12500</v>
      </c>
      <c r="N31" s="78">
        <f t="shared" si="6"/>
        <v>137542.57881619758</v>
      </c>
      <c r="O31" s="78">
        <f t="shared" si="3"/>
        <v>8099.9999999999991</v>
      </c>
      <c r="P31" s="78">
        <f t="shared" si="4"/>
        <v>5.8890854524578025</v>
      </c>
      <c r="Q31" s="78">
        <f t="shared" si="5"/>
        <v>129442.57881619758</v>
      </c>
    </row>
    <row r="32" spans="1:40" ht="14.25" customHeight="1" x14ac:dyDescent="0.3">
      <c r="A32" s="97">
        <v>84</v>
      </c>
      <c r="B32" s="98" t="s">
        <v>284</v>
      </c>
      <c r="C32" s="78">
        <v>20</v>
      </c>
      <c r="D32" s="99">
        <v>4</v>
      </c>
      <c r="E32" s="99">
        <v>8</v>
      </c>
      <c r="F32" s="78">
        <v>200000</v>
      </c>
      <c r="G32" s="78">
        <f t="shared" si="0"/>
        <v>3184.7133757961783</v>
      </c>
      <c r="H32" s="78">
        <v>250</v>
      </c>
      <c r="I32" s="78">
        <v>10</v>
      </c>
      <c r="J32" s="78">
        <f t="shared" si="7"/>
        <v>10</v>
      </c>
      <c r="K32" s="78">
        <f>((E32+J32)/H32)</f>
        <v>7.1999999999999995E-2</v>
      </c>
      <c r="L32" s="78">
        <f t="shared" si="1"/>
        <v>4.3199999999999994</v>
      </c>
      <c r="M32" s="78">
        <f t="shared" si="2"/>
        <v>10000</v>
      </c>
      <c r="N32" s="78">
        <f t="shared" si="6"/>
        <v>129442.57881619758</v>
      </c>
      <c r="O32" s="78">
        <f t="shared" si="3"/>
        <v>720</v>
      </c>
      <c r="P32" s="78">
        <f t="shared" si="4"/>
        <v>0.55623119269152266</v>
      </c>
      <c r="Q32" s="78">
        <f t="shared" si="5"/>
        <v>128722.57881619758</v>
      </c>
    </row>
    <row r="33" spans="1:17" ht="14.25" customHeight="1" x14ac:dyDescent="0.3">
      <c r="A33" s="97">
        <v>85</v>
      </c>
      <c r="B33" s="98" t="s">
        <v>285</v>
      </c>
      <c r="C33" s="78">
        <v>20</v>
      </c>
      <c r="D33" s="99">
        <v>1</v>
      </c>
      <c r="E33" s="99">
        <v>8</v>
      </c>
      <c r="F33" s="78">
        <v>250000</v>
      </c>
      <c r="G33" s="78">
        <f t="shared" si="0"/>
        <v>3980.8917197452229</v>
      </c>
      <c r="H33" s="78">
        <v>110</v>
      </c>
      <c r="I33" s="78">
        <v>10</v>
      </c>
      <c r="J33" s="78">
        <f t="shared" si="7"/>
        <v>10</v>
      </c>
      <c r="K33" s="78">
        <f>((E33+J33)/H33)</f>
        <v>0.16363636363636364</v>
      </c>
      <c r="L33" s="78">
        <f t="shared" si="1"/>
        <v>9.8181818181818183</v>
      </c>
      <c r="M33" s="78">
        <f t="shared" si="2"/>
        <v>1100</v>
      </c>
      <c r="N33" s="78">
        <f t="shared" si="6"/>
        <v>128722.57881619758</v>
      </c>
      <c r="O33" s="78">
        <f t="shared" si="3"/>
        <v>180</v>
      </c>
      <c r="P33" s="78">
        <f t="shared" si="4"/>
        <v>0.13983560743995133</v>
      </c>
      <c r="Q33" s="78">
        <f t="shared" si="5"/>
        <v>128542.57881619758</v>
      </c>
    </row>
    <row r="34" spans="1:17" ht="14.25" customHeight="1" x14ac:dyDescent="0.3">
      <c r="A34" s="97">
        <v>86</v>
      </c>
      <c r="B34" s="98" t="s">
        <v>286</v>
      </c>
      <c r="C34" s="78">
        <v>20</v>
      </c>
      <c r="D34" s="99">
        <v>2</v>
      </c>
      <c r="E34" s="99">
        <v>42</v>
      </c>
      <c r="F34" s="78">
        <v>200000</v>
      </c>
      <c r="G34" s="78">
        <f t="shared" si="0"/>
        <v>3184.7133757961783</v>
      </c>
      <c r="H34" s="78">
        <v>250</v>
      </c>
      <c r="I34" s="78">
        <v>14</v>
      </c>
      <c r="J34" s="78">
        <f t="shared" si="7"/>
        <v>9.1651513899116797</v>
      </c>
      <c r="K34" s="78">
        <f>((E34+J34)/H34)</f>
        <v>0.20466060555964671</v>
      </c>
      <c r="L34" s="78">
        <f t="shared" si="1"/>
        <v>12.279636333578804</v>
      </c>
      <c r="M34" s="78">
        <f t="shared" si="2"/>
        <v>7000</v>
      </c>
      <c r="N34" s="78">
        <f t="shared" si="6"/>
        <v>128542.57881619758</v>
      </c>
      <c r="O34" s="78">
        <f t="shared" si="3"/>
        <v>1432.624238917527</v>
      </c>
      <c r="P34" s="78">
        <f t="shared" si="4"/>
        <v>1.1145133792329074</v>
      </c>
      <c r="Q34" s="78">
        <f t="shared" si="5"/>
        <v>127109.95457728005</v>
      </c>
    </row>
    <row r="35" spans="1:17" ht="14.25" customHeight="1" x14ac:dyDescent="0.3">
      <c r="A35" s="97">
        <v>87</v>
      </c>
      <c r="B35" s="98" t="s">
        <v>287</v>
      </c>
      <c r="C35" s="78">
        <v>20</v>
      </c>
      <c r="D35" s="99">
        <v>0.75</v>
      </c>
      <c r="E35" s="99">
        <v>42</v>
      </c>
      <c r="F35" s="78">
        <v>250000</v>
      </c>
      <c r="G35" s="78">
        <f t="shared" si="0"/>
        <v>3980.8917197452229</v>
      </c>
      <c r="H35" s="78">
        <v>110</v>
      </c>
      <c r="I35" s="78">
        <v>14</v>
      </c>
      <c r="J35" s="78">
        <f t="shared" si="7"/>
        <v>9.1651513899116797</v>
      </c>
      <c r="K35" s="78">
        <f>((E35+J35)/H35)</f>
        <v>0.46513773990828799</v>
      </c>
      <c r="L35" s="78">
        <f t="shared" si="1"/>
        <v>27.90826439449728</v>
      </c>
      <c r="M35" s="78">
        <f t="shared" si="2"/>
        <v>1155</v>
      </c>
      <c r="N35" s="78">
        <f t="shared" si="6"/>
        <v>127109.95457728005</v>
      </c>
      <c r="O35" s="78">
        <f t="shared" si="3"/>
        <v>537.23408959407266</v>
      </c>
      <c r="P35" s="78">
        <f t="shared" si="4"/>
        <v>0.4226530419121865</v>
      </c>
      <c r="Q35" s="78">
        <f t="shared" si="5"/>
        <v>126572.72048768598</v>
      </c>
    </row>
    <row r="36" spans="1:17" ht="14.25" customHeight="1" x14ac:dyDescent="0.3">
      <c r="A36" s="97">
        <v>88</v>
      </c>
      <c r="B36" s="98" t="s">
        <v>288</v>
      </c>
      <c r="C36" s="78">
        <v>20</v>
      </c>
      <c r="D36" s="99">
        <v>5</v>
      </c>
      <c r="E36" s="99">
        <v>33</v>
      </c>
      <c r="F36" s="78">
        <v>200000</v>
      </c>
      <c r="G36" s="78">
        <f t="shared" si="0"/>
        <v>3184.7133757961783</v>
      </c>
      <c r="H36" s="78">
        <v>250</v>
      </c>
      <c r="I36" s="78">
        <v>19</v>
      </c>
      <c r="J36" s="78">
        <f t="shared" si="7"/>
        <v>4.358898943540674</v>
      </c>
      <c r="K36" s="78">
        <f>((E36+J36)/H36)*9</f>
        <v>1.3449203619674641</v>
      </c>
      <c r="L36" s="78">
        <f t="shared" si="1"/>
        <v>80.695221718047847</v>
      </c>
      <c r="M36" s="78">
        <f t="shared" si="2"/>
        <v>23750</v>
      </c>
      <c r="N36" s="78">
        <f t="shared" si="6"/>
        <v>126572.72048768598</v>
      </c>
      <c r="O36" s="78">
        <f t="shared" si="3"/>
        <v>31941.858596727274</v>
      </c>
      <c r="P36" s="78">
        <f t="shared" si="4"/>
        <v>25.235973813041994</v>
      </c>
      <c r="Q36" s="78">
        <f t="shared" si="5"/>
        <v>94630.861890958709</v>
      </c>
    </row>
    <row r="37" spans="1:17" ht="14.25" customHeight="1" x14ac:dyDescent="0.3">
      <c r="A37" s="97">
        <v>97</v>
      </c>
      <c r="B37" s="98" t="s">
        <v>289</v>
      </c>
      <c r="C37" s="78">
        <v>20</v>
      </c>
      <c r="D37" s="99">
        <v>4</v>
      </c>
      <c r="E37" s="99">
        <v>33</v>
      </c>
      <c r="F37" s="78">
        <v>200000</v>
      </c>
      <c r="G37" s="78">
        <f t="shared" si="0"/>
        <v>3184.7133757961783</v>
      </c>
      <c r="H37" s="78">
        <v>250</v>
      </c>
      <c r="I37" s="78">
        <v>19</v>
      </c>
      <c r="J37" s="78">
        <f t="shared" si="7"/>
        <v>4.358898943540674</v>
      </c>
      <c r="K37" s="78">
        <f>((E37+J37)/H37)</f>
        <v>0.14943559577416268</v>
      </c>
      <c r="L37" s="78">
        <f t="shared" si="1"/>
        <v>8.9661357464497602</v>
      </c>
      <c r="M37" s="78">
        <f t="shared" si="2"/>
        <v>19000</v>
      </c>
      <c r="N37" s="78">
        <f t="shared" si="6"/>
        <v>94630.861890958709</v>
      </c>
      <c r="O37" s="78">
        <f t="shared" si="3"/>
        <v>2839.2763197090908</v>
      </c>
      <c r="P37" s="78">
        <f t="shared" si="4"/>
        <v>3.0003703474461996</v>
      </c>
      <c r="Q37" s="78">
        <f t="shared" si="5"/>
        <v>91791.585571249612</v>
      </c>
    </row>
    <row r="38" spans="1:17" ht="14.25" customHeight="1" x14ac:dyDescent="0.3">
      <c r="A38" s="97">
        <v>98</v>
      </c>
      <c r="B38" s="98" t="s">
        <v>290</v>
      </c>
      <c r="C38" s="78">
        <v>20</v>
      </c>
      <c r="D38" s="99">
        <v>1</v>
      </c>
      <c r="E38" s="99">
        <v>33</v>
      </c>
      <c r="F38" s="78">
        <v>250000</v>
      </c>
      <c r="G38" s="78">
        <f t="shared" si="0"/>
        <v>3980.8917197452229</v>
      </c>
      <c r="H38" s="78">
        <v>110</v>
      </c>
      <c r="I38" s="78">
        <v>19</v>
      </c>
      <c r="J38" s="78">
        <f t="shared" si="7"/>
        <v>4.358898943540674</v>
      </c>
      <c r="K38" s="78">
        <f>((E38+J38)/H38)</f>
        <v>0.33962635403218794</v>
      </c>
      <c r="L38" s="78">
        <f t="shared" si="1"/>
        <v>20.377581241931278</v>
      </c>
      <c r="M38" s="78">
        <f t="shared" si="2"/>
        <v>2090</v>
      </c>
      <c r="N38" s="78">
        <f t="shared" si="6"/>
        <v>91791.585571249612</v>
      </c>
      <c r="O38" s="78">
        <f t="shared" si="3"/>
        <v>709.81907992727281</v>
      </c>
      <c r="P38" s="78">
        <f t="shared" si="4"/>
        <v>0.77329427911047866</v>
      </c>
      <c r="Q38" s="78">
        <f t="shared" si="5"/>
        <v>91081.766491322342</v>
      </c>
    </row>
    <row r="39" spans="1:17" ht="14.25" customHeight="1" x14ac:dyDescent="0.3">
      <c r="A39" s="97">
        <v>99</v>
      </c>
      <c r="B39" s="98" t="s">
        <v>291</v>
      </c>
      <c r="C39" s="78">
        <v>20</v>
      </c>
      <c r="D39" s="99">
        <v>5</v>
      </c>
      <c r="E39" s="99">
        <v>23</v>
      </c>
      <c r="F39" s="78">
        <v>200000</v>
      </c>
      <c r="G39" s="78">
        <f t="shared" si="0"/>
        <v>3184.7133757961783</v>
      </c>
      <c r="H39" s="78">
        <v>250</v>
      </c>
      <c r="I39" s="78">
        <v>5</v>
      </c>
      <c r="J39" s="78">
        <f t="shared" si="7"/>
        <v>8.6602540378443873</v>
      </c>
      <c r="K39" s="78">
        <f>((E39+J39)/H39)*9</f>
        <v>1.1397691453623979</v>
      </c>
      <c r="L39" s="78">
        <f t="shared" si="1"/>
        <v>68.386148721743879</v>
      </c>
      <c r="M39" s="78">
        <f t="shared" si="2"/>
        <v>6250</v>
      </c>
      <c r="N39" s="78">
        <f t="shared" si="6"/>
        <v>91081.766491322342</v>
      </c>
      <c r="O39" s="78">
        <f t="shared" si="3"/>
        <v>7123.5571585149873</v>
      </c>
      <c r="P39" s="78">
        <f t="shared" si="4"/>
        <v>7.8210573124903897</v>
      </c>
      <c r="Q39" s="78">
        <f t="shared" si="5"/>
        <v>83958.209332807353</v>
      </c>
    </row>
    <row r="40" spans="1:17" ht="19.5" customHeight="1" x14ac:dyDescent="0.3">
      <c r="A40" s="97">
        <v>108</v>
      </c>
      <c r="B40" s="98" t="s">
        <v>292</v>
      </c>
      <c r="C40" s="78">
        <v>20</v>
      </c>
      <c r="D40" s="99">
        <v>4</v>
      </c>
      <c r="E40" s="99">
        <v>23</v>
      </c>
      <c r="F40" s="78">
        <v>200000</v>
      </c>
      <c r="G40" s="78">
        <f t="shared" si="0"/>
        <v>3184.7133757961783</v>
      </c>
      <c r="H40" s="78">
        <v>250</v>
      </c>
      <c r="I40" s="78">
        <v>5</v>
      </c>
      <c r="J40" s="78">
        <f t="shared" si="7"/>
        <v>8.6602540378443873</v>
      </c>
      <c r="K40" s="78">
        <f t="shared" ref="K40:K51" si="8">((E40+J40)/H40)</f>
        <v>0.12664101615137754</v>
      </c>
      <c r="L40" s="78">
        <f t="shared" si="1"/>
        <v>7.5984609690826526</v>
      </c>
      <c r="M40" s="78">
        <f t="shared" si="2"/>
        <v>5000</v>
      </c>
      <c r="N40" s="78">
        <f t="shared" si="6"/>
        <v>83958.209332807353</v>
      </c>
      <c r="O40" s="78">
        <f t="shared" si="3"/>
        <v>633.2050807568877</v>
      </c>
      <c r="P40" s="78">
        <f t="shared" si="4"/>
        <v>0.75419078823713992</v>
      </c>
      <c r="Q40" s="78">
        <f t="shared" si="5"/>
        <v>83325.004252050465</v>
      </c>
    </row>
    <row r="41" spans="1:17" ht="14.25" customHeight="1" x14ac:dyDescent="0.3">
      <c r="A41" s="97">
        <v>109</v>
      </c>
      <c r="B41" s="98" t="s">
        <v>293</v>
      </c>
      <c r="C41" s="78">
        <v>20</v>
      </c>
      <c r="D41" s="99">
        <v>1</v>
      </c>
      <c r="E41" s="99">
        <v>23</v>
      </c>
      <c r="F41" s="78">
        <v>250000</v>
      </c>
      <c r="G41" s="78">
        <f t="shared" si="0"/>
        <v>3980.8917197452229</v>
      </c>
      <c r="H41" s="78">
        <v>110</v>
      </c>
      <c r="I41" s="78">
        <v>5</v>
      </c>
      <c r="J41" s="78">
        <f t="shared" si="7"/>
        <v>8.6602540378443873</v>
      </c>
      <c r="K41" s="78">
        <f t="shared" si="8"/>
        <v>0.28782049125313081</v>
      </c>
      <c r="L41" s="78">
        <f t="shared" si="1"/>
        <v>17.269229475187849</v>
      </c>
      <c r="M41" s="78">
        <f t="shared" si="2"/>
        <v>550</v>
      </c>
      <c r="N41" s="78">
        <f t="shared" si="6"/>
        <v>83325.004252050465</v>
      </c>
      <c r="O41" s="78">
        <f t="shared" si="3"/>
        <v>158.30127018922195</v>
      </c>
      <c r="P41" s="78">
        <f t="shared" si="4"/>
        <v>0.18998051258464407</v>
      </c>
      <c r="Q41" s="78">
        <f t="shared" si="5"/>
        <v>83166.70298186125</v>
      </c>
    </row>
    <row r="42" spans="1:17" ht="14.25" customHeight="1" x14ac:dyDescent="0.3">
      <c r="A42" s="97">
        <v>110</v>
      </c>
      <c r="B42" s="98" t="s">
        <v>294</v>
      </c>
      <c r="C42" s="78">
        <v>20</v>
      </c>
      <c r="D42" s="99">
        <v>2</v>
      </c>
      <c r="E42" s="99">
        <v>19</v>
      </c>
      <c r="F42" s="78">
        <v>200000</v>
      </c>
      <c r="G42" s="78">
        <f t="shared" si="0"/>
        <v>3184.7133757961783</v>
      </c>
      <c r="H42" s="78">
        <v>250</v>
      </c>
      <c r="I42" s="78">
        <v>5</v>
      </c>
      <c r="J42" s="78">
        <f t="shared" si="7"/>
        <v>8.6602540378443873</v>
      </c>
      <c r="K42" s="78">
        <f t="shared" si="8"/>
        <v>0.11064101615137756</v>
      </c>
      <c r="L42" s="78">
        <f t="shared" si="1"/>
        <v>6.6384609690826535</v>
      </c>
      <c r="M42" s="78">
        <f t="shared" si="2"/>
        <v>2500</v>
      </c>
      <c r="N42" s="78">
        <f t="shared" si="6"/>
        <v>83166.70298186125</v>
      </c>
      <c r="O42" s="78">
        <f t="shared" si="3"/>
        <v>276.6025403784439</v>
      </c>
      <c r="P42" s="78">
        <f t="shared" si="4"/>
        <v>0.33258807967747772</v>
      </c>
      <c r="Q42" s="78">
        <f t="shared" si="5"/>
        <v>82890.100441482806</v>
      </c>
    </row>
    <row r="43" spans="1:17" ht="14.25" customHeight="1" x14ac:dyDescent="0.3">
      <c r="A43" s="97">
        <v>111</v>
      </c>
      <c r="B43" s="98" t="s">
        <v>295</v>
      </c>
      <c r="C43" s="78">
        <v>20</v>
      </c>
      <c r="D43" s="99">
        <v>0.75</v>
      </c>
      <c r="E43" s="99">
        <v>19</v>
      </c>
      <c r="F43" s="78">
        <v>250000</v>
      </c>
      <c r="G43" s="78">
        <f t="shared" si="0"/>
        <v>3980.8917197452229</v>
      </c>
      <c r="H43" s="78">
        <v>110</v>
      </c>
      <c r="I43" s="78">
        <v>5</v>
      </c>
      <c r="J43" s="78">
        <f t="shared" si="7"/>
        <v>8.6602540378443873</v>
      </c>
      <c r="K43" s="78">
        <f t="shared" si="8"/>
        <v>0.25145685488949443</v>
      </c>
      <c r="L43" s="78">
        <f t="shared" si="1"/>
        <v>15.087411293369666</v>
      </c>
      <c r="M43" s="78">
        <f t="shared" si="2"/>
        <v>412.5</v>
      </c>
      <c r="N43" s="78">
        <f t="shared" si="6"/>
        <v>82890.100441482806</v>
      </c>
      <c r="O43" s="78">
        <f t="shared" si="3"/>
        <v>103.72595264191645</v>
      </c>
      <c r="P43" s="78">
        <f t="shared" si="4"/>
        <v>0.12513671969204929</v>
      </c>
      <c r="Q43" s="78">
        <f t="shared" si="5"/>
        <v>82786.374488840884</v>
      </c>
    </row>
    <row r="44" spans="1:17" ht="14.25" customHeight="1" x14ac:dyDescent="0.3">
      <c r="A44" s="97">
        <v>112</v>
      </c>
      <c r="B44" s="98" t="s">
        <v>296</v>
      </c>
      <c r="C44" s="78">
        <v>20</v>
      </c>
      <c r="D44" s="99">
        <v>2</v>
      </c>
      <c r="E44" s="99">
        <v>19</v>
      </c>
      <c r="F44" s="78">
        <v>200000</v>
      </c>
      <c r="G44" s="78">
        <f t="shared" si="0"/>
        <v>3184.7133757961783</v>
      </c>
      <c r="H44" s="78">
        <v>250</v>
      </c>
      <c r="I44" s="78">
        <v>5</v>
      </c>
      <c r="J44" s="78">
        <f t="shared" si="7"/>
        <v>8.6602540378443873</v>
      </c>
      <c r="K44" s="78">
        <f t="shared" si="8"/>
        <v>0.11064101615137756</v>
      </c>
      <c r="L44" s="78">
        <f t="shared" si="1"/>
        <v>6.6384609690826535</v>
      </c>
      <c r="M44" s="78">
        <f t="shared" si="2"/>
        <v>2500</v>
      </c>
      <c r="N44" s="78">
        <f t="shared" si="6"/>
        <v>82786.374488840884</v>
      </c>
      <c r="O44" s="78">
        <f t="shared" si="3"/>
        <v>276.6025403784439</v>
      </c>
      <c r="P44" s="78">
        <f t="shared" si="4"/>
        <v>0.33411602100745252</v>
      </c>
      <c r="Q44" s="78">
        <f t="shared" si="5"/>
        <v>82509.771948462439</v>
      </c>
    </row>
    <row r="45" spans="1:17" ht="14.25" customHeight="1" x14ac:dyDescent="0.3">
      <c r="A45" s="97">
        <v>113</v>
      </c>
      <c r="B45" s="98" t="s">
        <v>297</v>
      </c>
      <c r="C45" s="78">
        <v>20</v>
      </c>
      <c r="D45" s="99">
        <v>0.75</v>
      </c>
      <c r="E45" s="99">
        <v>19</v>
      </c>
      <c r="F45" s="78">
        <v>250000</v>
      </c>
      <c r="G45" s="78">
        <f t="shared" si="0"/>
        <v>3980.8917197452229</v>
      </c>
      <c r="H45" s="78">
        <v>110</v>
      </c>
      <c r="I45" s="78">
        <v>5</v>
      </c>
      <c r="J45" s="78">
        <f t="shared" si="7"/>
        <v>8.6602540378443873</v>
      </c>
      <c r="K45" s="78">
        <f t="shared" si="8"/>
        <v>0.25145685488949443</v>
      </c>
      <c r="L45" s="78">
        <f t="shared" si="1"/>
        <v>15.087411293369666</v>
      </c>
      <c r="M45" s="78">
        <f t="shared" si="2"/>
        <v>412.5</v>
      </c>
      <c r="N45" s="78">
        <f t="shared" si="6"/>
        <v>82509.771948462439</v>
      </c>
      <c r="O45" s="78">
        <f t="shared" si="3"/>
        <v>103.72595264191645</v>
      </c>
      <c r="P45" s="78">
        <f t="shared" si="4"/>
        <v>0.12571353694530407</v>
      </c>
      <c r="Q45" s="78">
        <f t="shared" si="5"/>
        <v>82406.045995820517</v>
      </c>
    </row>
    <row r="46" spans="1:17" ht="14.25" customHeight="1" x14ac:dyDescent="0.3">
      <c r="A46" s="97">
        <v>114</v>
      </c>
      <c r="B46" s="98" t="s">
        <v>298</v>
      </c>
      <c r="C46" s="78">
        <v>20</v>
      </c>
      <c r="D46" s="99">
        <v>2</v>
      </c>
      <c r="E46" s="99">
        <v>42</v>
      </c>
      <c r="F46" s="78">
        <v>200000</v>
      </c>
      <c r="G46" s="78">
        <f t="shared" si="0"/>
        <v>3184.7133757961783</v>
      </c>
      <c r="H46" s="78">
        <v>250</v>
      </c>
      <c r="I46" s="78">
        <v>14</v>
      </c>
      <c r="J46" s="78">
        <f t="shared" si="7"/>
        <v>9.1651513899116797</v>
      </c>
      <c r="K46" s="78">
        <f t="shared" si="8"/>
        <v>0.20466060555964671</v>
      </c>
      <c r="L46" s="78">
        <f t="shared" si="1"/>
        <v>12.279636333578804</v>
      </c>
      <c r="M46" s="78">
        <f t="shared" si="2"/>
        <v>7000</v>
      </c>
      <c r="N46" s="78">
        <f t="shared" si="6"/>
        <v>82406.045995820517</v>
      </c>
      <c r="O46" s="78">
        <f t="shared" si="3"/>
        <v>1432.624238917527</v>
      </c>
      <c r="P46" s="78">
        <f t="shared" si="4"/>
        <v>1.7384940893659515</v>
      </c>
      <c r="Q46" s="78">
        <f t="shared" si="5"/>
        <v>80973.421756902986</v>
      </c>
    </row>
    <row r="47" spans="1:17" ht="14.25" customHeight="1" x14ac:dyDescent="0.3">
      <c r="A47" s="97">
        <v>115</v>
      </c>
      <c r="B47" s="98" t="s">
        <v>299</v>
      </c>
      <c r="C47" s="78">
        <v>20</v>
      </c>
      <c r="D47" s="99">
        <v>0.75</v>
      </c>
      <c r="E47" s="99">
        <v>42</v>
      </c>
      <c r="F47" s="78">
        <v>250000</v>
      </c>
      <c r="G47" s="78">
        <f t="shared" si="0"/>
        <v>3980.8917197452229</v>
      </c>
      <c r="H47" s="78">
        <v>110</v>
      </c>
      <c r="I47" s="78">
        <v>14</v>
      </c>
      <c r="J47" s="78">
        <f t="shared" si="7"/>
        <v>9.1651513899116797</v>
      </c>
      <c r="K47" s="78">
        <f t="shared" si="8"/>
        <v>0.46513773990828799</v>
      </c>
      <c r="L47" s="78">
        <f t="shared" si="1"/>
        <v>27.90826439449728</v>
      </c>
      <c r="M47" s="78">
        <f t="shared" si="2"/>
        <v>1155</v>
      </c>
      <c r="N47" s="78">
        <f t="shared" si="6"/>
        <v>80973.421756902986</v>
      </c>
      <c r="O47" s="78">
        <f t="shared" si="3"/>
        <v>537.23408959407266</v>
      </c>
      <c r="P47" s="78">
        <f t="shared" si="4"/>
        <v>0.66346966441278421</v>
      </c>
      <c r="Q47" s="78">
        <f t="shared" si="5"/>
        <v>80436.187667308914</v>
      </c>
    </row>
    <row r="48" spans="1:17" ht="14.25" customHeight="1" x14ac:dyDescent="0.3">
      <c r="A48" s="97">
        <v>116</v>
      </c>
      <c r="B48" s="98" t="s">
        <v>300</v>
      </c>
      <c r="C48" s="78">
        <v>20</v>
      </c>
      <c r="D48" s="99">
        <v>2</v>
      </c>
      <c r="E48" s="99">
        <v>67</v>
      </c>
      <c r="F48" s="78">
        <v>200000</v>
      </c>
      <c r="G48" s="78">
        <f t="shared" si="0"/>
        <v>3184.7133757961783</v>
      </c>
      <c r="H48" s="78">
        <v>250</v>
      </c>
      <c r="I48" s="78">
        <v>10</v>
      </c>
      <c r="J48" s="78">
        <f t="shared" si="7"/>
        <v>10</v>
      </c>
      <c r="K48" s="78">
        <f t="shared" si="8"/>
        <v>0.308</v>
      </c>
      <c r="L48" s="78">
        <f t="shared" si="1"/>
        <v>18.48</v>
      </c>
      <c r="M48" s="78">
        <f t="shared" si="2"/>
        <v>5000</v>
      </c>
      <c r="N48" s="78">
        <f t="shared" si="6"/>
        <v>80436.187667308914</v>
      </c>
      <c r="O48" s="78">
        <f t="shared" si="3"/>
        <v>1540</v>
      </c>
      <c r="P48" s="78">
        <f t="shared" si="4"/>
        <v>1.9145611504731854</v>
      </c>
      <c r="Q48" s="78">
        <f t="shared" si="5"/>
        <v>78896.187667308914</v>
      </c>
    </row>
    <row r="49" spans="1:32" ht="14.25" customHeight="1" x14ac:dyDescent="0.3">
      <c r="A49" s="97">
        <v>117</v>
      </c>
      <c r="B49" s="98" t="s">
        <v>301</v>
      </c>
      <c r="C49" s="78">
        <v>20</v>
      </c>
      <c r="D49" s="99">
        <v>0.75</v>
      </c>
      <c r="E49" s="99">
        <v>67</v>
      </c>
      <c r="F49" s="78">
        <v>250000</v>
      </c>
      <c r="G49" s="78">
        <f t="shared" si="0"/>
        <v>3980.8917197452229</v>
      </c>
      <c r="H49" s="78">
        <v>110</v>
      </c>
      <c r="I49" s="78">
        <v>10</v>
      </c>
      <c r="J49" s="78">
        <f t="shared" si="7"/>
        <v>10</v>
      </c>
      <c r="K49" s="78">
        <f t="shared" si="8"/>
        <v>0.7</v>
      </c>
      <c r="L49" s="78">
        <f t="shared" si="1"/>
        <v>42</v>
      </c>
      <c r="M49" s="78">
        <f t="shared" si="2"/>
        <v>825</v>
      </c>
      <c r="N49" s="78">
        <f t="shared" si="6"/>
        <v>78896.187667308914</v>
      </c>
      <c r="O49" s="78">
        <f t="shared" si="3"/>
        <v>577.5</v>
      </c>
      <c r="P49" s="78">
        <f t="shared" si="4"/>
        <v>0.73197453143770908</v>
      </c>
      <c r="Q49" s="78">
        <f t="shared" si="5"/>
        <v>78318.687667308914</v>
      </c>
    </row>
    <row r="50" spans="1:32" ht="14.25" customHeight="1" x14ac:dyDescent="0.3">
      <c r="A50" s="97">
        <v>118</v>
      </c>
      <c r="B50" s="98" t="s">
        <v>302</v>
      </c>
      <c r="C50" s="78">
        <v>20</v>
      </c>
      <c r="D50" s="99">
        <v>2</v>
      </c>
      <c r="E50" s="99">
        <v>68.8</v>
      </c>
      <c r="F50" s="78">
        <v>200000</v>
      </c>
      <c r="G50" s="78">
        <f t="shared" si="0"/>
        <v>3184.7133757961783</v>
      </c>
      <c r="H50" s="78">
        <v>250</v>
      </c>
      <c r="I50" s="78">
        <v>4</v>
      </c>
      <c r="J50" s="78">
        <f t="shared" si="7"/>
        <v>8</v>
      </c>
      <c r="K50" s="78">
        <f t="shared" si="8"/>
        <v>0.30719999999999997</v>
      </c>
      <c r="L50" s="78">
        <f t="shared" si="1"/>
        <v>18.431999999999999</v>
      </c>
      <c r="M50" s="78">
        <f t="shared" si="2"/>
        <v>2000</v>
      </c>
      <c r="N50" s="78">
        <f t="shared" si="6"/>
        <v>78318.687667308914</v>
      </c>
      <c r="O50" s="78">
        <f t="shared" si="3"/>
        <v>614.4</v>
      </c>
      <c r="P50" s="78">
        <f t="shared" si="4"/>
        <v>0.78448709790684779</v>
      </c>
      <c r="Q50" s="78">
        <f t="shared" si="5"/>
        <v>77704.287667308919</v>
      </c>
    </row>
    <row r="51" spans="1:32" ht="14.25" customHeight="1" x14ac:dyDescent="0.3">
      <c r="A51" s="97">
        <v>119</v>
      </c>
      <c r="B51" s="98" t="s">
        <v>303</v>
      </c>
      <c r="C51" s="78">
        <v>20</v>
      </c>
      <c r="D51" s="99">
        <v>0.75</v>
      </c>
      <c r="E51" s="99">
        <v>68.8</v>
      </c>
      <c r="F51" s="78">
        <v>250000</v>
      </c>
      <c r="G51" s="78">
        <f t="shared" si="0"/>
        <v>3980.8917197452229</v>
      </c>
      <c r="H51" s="78">
        <v>110</v>
      </c>
      <c r="I51" s="78">
        <v>4</v>
      </c>
      <c r="J51" s="78">
        <f t="shared" si="7"/>
        <v>8</v>
      </c>
      <c r="K51" s="78">
        <f t="shared" si="8"/>
        <v>0.69818181818181813</v>
      </c>
      <c r="L51" s="78">
        <f t="shared" si="1"/>
        <v>41.890909090909091</v>
      </c>
      <c r="M51" s="78">
        <f t="shared" si="2"/>
        <v>330</v>
      </c>
      <c r="N51" s="78">
        <f t="shared" si="6"/>
        <v>77704.287667308919</v>
      </c>
      <c r="O51" s="78">
        <f t="shared" si="3"/>
        <v>230.39999999999998</v>
      </c>
      <c r="P51" s="78">
        <f t="shared" si="4"/>
        <v>0.2965087344812401</v>
      </c>
      <c r="Q51" s="78">
        <f t="shared" si="5"/>
        <v>77473.887667308925</v>
      </c>
    </row>
    <row r="52" spans="1:32" ht="14.25" customHeight="1" x14ac:dyDescent="0.3">
      <c r="A52" s="97">
        <v>120</v>
      </c>
      <c r="B52" s="98" t="s">
        <v>304</v>
      </c>
      <c r="C52" s="78">
        <v>20</v>
      </c>
      <c r="D52" s="99">
        <v>3</v>
      </c>
      <c r="E52" s="99">
        <v>42</v>
      </c>
      <c r="F52" s="78">
        <v>200000</v>
      </c>
      <c r="G52" s="78">
        <f t="shared" si="0"/>
        <v>3184.7133757961783</v>
      </c>
      <c r="H52" s="78">
        <v>250</v>
      </c>
      <c r="I52" s="78">
        <v>20</v>
      </c>
      <c r="J52" s="78">
        <f>C52/2</f>
        <v>10</v>
      </c>
      <c r="K52" s="78">
        <f>((E52+J52)/H52)*2</f>
        <v>0.41599999999999998</v>
      </c>
      <c r="L52" s="78">
        <f t="shared" si="1"/>
        <v>24.959999999999997</v>
      </c>
      <c r="M52" s="78">
        <f t="shared" si="2"/>
        <v>15000</v>
      </c>
      <c r="N52" s="78">
        <f t="shared" si="6"/>
        <v>77473.887667308925</v>
      </c>
      <c r="O52" s="78">
        <f t="shared" si="3"/>
        <v>6240</v>
      </c>
      <c r="P52" s="78">
        <f t="shared" si="4"/>
        <v>8.0543266742931845</v>
      </c>
      <c r="Q52" s="78">
        <f t="shared" si="5"/>
        <v>71233.887667308925</v>
      </c>
    </row>
    <row r="53" spans="1:32" ht="15.75" customHeight="1" x14ac:dyDescent="0.3">
      <c r="A53" s="97">
        <v>122</v>
      </c>
      <c r="B53" s="98" t="s">
        <v>305</v>
      </c>
      <c r="C53" s="78">
        <v>20</v>
      </c>
      <c r="D53" s="99">
        <v>1</v>
      </c>
      <c r="E53" s="99">
        <v>42</v>
      </c>
      <c r="F53" s="78">
        <v>250000</v>
      </c>
      <c r="G53" s="78">
        <f t="shared" si="0"/>
        <v>3980.8917197452229</v>
      </c>
      <c r="H53" s="78">
        <v>110</v>
      </c>
      <c r="I53" s="78">
        <v>4.8</v>
      </c>
      <c r="J53" s="78">
        <f t="shared" ref="J53:J59" si="9">SQRT(I53*(C53-I53))</f>
        <v>8.541662601625049</v>
      </c>
      <c r="K53" s="78">
        <f>((E53+J53)/H53)</f>
        <v>0.45946966001477318</v>
      </c>
      <c r="L53" s="78">
        <f t="shared" si="1"/>
        <v>27.568179600886392</v>
      </c>
      <c r="M53" s="78">
        <f t="shared" si="2"/>
        <v>528</v>
      </c>
      <c r="N53" s="78">
        <f t="shared" si="6"/>
        <v>71233.887667308925</v>
      </c>
      <c r="O53" s="78">
        <f t="shared" si="3"/>
        <v>242.59998048780025</v>
      </c>
      <c r="P53" s="78">
        <f t="shared" si="4"/>
        <v>0.34056821610079785</v>
      </c>
      <c r="Q53" s="78">
        <f t="shared" si="5"/>
        <v>70991.287686821132</v>
      </c>
    </row>
    <row r="54" spans="1:32" ht="14.25" customHeight="1" x14ac:dyDescent="0.3">
      <c r="A54" s="97">
        <v>123</v>
      </c>
      <c r="B54" s="98" t="s">
        <v>306</v>
      </c>
      <c r="C54" s="78">
        <v>20</v>
      </c>
      <c r="D54" s="99">
        <v>5</v>
      </c>
      <c r="E54" s="99">
        <v>34.54</v>
      </c>
      <c r="F54" s="78">
        <v>200000</v>
      </c>
      <c r="G54" s="78">
        <f t="shared" si="0"/>
        <v>3184.7133757961783</v>
      </c>
      <c r="H54" s="78">
        <v>250</v>
      </c>
      <c r="I54" s="78">
        <v>2.5</v>
      </c>
      <c r="J54" s="78">
        <f t="shared" si="9"/>
        <v>6.6143782776614763</v>
      </c>
      <c r="K54" s="78">
        <f>((E54+J54)/H54)*9</f>
        <v>1.4815576179958134</v>
      </c>
      <c r="L54" s="78">
        <f t="shared" si="1"/>
        <v>88.893457079748799</v>
      </c>
      <c r="M54" s="78">
        <f t="shared" si="2"/>
        <v>3125</v>
      </c>
      <c r="N54" s="78">
        <f t="shared" si="6"/>
        <v>70991.287686821132</v>
      </c>
      <c r="O54" s="78">
        <f t="shared" si="3"/>
        <v>4629.8675562369172</v>
      </c>
      <c r="P54" s="78">
        <f t="shared" si="4"/>
        <v>6.5217404939344537</v>
      </c>
      <c r="Q54" s="78">
        <f t="shared" si="5"/>
        <v>66361.420130584214</v>
      </c>
    </row>
    <row r="55" spans="1:32" ht="14.25" customHeight="1" x14ac:dyDescent="0.3">
      <c r="A55" s="97">
        <v>132</v>
      </c>
      <c r="B55" s="98" t="s">
        <v>307</v>
      </c>
      <c r="C55" s="78">
        <v>20</v>
      </c>
      <c r="D55" s="99">
        <v>4</v>
      </c>
      <c r="E55" s="99">
        <v>34.54</v>
      </c>
      <c r="F55" s="78">
        <v>200000</v>
      </c>
      <c r="G55" s="78">
        <f t="shared" si="0"/>
        <v>3184.7133757961783</v>
      </c>
      <c r="H55" s="78">
        <v>250</v>
      </c>
      <c r="I55" s="78">
        <v>2.5</v>
      </c>
      <c r="J55" s="78">
        <f t="shared" si="9"/>
        <v>6.6143782776614763</v>
      </c>
      <c r="K55" s="78">
        <f>((E55+J55)/H55)</f>
        <v>0.16461751311064593</v>
      </c>
      <c r="L55" s="78">
        <f t="shared" si="1"/>
        <v>9.8770507866387565</v>
      </c>
      <c r="M55" s="78">
        <f t="shared" si="2"/>
        <v>2500</v>
      </c>
      <c r="N55" s="78">
        <f t="shared" si="6"/>
        <v>66361.420130584214</v>
      </c>
      <c r="O55" s="78">
        <f t="shared" si="3"/>
        <v>411.54378277661482</v>
      </c>
      <c r="P55" s="78">
        <f t="shared" si="4"/>
        <v>0.62015517746122684</v>
      </c>
      <c r="Q55" s="78">
        <f t="shared" si="5"/>
        <v>65949.8763478076</v>
      </c>
    </row>
    <row r="56" spans="1:32" ht="14.25" customHeight="1" x14ac:dyDescent="0.3">
      <c r="A56" s="97">
        <v>133</v>
      </c>
      <c r="B56" s="98" t="s">
        <v>308</v>
      </c>
      <c r="C56" s="78">
        <v>20</v>
      </c>
      <c r="D56" s="99">
        <v>1</v>
      </c>
      <c r="E56" s="99">
        <v>34.54</v>
      </c>
      <c r="F56" s="78">
        <v>250000</v>
      </c>
      <c r="G56" s="78">
        <f t="shared" si="0"/>
        <v>3980.8917197452229</v>
      </c>
      <c r="H56" s="78">
        <v>110</v>
      </c>
      <c r="I56" s="78">
        <v>2.5</v>
      </c>
      <c r="J56" s="78">
        <f t="shared" si="9"/>
        <v>6.6143782776614763</v>
      </c>
      <c r="K56" s="78">
        <f>((E56+J56)/H56)</f>
        <v>0.37413071161510436</v>
      </c>
      <c r="L56" s="78">
        <f t="shared" si="1"/>
        <v>22.44784269690626</v>
      </c>
      <c r="M56" s="78">
        <f t="shared" si="2"/>
        <v>275</v>
      </c>
      <c r="N56" s="78">
        <f t="shared" si="6"/>
        <v>65949.8763478076</v>
      </c>
      <c r="O56" s="78">
        <f t="shared" si="3"/>
        <v>102.8859456941537</v>
      </c>
      <c r="P56" s="78">
        <f t="shared" si="4"/>
        <v>0.15600627535911066</v>
      </c>
      <c r="Q56" s="78">
        <f t="shared" si="5"/>
        <v>65846.990402113443</v>
      </c>
    </row>
    <row r="57" spans="1:32" ht="14.25" customHeight="1" x14ac:dyDescent="0.3">
      <c r="A57" s="97">
        <v>136</v>
      </c>
      <c r="B57" s="98" t="s">
        <v>309</v>
      </c>
      <c r="C57" s="78">
        <v>20</v>
      </c>
      <c r="D57" s="99">
        <v>5</v>
      </c>
      <c r="E57" s="99">
        <v>31.4</v>
      </c>
      <c r="F57" s="78">
        <v>200000</v>
      </c>
      <c r="G57" s="78">
        <f t="shared" si="0"/>
        <v>3184.7133757961783</v>
      </c>
      <c r="H57" s="78">
        <v>250</v>
      </c>
      <c r="I57" s="78">
        <v>1.5</v>
      </c>
      <c r="J57" s="78">
        <f t="shared" si="9"/>
        <v>5.2678268764263692</v>
      </c>
      <c r="K57" s="78">
        <f>((E57+J57)/H57)*2</f>
        <v>0.29334261501141096</v>
      </c>
      <c r="L57" s="78">
        <f t="shared" si="1"/>
        <v>17.600556900684659</v>
      </c>
      <c r="M57" s="78">
        <f t="shared" si="2"/>
        <v>1875</v>
      </c>
      <c r="N57" s="78">
        <f t="shared" si="6"/>
        <v>65846.990402113443</v>
      </c>
      <c r="O57" s="78">
        <f t="shared" si="3"/>
        <v>550.01740314639551</v>
      </c>
      <c r="P57" s="78">
        <f t="shared" si="4"/>
        <v>0.83529619165212743</v>
      </c>
      <c r="Q57" s="78">
        <f t="shared" si="5"/>
        <v>65296.972998967045</v>
      </c>
    </row>
    <row r="58" spans="1:32" ht="14.25" customHeight="1" x14ac:dyDescent="0.3">
      <c r="A58" s="97">
        <v>138</v>
      </c>
      <c r="B58" s="98" t="s">
        <v>310</v>
      </c>
      <c r="C58" s="78">
        <v>20</v>
      </c>
      <c r="D58" s="99">
        <v>4</v>
      </c>
      <c r="E58" s="99">
        <v>31.4</v>
      </c>
      <c r="F58" s="78">
        <v>200000</v>
      </c>
      <c r="G58" s="78">
        <f t="shared" si="0"/>
        <v>3184.7133757961783</v>
      </c>
      <c r="H58" s="78">
        <v>250</v>
      </c>
      <c r="I58" s="78">
        <v>1.5</v>
      </c>
      <c r="J58" s="78">
        <f t="shared" si="9"/>
        <v>5.2678268764263692</v>
      </c>
      <c r="K58" s="78">
        <f>((E58+J58)/H58)</f>
        <v>0.14667130750570548</v>
      </c>
      <c r="L58" s="78">
        <f t="shared" si="1"/>
        <v>8.8002784503423293</v>
      </c>
      <c r="M58" s="78">
        <f t="shared" si="2"/>
        <v>1500</v>
      </c>
      <c r="N58" s="78">
        <f t="shared" si="6"/>
        <v>65296.972998967045</v>
      </c>
      <c r="O58" s="78">
        <f t="shared" si="3"/>
        <v>220.00696125855822</v>
      </c>
      <c r="P58" s="78">
        <f t="shared" si="4"/>
        <v>0.33693286404262351</v>
      </c>
      <c r="Q58" s="78">
        <f t="shared" si="5"/>
        <v>65076.966037708487</v>
      </c>
    </row>
    <row r="59" spans="1:32" ht="14.25" customHeight="1" x14ac:dyDescent="0.3">
      <c r="A59" s="97">
        <v>139</v>
      </c>
      <c r="B59" s="98" t="s">
        <v>311</v>
      </c>
      <c r="C59" s="78">
        <v>20</v>
      </c>
      <c r="D59" s="99">
        <v>1</v>
      </c>
      <c r="E59" s="99">
        <v>31.4</v>
      </c>
      <c r="F59" s="78">
        <v>250000</v>
      </c>
      <c r="G59" s="78">
        <f t="shared" si="0"/>
        <v>3980.8917197452229</v>
      </c>
      <c r="H59" s="78">
        <v>110</v>
      </c>
      <c r="I59" s="78">
        <v>1.5</v>
      </c>
      <c r="J59" s="78">
        <f t="shared" si="9"/>
        <v>5.2678268764263692</v>
      </c>
      <c r="K59" s="78">
        <f>((E59+J59)/H59)</f>
        <v>0.33334388069478516</v>
      </c>
      <c r="L59" s="78">
        <f t="shared" si="1"/>
        <v>20.000632841687111</v>
      </c>
      <c r="M59" s="78">
        <f t="shared" si="2"/>
        <v>165</v>
      </c>
      <c r="N59" s="78">
        <f t="shared" si="6"/>
        <v>65076.966037708487</v>
      </c>
      <c r="O59" s="78">
        <f t="shared" si="3"/>
        <v>55.001740314639548</v>
      </c>
      <c r="P59" s="78">
        <f t="shared" si="4"/>
        <v>8.4517984877735527E-2</v>
      </c>
      <c r="Q59" s="78">
        <f t="shared" si="5"/>
        <v>65021.964297393846</v>
      </c>
    </row>
    <row r="60" spans="1:32" ht="14.25" customHeight="1" x14ac:dyDescent="0.3">
      <c r="B60" s="79"/>
      <c r="C60" s="80"/>
      <c r="D60" s="80"/>
      <c r="E60" s="80"/>
      <c r="F60" s="80"/>
      <c r="G60" s="80"/>
      <c r="H60" s="80"/>
      <c r="I60" s="80"/>
      <c r="J60" s="80"/>
      <c r="K60" s="80"/>
      <c r="L60" s="80"/>
      <c r="M60" s="80"/>
      <c r="N60" s="80"/>
      <c r="O60" s="80"/>
      <c r="P60" s="80"/>
      <c r="Q60" s="80"/>
      <c r="R60" s="80"/>
    </row>
    <row r="61" spans="1:32" ht="14.25" customHeight="1" x14ac:dyDescent="0.3"/>
    <row r="62" spans="1:32" ht="14.25" customHeight="1" x14ac:dyDescent="0.3">
      <c r="A62" s="255" t="s">
        <v>30</v>
      </c>
      <c r="B62" s="246"/>
    </row>
    <row r="63" spans="1:32" ht="14.25" customHeight="1" x14ac:dyDescent="0.3">
      <c r="A63" s="100" t="s">
        <v>15</v>
      </c>
      <c r="B63" s="100" t="s">
        <v>32</v>
      </c>
      <c r="C63" s="81" t="s">
        <v>49</v>
      </c>
      <c r="D63" s="81" t="s">
        <v>50</v>
      </c>
      <c r="E63" s="81" t="s">
        <v>34</v>
      </c>
      <c r="F63" s="81" t="s">
        <v>51</v>
      </c>
      <c r="G63" s="81" t="s">
        <v>35</v>
      </c>
      <c r="H63" s="81" t="s">
        <v>52</v>
      </c>
      <c r="I63" s="81" t="s">
        <v>36</v>
      </c>
      <c r="J63" s="81" t="s">
        <v>37</v>
      </c>
      <c r="K63" s="81" t="s">
        <v>38</v>
      </c>
      <c r="L63" s="81" t="s">
        <v>41</v>
      </c>
      <c r="M63" s="81" t="s">
        <v>42</v>
      </c>
      <c r="N63" s="81" t="s">
        <v>53</v>
      </c>
      <c r="O63" s="81" t="s">
        <v>44</v>
      </c>
      <c r="P63" s="81" t="s">
        <v>45</v>
      </c>
      <c r="Q63" s="81" t="s">
        <v>54</v>
      </c>
      <c r="R63" s="81" t="s">
        <v>47</v>
      </c>
      <c r="U63" s="258" t="s">
        <v>81</v>
      </c>
      <c r="V63" s="254"/>
      <c r="W63" s="254"/>
      <c r="X63" s="254"/>
      <c r="Y63" s="254"/>
      <c r="Z63" s="254"/>
      <c r="AA63" s="254"/>
      <c r="AB63" s="254"/>
      <c r="AC63" s="254"/>
      <c r="AD63" s="254"/>
      <c r="AE63" s="254"/>
      <c r="AF63" s="254"/>
    </row>
    <row r="64" spans="1:32" ht="14.25" customHeight="1" x14ac:dyDescent="0.3">
      <c r="A64" s="78"/>
      <c r="B64" s="101"/>
      <c r="C64" s="84"/>
      <c r="D64" s="84"/>
      <c r="E64" s="84"/>
      <c r="F64" s="84"/>
      <c r="G64" s="84"/>
      <c r="H64" s="84"/>
      <c r="I64" s="84"/>
      <c r="J64" s="84"/>
      <c r="K64" s="84"/>
      <c r="L64" s="84"/>
      <c r="M64" s="84"/>
      <c r="N64" s="84"/>
      <c r="O64" s="84"/>
      <c r="P64" s="84"/>
      <c r="Q64" s="84"/>
      <c r="R64" s="84"/>
      <c r="U64" s="254"/>
      <c r="V64" s="254"/>
      <c r="W64" s="254"/>
      <c r="X64" s="254"/>
      <c r="Y64" s="254"/>
      <c r="Z64" s="254"/>
      <c r="AA64" s="254"/>
      <c r="AB64" s="254"/>
      <c r="AC64" s="254"/>
      <c r="AD64" s="254"/>
      <c r="AE64" s="254"/>
      <c r="AF64" s="254"/>
    </row>
    <row r="65" spans="1:18" ht="14.25" customHeight="1" x14ac:dyDescent="0.3">
      <c r="A65" s="78"/>
      <c r="B65" s="101"/>
      <c r="C65" s="84"/>
      <c r="D65" s="84"/>
      <c r="E65" s="84"/>
      <c r="F65" s="84"/>
      <c r="G65" s="84"/>
      <c r="H65" s="84"/>
      <c r="I65" s="84"/>
      <c r="J65" s="84"/>
      <c r="K65" s="84"/>
      <c r="L65" s="84"/>
      <c r="M65" s="84"/>
      <c r="N65" s="84"/>
      <c r="O65" s="84"/>
      <c r="P65" s="84"/>
      <c r="Q65" s="84"/>
      <c r="R65" s="84"/>
    </row>
    <row r="66" spans="1:18" ht="14.25" customHeight="1" x14ac:dyDescent="0.3">
      <c r="E66" s="57" t="s">
        <v>55</v>
      </c>
    </row>
    <row r="67" spans="1:18" ht="14.25" customHeight="1" x14ac:dyDescent="0.3"/>
    <row r="68" spans="1:18" ht="14.25" customHeight="1" x14ac:dyDescent="0.3">
      <c r="A68" s="245" t="s">
        <v>56</v>
      </c>
      <c r="B68" s="246"/>
    </row>
    <row r="69" spans="1:18" ht="14.25" customHeight="1" x14ac:dyDescent="0.3">
      <c r="A69" s="76" t="s">
        <v>15</v>
      </c>
      <c r="B69" s="76" t="s">
        <v>32</v>
      </c>
      <c r="C69" s="81" t="s">
        <v>33</v>
      </c>
      <c r="D69" s="81" t="s">
        <v>34</v>
      </c>
      <c r="E69" s="81" t="s">
        <v>52</v>
      </c>
      <c r="F69" s="81" t="s">
        <v>57</v>
      </c>
      <c r="G69" s="81" t="s">
        <v>37</v>
      </c>
      <c r="H69" s="81" t="s">
        <v>38</v>
      </c>
      <c r="I69" s="81" t="s">
        <v>41</v>
      </c>
      <c r="J69" s="81" t="s">
        <v>42</v>
      </c>
      <c r="K69" s="81" t="s">
        <v>43</v>
      </c>
      <c r="L69" s="81" t="s">
        <v>44</v>
      </c>
      <c r="M69" s="81" t="s">
        <v>45</v>
      </c>
      <c r="N69" s="81" t="s">
        <v>54</v>
      </c>
      <c r="O69" s="81" t="s">
        <v>47</v>
      </c>
    </row>
    <row r="70" spans="1:18" ht="14.25" customHeight="1" x14ac:dyDescent="0.3">
      <c r="A70" s="97">
        <v>134</v>
      </c>
      <c r="B70" s="98" t="s">
        <v>312</v>
      </c>
      <c r="C70" s="83">
        <v>8.5</v>
      </c>
      <c r="D70" s="84">
        <v>65</v>
      </c>
      <c r="E70" s="84">
        <f>8.5/10*0.2</f>
        <v>0.17</v>
      </c>
      <c r="F70" s="84">
        <v>20000</v>
      </c>
      <c r="G70" s="84">
        <f>F70/(3.14*C70)</f>
        <v>749.34432371674779</v>
      </c>
      <c r="H70" s="84">
        <f>E70*G70</f>
        <v>127.38853503184714</v>
      </c>
      <c r="I70" s="84">
        <f>D70/H70</f>
        <v>0.51024999999999998</v>
      </c>
      <c r="J70" s="84">
        <f>I70*60</f>
        <v>30.614999999999998</v>
      </c>
      <c r="K70" s="84">
        <f>(3.14*C70*C70*H70)/4</f>
        <v>7225.0000000000009</v>
      </c>
      <c r="L70" s="84">
        <f>Q59</f>
        <v>65021.964297393846</v>
      </c>
      <c r="M70" s="84">
        <f>I70*K70</f>
        <v>3686.5562500000005</v>
      </c>
      <c r="N70" s="84">
        <f>((I70*K70)/L70)*100</f>
        <v>5.6697091357293274</v>
      </c>
      <c r="O70" s="84">
        <f>L70-M70</f>
        <v>61335.408047393845</v>
      </c>
    </row>
    <row r="71" spans="1:18" ht="14.25" customHeight="1" x14ac:dyDescent="0.3">
      <c r="A71" s="97">
        <v>135</v>
      </c>
      <c r="B71" s="98" t="s">
        <v>313</v>
      </c>
      <c r="C71" s="83">
        <v>8.5</v>
      </c>
      <c r="D71" s="84">
        <v>15</v>
      </c>
      <c r="E71" s="84">
        <f>8.5/10*0.2</f>
        <v>0.17</v>
      </c>
      <c r="F71" s="84">
        <v>20000</v>
      </c>
      <c r="G71" s="84">
        <f>F71/(3.14*C71)</f>
        <v>749.34432371674779</v>
      </c>
      <c r="H71" s="84">
        <f>E71*G71</f>
        <v>127.38853503184714</v>
      </c>
      <c r="I71" s="84">
        <f>D71/H71</f>
        <v>0.11774999999999999</v>
      </c>
      <c r="J71" s="84">
        <f>I71*60</f>
        <v>7.0649999999999995</v>
      </c>
      <c r="K71" s="84">
        <f>(3.14*C71*C71*H71)/4</f>
        <v>7225.0000000000009</v>
      </c>
      <c r="L71" s="84">
        <f>O70</f>
        <v>61335.408047393845</v>
      </c>
      <c r="M71" s="84">
        <f>I71*K71</f>
        <v>850.74375000000009</v>
      </c>
      <c r="N71" s="84">
        <f>((I71*K71)/L71)*100</f>
        <v>1.3870352820390968</v>
      </c>
      <c r="O71" s="84">
        <f>L71-M71</f>
        <v>60484.664297393843</v>
      </c>
    </row>
    <row r="72" spans="1:18" ht="14.25" customHeight="1" x14ac:dyDescent="0.3"/>
    <row r="73" spans="1:18" ht="14.25" customHeight="1" x14ac:dyDescent="0.3"/>
    <row r="74" spans="1:18" ht="14.25" customHeight="1" x14ac:dyDescent="0.3">
      <c r="A74" s="245" t="s">
        <v>58</v>
      </c>
      <c r="B74" s="246"/>
    </row>
    <row r="75" spans="1:18" ht="14.25" customHeight="1" x14ac:dyDescent="0.3">
      <c r="A75" s="100" t="s">
        <v>15</v>
      </c>
      <c r="B75" s="100" t="s">
        <v>32</v>
      </c>
      <c r="C75" s="81" t="s">
        <v>59</v>
      </c>
      <c r="D75" s="81" t="s">
        <v>60</v>
      </c>
      <c r="E75" s="81" t="s">
        <v>35</v>
      </c>
      <c r="F75" s="81" t="s">
        <v>44</v>
      </c>
      <c r="G75" s="81" t="s">
        <v>61</v>
      </c>
      <c r="H75" s="81" t="s">
        <v>41</v>
      </c>
      <c r="I75" s="81" t="s">
        <v>62</v>
      </c>
      <c r="J75" s="81" t="s">
        <v>45</v>
      </c>
      <c r="K75" s="81" t="s">
        <v>46</v>
      </c>
      <c r="L75" s="81" t="s">
        <v>47</v>
      </c>
    </row>
    <row r="76" spans="1:18" ht="14.25" customHeight="1" x14ac:dyDescent="0.3">
      <c r="A76" s="102"/>
      <c r="B76" s="103"/>
      <c r="C76" s="83"/>
      <c r="D76" s="84"/>
      <c r="E76" s="84"/>
      <c r="F76" s="84"/>
      <c r="G76" s="84"/>
      <c r="H76" s="84"/>
      <c r="I76" s="84"/>
      <c r="J76" s="84"/>
      <c r="K76" s="104"/>
      <c r="L76" s="84"/>
    </row>
    <row r="77" spans="1:18" ht="14.25" customHeight="1" x14ac:dyDescent="0.3">
      <c r="A77" s="105"/>
      <c r="B77" s="106"/>
      <c r="C77" s="84"/>
      <c r="D77" s="84"/>
      <c r="E77" s="84"/>
      <c r="F77" s="84"/>
      <c r="G77" s="84"/>
      <c r="H77" s="84"/>
      <c r="I77" s="84"/>
      <c r="J77" s="84"/>
      <c r="K77" s="84"/>
      <c r="L77" s="84"/>
    </row>
    <row r="78" spans="1:18" ht="14.25" customHeight="1" x14ac:dyDescent="0.3"/>
    <row r="79" spans="1:18" ht="14.25" customHeight="1" x14ac:dyDescent="0.3"/>
    <row r="80" spans="1:18" ht="21.75" customHeight="1" x14ac:dyDescent="0.3">
      <c r="A80" s="245" t="s">
        <v>65</v>
      </c>
      <c r="B80" s="246"/>
    </row>
    <row r="81" spans="1:14" ht="14.25" customHeight="1" x14ac:dyDescent="0.3">
      <c r="A81" s="100" t="s">
        <v>15</v>
      </c>
      <c r="B81" s="100" t="s">
        <v>32</v>
      </c>
      <c r="C81" s="81" t="s">
        <v>66</v>
      </c>
      <c r="D81" s="81" t="s">
        <v>39</v>
      </c>
      <c r="E81" s="81" t="s">
        <v>67</v>
      </c>
      <c r="F81" s="81" t="s">
        <v>60</v>
      </c>
      <c r="G81" s="81" t="s">
        <v>33</v>
      </c>
      <c r="H81" s="81" t="s">
        <v>68</v>
      </c>
      <c r="I81" s="81" t="s">
        <v>61</v>
      </c>
      <c r="J81" s="81" t="s">
        <v>41</v>
      </c>
      <c r="K81" s="81" t="s">
        <v>62</v>
      </c>
      <c r="L81" s="81" t="s">
        <v>69</v>
      </c>
    </row>
    <row r="82" spans="1:14" ht="14.25" customHeight="1" x14ac:dyDescent="0.3">
      <c r="A82" s="78"/>
      <c r="B82" s="101"/>
      <c r="C82" s="84"/>
      <c r="D82" s="84"/>
      <c r="E82" s="84"/>
      <c r="F82" s="84"/>
      <c r="G82" s="84"/>
      <c r="H82" s="84"/>
      <c r="I82" s="84"/>
      <c r="J82" s="84"/>
      <c r="K82" s="84"/>
      <c r="L82" s="84"/>
    </row>
    <row r="83" spans="1:14" ht="14.25" customHeight="1" x14ac:dyDescent="0.3">
      <c r="A83" s="78"/>
      <c r="B83" s="101"/>
      <c r="C83" s="84"/>
      <c r="D83" s="84"/>
      <c r="E83" s="84"/>
      <c r="F83" s="84"/>
      <c r="G83" s="84"/>
      <c r="H83" s="84"/>
      <c r="I83" s="84"/>
      <c r="J83" s="84"/>
      <c r="K83" s="84"/>
      <c r="L83" s="84"/>
    </row>
    <row r="84" spans="1:14" ht="14.25" customHeight="1" x14ac:dyDescent="0.3"/>
    <row r="85" spans="1:14" ht="14.25" customHeight="1" x14ac:dyDescent="0.3">
      <c r="A85" s="245" t="s">
        <v>70</v>
      </c>
      <c r="B85" s="246"/>
    </row>
    <row r="86" spans="1:14" ht="14.25" customHeight="1" x14ac:dyDescent="0.3">
      <c r="A86" s="100" t="s">
        <v>15</v>
      </c>
      <c r="B86" s="100" t="s">
        <v>32</v>
      </c>
      <c r="C86" s="81" t="s">
        <v>40</v>
      </c>
      <c r="D86" s="81" t="s">
        <v>60</v>
      </c>
      <c r="E86" s="81" t="s">
        <v>71</v>
      </c>
      <c r="F86" s="81" t="s">
        <v>72</v>
      </c>
      <c r="G86" s="81" t="s">
        <v>45</v>
      </c>
      <c r="H86" s="81" t="s">
        <v>54</v>
      </c>
      <c r="I86" s="81" t="s">
        <v>47</v>
      </c>
    </row>
    <row r="87" spans="1:14" ht="14.25" customHeight="1" x14ac:dyDescent="0.3">
      <c r="A87" s="102"/>
      <c r="B87" s="82"/>
      <c r="C87" s="83"/>
      <c r="D87" s="84"/>
      <c r="E87" s="84"/>
      <c r="F87" s="84"/>
      <c r="G87" s="84"/>
      <c r="H87" s="104"/>
      <c r="I87" s="84"/>
    </row>
    <row r="88" spans="1:14" ht="14.25" customHeight="1" x14ac:dyDescent="0.3">
      <c r="A88" s="85"/>
      <c r="B88" s="86"/>
      <c r="C88" s="87"/>
      <c r="D88" s="87"/>
      <c r="E88" s="87"/>
      <c r="F88" s="87"/>
      <c r="G88" s="87"/>
      <c r="H88" s="88"/>
      <c r="I88" s="87"/>
    </row>
    <row r="89" spans="1:14" ht="14.25" customHeight="1" x14ac:dyDescent="0.3">
      <c r="A89" s="85"/>
      <c r="B89" s="86"/>
      <c r="C89" s="87"/>
      <c r="D89" s="87"/>
      <c r="E89" s="87"/>
      <c r="F89" s="87"/>
      <c r="G89" s="87"/>
      <c r="H89" s="88"/>
      <c r="I89" s="87"/>
    </row>
    <row r="90" spans="1:14" ht="14.25" customHeight="1" x14ac:dyDescent="0.3"/>
    <row r="91" spans="1:14" ht="14.25" customHeight="1" x14ac:dyDescent="0.3">
      <c r="A91" s="253" t="s">
        <v>74</v>
      </c>
      <c r="B91" s="254"/>
      <c r="C91" s="254"/>
      <c r="D91" s="254"/>
      <c r="E91" s="254"/>
      <c r="F91" s="254"/>
      <c r="G91" s="254"/>
      <c r="H91" s="254"/>
      <c r="I91" s="254"/>
      <c r="J91" s="254"/>
      <c r="K91" s="254"/>
      <c r="L91" s="254"/>
      <c r="M91" s="254"/>
      <c r="N91" s="254"/>
    </row>
    <row r="92" spans="1:14" ht="14.25" customHeight="1" x14ac:dyDescent="0.3">
      <c r="A92" s="75"/>
      <c r="B92" s="75"/>
      <c r="C92" s="75"/>
      <c r="D92" s="75"/>
      <c r="E92" s="75"/>
      <c r="F92" s="75"/>
      <c r="G92" s="75"/>
      <c r="H92" s="75"/>
    </row>
    <row r="93" spans="1:14" ht="14.25" customHeight="1" x14ac:dyDescent="0.3"/>
    <row r="94" spans="1:14" ht="14.25" customHeight="1" x14ac:dyDescent="0.3">
      <c r="A94" s="59" t="s">
        <v>75</v>
      </c>
    </row>
    <row r="95" spans="1:14" ht="14.25" customHeight="1" x14ac:dyDescent="0.3"/>
    <row r="96" spans="1:14" ht="14.25" customHeight="1" x14ac:dyDescent="0.3">
      <c r="A96" s="59" t="s">
        <v>76</v>
      </c>
    </row>
    <row r="97" spans="1:2" ht="14.25" customHeight="1" x14ac:dyDescent="0.3"/>
    <row r="98" spans="1:2" ht="14.25" customHeight="1" x14ac:dyDescent="0.3">
      <c r="A98" s="59" t="s">
        <v>77</v>
      </c>
    </row>
    <row r="99" spans="1:2" ht="14.25" customHeight="1" x14ac:dyDescent="0.3"/>
    <row r="100" spans="1:2" ht="14.25" customHeight="1" x14ac:dyDescent="0.3">
      <c r="A100" s="59" t="s">
        <v>78</v>
      </c>
    </row>
    <row r="101" spans="1:2" ht="14.25" customHeight="1" x14ac:dyDescent="0.3"/>
    <row r="102" spans="1:2" ht="14.25" customHeight="1" x14ac:dyDescent="0.3">
      <c r="A102" s="59" t="s">
        <v>79</v>
      </c>
    </row>
    <row r="103" spans="1:2" ht="14.25" customHeight="1" x14ac:dyDescent="0.3"/>
    <row r="104" spans="1:2" ht="14.25" customHeight="1" x14ac:dyDescent="0.3">
      <c r="A104" s="59" t="s">
        <v>80</v>
      </c>
    </row>
    <row r="105" spans="1:2" ht="14.25" customHeight="1" x14ac:dyDescent="0.3"/>
    <row r="106" spans="1:2" ht="14.25" customHeight="1" x14ac:dyDescent="0.3">
      <c r="B106" s="89"/>
    </row>
    <row r="107" spans="1:2" ht="14.25" customHeight="1" x14ac:dyDescent="0.3"/>
    <row r="108" spans="1:2" ht="14.25" customHeight="1" x14ac:dyDescent="0.3"/>
    <row r="109" spans="1:2" ht="14.25" customHeight="1" x14ac:dyDescent="0.3"/>
    <row r="110" spans="1:2" ht="14.25" customHeight="1" x14ac:dyDescent="0.3"/>
    <row r="111" spans="1:2" ht="14.25" customHeight="1" x14ac:dyDescent="0.3"/>
    <row r="112" spans="1:2" ht="14.25" customHeight="1" x14ac:dyDescent="0.3"/>
    <row r="113" spans="2:14" ht="16.5" customHeight="1" x14ac:dyDescent="0.3"/>
    <row r="114" spans="2:14" ht="14.25" customHeight="1" x14ac:dyDescent="0.3"/>
    <row r="115" spans="2:14" ht="14.25" customHeight="1" x14ac:dyDescent="0.3"/>
    <row r="116" spans="2:14" ht="14.25" customHeight="1" x14ac:dyDescent="0.3"/>
    <row r="117" spans="2:14" ht="30" customHeight="1" x14ac:dyDescent="0.3"/>
    <row r="118" spans="2:14" ht="14.25" customHeight="1" x14ac:dyDescent="0.3"/>
    <row r="119" spans="2:14" ht="14.25" customHeight="1" x14ac:dyDescent="0.3"/>
    <row r="120" spans="2:14" ht="14.25" customHeight="1" x14ac:dyDescent="0.3">
      <c r="B120" s="89"/>
    </row>
    <row r="121" spans="2:14" ht="14.25" customHeight="1" x14ac:dyDescent="0.3"/>
    <row r="122" spans="2:14" ht="14.25" customHeight="1" x14ac:dyDescent="0.3"/>
    <row r="123" spans="2:14" ht="14.25" customHeight="1" x14ac:dyDescent="0.3">
      <c r="B123" s="89"/>
    </row>
    <row r="124" spans="2:14" ht="14.25" customHeight="1" x14ac:dyDescent="0.3">
      <c r="B124" s="89"/>
    </row>
    <row r="125" spans="2:14" ht="14.25" customHeight="1" x14ac:dyDescent="0.3"/>
    <row r="126" spans="2:14" ht="14.25" customHeight="1" x14ac:dyDescent="0.3"/>
    <row r="127" spans="2:14" ht="14.25" customHeight="1" x14ac:dyDescent="0.3">
      <c r="J127" s="75"/>
      <c r="K127" s="75"/>
      <c r="L127" s="75"/>
      <c r="M127" s="75"/>
      <c r="N127" s="75"/>
    </row>
    <row r="128" spans="2:14" ht="14.25" customHeight="1" x14ac:dyDescent="0.3"/>
    <row r="129" spans="1:14" ht="14.25" customHeight="1" x14ac:dyDescent="0.3">
      <c r="B129" s="89"/>
    </row>
    <row r="130" spans="1:14" ht="14.25" customHeight="1" x14ac:dyDescent="0.3">
      <c r="A130" s="253" t="s">
        <v>82</v>
      </c>
      <c r="B130" s="254"/>
      <c r="C130" s="254"/>
      <c r="D130" s="254"/>
      <c r="E130" s="254"/>
      <c r="F130" s="254"/>
      <c r="G130" s="254"/>
      <c r="H130" s="254"/>
      <c r="I130" s="254"/>
      <c r="J130" s="254"/>
      <c r="K130" s="254"/>
      <c r="L130" s="254"/>
      <c r="M130" s="254"/>
      <c r="N130" s="254"/>
    </row>
    <row r="131" spans="1:14" ht="14.25" customHeight="1" x14ac:dyDescent="0.3"/>
    <row r="132" spans="1:14" ht="14.25" customHeight="1" x14ac:dyDescent="0.3">
      <c r="A132" s="59" t="s">
        <v>83</v>
      </c>
      <c r="B132" s="89"/>
    </row>
    <row r="133" spans="1:14" ht="14.25" customHeight="1" x14ac:dyDescent="0.3">
      <c r="B133" s="89"/>
    </row>
    <row r="134" spans="1:14" ht="14.25" customHeight="1" x14ac:dyDescent="0.3">
      <c r="A134" s="59" t="s">
        <v>84</v>
      </c>
    </row>
    <row r="135" spans="1:14" ht="14.25" customHeight="1" x14ac:dyDescent="0.3"/>
    <row r="136" spans="1:14" ht="14.25" customHeight="1" x14ac:dyDescent="0.3">
      <c r="A136" s="59" t="s">
        <v>85</v>
      </c>
      <c r="B136" s="89"/>
    </row>
    <row r="137" spans="1:14" ht="14.25" customHeight="1" x14ac:dyDescent="0.3">
      <c r="A137" s="59" t="s">
        <v>86</v>
      </c>
      <c r="B137" s="89"/>
    </row>
    <row r="138" spans="1:14" ht="14.25" customHeight="1" x14ac:dyDescent="0.3"/>
    <row r="139" spans="1:14" ht="14.25" customHeight="1" x14ac:dyDescent="0.3">
      <c r="A139" s="59" t="s">
        <v>87</v>
      </c>
    </row>
    <row r="140" spans="1:14" ht="14.25" customHeight="1" x14ac:dyDescent="0.3">
      <c r="B140" s="89"/>
    </row>
    <row r="141" spans="1:14" ht="14.25" customHeight="1" x14ac:dyDescent="0.3">
      <c r="A141" s="59" t="s">
        <v>88</v>
      </c>
      <c r="B141" s="89"/>
    </row>
    <row r="142" spans="1:14" ht="14.25" customHeight="1" x14ac:dyDescent="0.3"/>
    <row r="143" spans="1:14" ht="14.25" customHeight="1" x14ac:dyDescent="0.3"/>
    <row r="144" spans="1:14" ht="14.25" customHeight="1" x14ac:dyDescent="0.3"/>
    <row r="145" spans="2:2" ht="14.25" customHeight="1" x14ac:dyDescent="0.3"/>
    <row r="146" spans="2:2" ht="14.25" customHeight="1" x14ac:dyDescent="0.3"/>
    <row r="147" spans="2:2" ht="14.25" customHeight="1" x14ac:dyDescent="0.3"/>
    <row r="148" spans="2:2" ht="14.25" customHeight="1" x14ac:dyDescent="0.3"/>
    <row r="149" spans="2:2" ht="14.25" customHeight="1" x14ac:dyDescent="0.3"/>
    <row r="150" spans="2:2" ht="14.25" customHeight="1" x14ac:dyDescent="0.3"/>
    <row r="151" spans="2:2" ht="14.25" customHeight="1" x14ac:dyDescent="0.3"/>
    <row r="152" spans="2:2" ht="14.25" customHeight="1" x14ac:dyDescent="0.3">
      <c r="B152" s="90"/>
    </row>
    <row r="153" spans="2:2" ht="14.25" customHeight="1" x14ac:dyDescent="0.3"/>
    <row r="154" spans="2:2" ht="14.25" customHeight="1" x14ac:dyDescent="0.3"/>
    <row r="155" spans="2:2" ht="14.25" customHeight="1" x14ac:dyDescent="0.3"/>
    <row r="156" spans="2:2" ht="14.25" customHeight="1" x14ac:dyDescent="0.3"/>
    <row r="157" spans="2:2" ht="14.25" customHeight="1" x14ac:dyDescent="0.3"/>
    <row r="158" spans="2:2" ht="14.25" customHeight="1" x14ac:dyDescent="0.3"/>
    <row r="159" spans="2:2" ht="14.25" customHeight="1" x14ac:dyDescent="0.3"/>
    <row r="160" spans="2:2" ht="14.25" customHeight="1" x14ac:dyDescent="0.3"/>
    <row r="161" spans="1:14" ht="14.25" customHeight="1" x14ac:dyDescent="0.3"/>
    <row r="162" spans="1:14" ht="14.25" customHeight="1" x14ac:dyDescent="0.3"/>
    <row r="163" spans="1:14" ht="14.25" customHeight="1" x14ac:dyDescent="0.3">
      <c r="J163" s="91"/>
      <c r="K163" s="91"/>
      <c r="L163" s="91"/>
      <c r="M163" s="91"/>
      <c r="N163" s="91"/>
    </row>
    <row r="164" spans="1:14" ht="14.25" customHeight="1" x14ac:dyDescent="0.3">
      <c r="J164" s="75"/>
      <c r="K164" s="75"/>
      <c r="L164" s="75"/>
      <c r="M164" s="75"/>
      <c r="N164" s="75"/>
    </row>
    <row r="165" spans="1:14" ht="14.25" customHeight="1" x14ac:dyDescent="0.3"/>
    <row r="166" spans="1:14" ht="14.25" customHeight="1" x14ac:dyDescent="0.3">
      <c r="A166" s="91"/>
      <c r="B166" s="91"/>
      <c r="C166" s="91"/>
      <c r="D166" s="91"/>
      <c r="E166" s="91"/>
      <c r="F166" s="91"/>
      <c r="G166" s="91"/>
      <c r="H166" s="91"/>
      <c r="I166" s="91"/>
    </row>
    <row r="167" spans="1:14" ht="14.25" customHeight="1" x14ac:dyDescent="0.3">
      <c r="A167" s="253" t="s">
        <v>89</v>
      </c>
      <c r="B167" s="254"/>
      <c r="C167" s="254"/>
      <c r="D167" s="254"/>
      <c r="E167" s="254"/>
      <c r="F167" s="254"/>
      <c r="G167" s="254"/>
      <c r="H167" s="254"/>
      <c r="I167" s="254"/>
      <c r="J167" s="254"/>
      <c r="K167" s="254"/>
      <c r="L167" s="254"/>
      <c r="M167" s="254"/>
      <c r="N167" s="254"/>
    </row>
    <row r="168" spans="1:14" ht="14.25" customHeight="1" x14ac:dyDescent="0.3">
      <c r="A168" s="59" t="s">
        <v>90</v>
      </c>
    </row>
    <row r="169" spans="1:14" ht="14.25" customHeight="1" x14ac:dyDescent="0.3"/>
    <row r="170" spans="1:14" ht="14.25" customHeight="1" x14ac:dyDescent="0.3">
      <c r="A170" s="59" t="s">
        <v>84</v>
      </c>
    </row>
    <row r="171" spans="1:14" ht="14.25" customHeight="1" x14ac:dyDescent="0.3"/>
    <row r="172" spans="1:14" ht="14.25" customHeight="1" x14ac:dyDescent="0.3">
      <c r="A172" s="59" t="s">
        <v>91</v>
      </c>
    </row>
    <row r="173" spans="1:14" ht="14.25" customHeight="1" x14ac:dyDescent="0.3"/>
    <row r="174" spans="1:14" ht="14.25" customHeight="1" x14ac:dyDescent="0.3">
      <c r="A174" s="59" t="s">
        <v>92</v>
      </c>
    </row>
    <row r="175" spans="1:14" ht="14.25" customHeight="1" x14ac:dyDescent="0.3"/>
    <row r="176" spans="1:14"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row r="1001" ht="15.75" customHeight="1" x14ac:dyDescent="0.3"/>
  </sheetData>
  <mergeCells count="15">
    <mergeCell ref="A1:R2"/>
    <mergeCell ref="T1:AC2"/>
    <mergeCell ref="AE1:AL2"/>
    <mergeCell ref="A5:B5"/>
    <mergeCell ref="T25:AC26"/>
    <mergeCell ref="AE25:AN26"/>
    <mergeCell ref="A91:N91"/>
    <mergeCell ref="A130:N130"/>
    <mergeCell ref="A167:N167"/>
    <mergeCell ref="A62:B62"/>
    <mergeCell ref="U63:AF64"/>
    <mergeCell ref="A68:B68"/>
    <mergeCell ref="A74:B74"/>
    <mergeCell ref="A80:B80"/>
    <mergeCell ref="A85:B85"/>
  </mergeCells>
  <pageMargins left="0.7" right="0.7" top="0.75" bottom="0.75" header="0" footer="0"/>
  <pageSetup orientation="landscape"/>
  <drawing r:id="rId1"/>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DE79F0-5D9E-48C2-9F42-23621FE07150}">
  <sheetPr>
    <outlinePr summaryBelow="0" summaryRight="0"/>
  </sheetPr>
  <dimension ref="A1:N983"/>
  <sheetViews>
    <sheetView workbookViewId="0">
      <selection activeCell="J18" sqref="J18"/>
    </sheetView>
  </sheetViews>
  <sheetFormatPr defaultColWidth="14.44140625" defaultRowHeight="15" customHeight="1" x14ac:dyDescent="0.3"/>
  <cols>
    <col min="1" max="1" width="8.5546875" style="153" customWidth="1"/>
    <col min="2" max="2" width="52.21875" style="153" customWidth="1"/>
    <col min="3" max="3" width="9.5546875" style="153" customWidth="1"/>
    <col min="4" max="4" width="8.5546875" style="153" customWidth="1"/>
    <col min="5" max="5" width="9.44140625" style="153" customWidth="1"/>
    <col min="6" max="6" width="18.21875" style="153" customWidth="1"/>
    <col min="7" max="14" width="8.5546875" style="153" customWidth="1"/>
    <col min="15" max="16384" width="14.44140625" style="153"/>
  </cols>
  <sheetData>
    <row r="1" spans="1:14" ht="14.25" customHeight="1" thickBot="1" x14ac:dyDescent="0.35">
      <c r="A1" s="214" t="s">
        <v>0</v>
      </c>
      <c r="B1" s="202"/>
      <c r="C1" s="202"/>
      <c r="D1" s="202"/>
      <c r="E1" s="202"/>
      <c r="F1" s="202"/>
      <c r="G1" s="202"/>
      <c r="H1" s="202"/>
      <c r="I1" s="203"/>
      <c r="J1" s="195"/>
      <c r="K1" s="217" t="s">
        <v>1</v>
      </c>
      <c r="L1" s="202"/>
      <c r="M1" s="202"/>
      <c r="N1" s="203"/>
    </row>
    <row r="2" spans="1:14" ht="14.25" customHeight="1" thickBot="1" x14ac:dyDescent="0.35">
      <c r="A2" s="201"/>
      <c r="B2" s="202"/>
      <c r="C2" s="202"/>
      <c r="D2" s="202"/>
      <c r="E2" s="202"/>
      <c r="F2" s="202"/>
      <c r="G2" s="202"/>
      <c r="H2" s="202"/>
      <c r="I2" s="203"/>
      <c r="J2" s="195"/>
      <c r="K2" s="58"/>
      <c r="L2" s="59"/>
      <c r="M2" s="59"/>
      <c r="N2" s="60"/>
    </row>
    <row r="3" spans="1:14" ht="14.25" customHeight="1" thickBot="1" x14ac:dyDescent="0.35">
      <c r="A3" s="61" t="s">
        <v>2</v>
      </c>
      <c r="B3" s="213">
        <v>11</v>
      </c>
      <c r="C3" s="202"/>
      <c r="D3" s="203"/>
      <c r="E3" s="62" t="s">
        <v>3</v>
      </c>
      <c r="F3" s="213">
        <v>1</v>
      </c>
      <c r="G3" s="202"/>
      <c r="H3" s="202"/>
      <c r="I3" s="203"/>
      <c r="J3" s="195"/>
      <c r="K3" s="58"/>
      <c r="L3" s="59"/>
      <c r="M3" s="59"/>
      <c r="N3" s="60"/>
    </row>
    <row r="4" spans="1:14" ht="14.25" customHeight="1" thickBot="1" x14ac:dyDescent="0.35">
      <c r="A4" s="61" t="s">
        <v>4</v>
      </c>
      <c r="B4" s="213">
        <v>11</v>
      </c>
      <c r="C4" s="202"/>
      <c r="D4" s="203"/>
      <c r="E4" s="62" t="s">
        <v>5</v>
      </c>
      <c r="F4" s="210" t="s">
        <v>314</v>
      </c>
      <c r="G4" s="202"/>
      <c r="H4" s="202"/>
      <c r="I4" s="203"/>
      <c r="J4" s="195"/>
      <c r="K4" s="58"/>
      <c r="L4" s="59"/>
      <c r="M4" s="59"/>
      <c r="N4" s="60"/>
    </row>
    <row r="5" spans="1:14" ht="14.25" customHeight="1" thickBot="1" x14ac:dyDescent="0.35">
      <c r="A5" s="61" t="s">
        <v>6</v>
      </c>
      <c r="B5" s="210" t="s">
        <v>315</v>
      </c>
      <c r="C5" s="202"/>
      <c r="D5" s="203"/>
      <c r="E5" s="62" t="s">
        <v>7</v>
      </c>
      <c r="F5" s="210" t="s">
        <v>316</v>
      </c>
      <c r="G5" s="202"/>
      <c r="H5" s="202"/>
      <c r="I5" s="203"/>
      <c r="J5" s="195"/>
      <c r="K5" s="58"/>
      <c r="L5" s="59"/>
      <c r="M5" s="59"/>
      <c r="N5" s="60"/>
    </row>
    <row r="6" spans="1:14" ht="14.25" customHeight="1" thickBot="1" x14ac:dyDescent="0.35">
      <c r="A6" s="210"/>
      <c r="B6" s="202"/>
      <c r="C6" s="202"/>
      <c r="D6" s="203"/>
      <c r="E6" s="206" t="s">
        <v>8</v>
      </c>
      <c r="F6" s="63" t="s">
        <v>317</v>
      </c>
      <c r="G6" s="201">
        <v>88032.63</v>
      </c>
      <c r="H6" s="202"/>
      <c r="I6" s="64" t="s">
        <v>318</v>
      </c>
      <c r="J6" s="195"/>
      <c r="K6" s="58"/>
      <c r="L6" s="59"/>
      <c r="M6" s="59"/>
      <c r="N6" s="60"/>
    </row>
    <row r="7" spans="1:14" ht="14.25" customHeight="1" thickBot="1" x14ac:dyDescent="0.35">
      <c r="A7" s="61" t="s">
        <v>11</v>
      </c>
      <c r="B7" s="210" t="s">
        <v>95</v>
      </c>
      <c r="C7" s="202"/>
      <c r="D7" s="203"/>
      <c r="E7" s="211"/>
      <c r="F7" s="63" t="s">
        <v>319</v>
      </c>
      <c r="G7" s="201">
        <v>89.79</v>
      </c>
      <c r="H7" s="202"/>
      <c r="I7" s="64" t="s">
        <v>320</v>
      </c>
      <c r="J7" s="195"/>
      <c r="K7" s="58"/>
      <c r="L7" s="59"/>
      <c r="M7" s="59"/>
      <c r="N7" s="60"/>
    </row>
    <row r="8" spans="1:14" ht="14.25" customHeight="1" thickBot="1" x14ac:dyDescent="0.35">
      <c r="A8" s="61" t="s">
        <v>13</v>
      </c>
      <c r="B8" s="212" t="s">
        <v>96</v>
      </c>
      <c r="C8" s="202"/>
      <c r="D8" s="203"/>
      <c r="E8" s="205"/>
      <c r="F8" s="63"/>
      <c r="G8" s="201"/>
      <c r="H8" s="202"/>
      <c r="I8" s="64"/>
      <c r="J8" s="195"/>
      <c r="K8" s="65"/>
      <c r="L8" s="66"/>
      <c r="M8" s="66"/>
      <c r="N8" s="67"/>
    </row>
    <row r="9" spans="1:14" ht="14.25" customHeight="1" thickBot="1" x14ac:dyDescent="0.35">
      <c r="A9" s="201"/>
      <c r="B9" s="202"/>
      <c r="C9" s="202"/>
      <c r="D9" s="202"/>
      <c r="E9" s="202"/>
      <c r="F9" s="202"/>
      <c r="G9" s="202"/>
      <c r="H9" s="202"/>
      <c r="I9" s="203"/>
      <c r="J9" s="195"/>
      <c r="K9" s="195"/>
      <c r="L9" s="195"/>
      <c r="M9" s="195"/>
      <c r="N9" s="195"/>
    </row>
    <row r="10" spans="1:14" ht="14.25" customHeight="1" thickBot="1" x14ac:dyDescent="0.35">
      <c r="A10" s="204" t="s">
        <v>15</v>
      </c>
      <c r="B10" s="206" t="s">
        <v>16</v>
      </c>
      <c r="C10" s="206" t="s">
        <v>17</v>
      </c>
      <c r="D10" s="207" t="s">
        <v>18</v>
      </c>
      <c r="E10" s="203"/>
      <c r="F10" s="208" t="s">
        <v>19</v>
      </c>
      <c r="G10" s="209" t="s">
        <v>20</v>
      </c>
      <c r="H10" s="209" t="s">
        <v>21</v>
      </c>
      <c r="I10" s="209" t="s">
        <v>22</v>
      </c>
      <c r="J10" s="195"/>
      <c r="K10" s="195"/>
      <c r="L10" s="195"/>
      <c r="M10" s="195"/>
      <c r="N10" s="195"/>
    </row>
    <row r="11" spans="1:14" ht="14.25" customHeight="1" thickBot="1" x14ac:dyDescent="0.35">
      <c r="A11" s="205"/>
      <c r="B11" s="205"/>
      <c r="C11" s="205"/>
      <c r="D11" s="62" t="s">
        <v>23</v>
      </c>
      <c r="E11" s="62" t="s">
        <v>24</v>
      </c>
      <c r="F11" s="205"/>
      <c r="G11" s="205"/>
      <c r="H11" s="205"/>
      <c r="I11" s="205"/>
      <c r="J11" s="195"/>
      <c r="K11" s="195"/>
      <c r="L11" s="195"/>
      <c r="M11" s="195"/>
      <c r="N11" s="195"/>
    </row>
    <row r="12" spans="1:14" ht="14.25" customHeight="1" thickBot="1" x14ac:dyDescent="0.35">
      <c r="A12" s="68">
        <v>1</v>
      </c>
      <c r="B12" s="63" t="s">
        <v>97</v>
      </c>
      <c r="C12" s="62" t="s">
        <v>98</v>
      </c>
      <c r="D12" s="68"/>
      <c r="E12" s="62"/>
      <c r="F12" s="69" t="s">
        <v>100</v>
      </c>
      <c r="G12" s="70">
        <v>0</v>
      </c>
      <c r="H12" s="71">
        <v>0</v>
      </c>
      <c r="I12" s="71">
        <f>G12+H12</f>
        <v>0</v>
      </c>
      <c r="J12" s="195"/>
      <c r="K12" s="195"/>
      <c r="L12" s="195"/>
      <c r="M12" s="195"/>
      <c r="N12" s="195"/>
    </row>
    <row r="13" spans="1:14" ht="31.2" customHeight="1" thickBot="1" x14ac:dyDescent="0.35">
      <c r="A13" s="68">
        <v>2</v>
      </c>
      <c r="B13" s="154" t="s">
        <v>321</v>
      </c>
      <c r="C13" s="72" t="s">
        <v>322</v>
      </c>
      <c r="D13" s="68">
        <v>1</v>
      </c>
      <c r="E13" s="62" t="s">
        <v>323</v>
      </c>
      <c r="F13" s="62" t="s">
        <v>324</v>
      </c>
      <c r="G13" s="70">
        <v>180</v>
      </c>
      <c r="H13" s="71">
        <f>'Perhitungan LRP Tilt'!N40</f>
        <v>550.09760530753908</v>
      </c>
      <c r="I13" s="71">
        <f>G13+H13</f>
        <v>730.09760530753908</v>
      </c>
      <c r="J13" s="195"/>
      <c r="K13" s="195"/>
      <c r="L13" s="195"/>
      <c r="M13" s="195"/>
      <c r="N13" s="195"/>
    </row>
    <row r="14" spans="1:14" ht="14.25" customHeight="1" thickBot="1" x14ac:dyDescent="0.35">
      <c r="A14" s="68">
        <v>3</v>
      </c>
      <c r="B14" s="74" t="s">
        <v>110</v>
      </c>
      <c r="C14" s="68" t="s">
        <v>98</v>
      </c>
      <c r="D14" s="68"/>
      <c r="E14" s="68"/>
      <c r="F14" s="68" t="s">
        <v>100</v>
      </c>
      <c r="G14" s="73">
        <v>0</v>
      </c>
      <c r="H14" s="73">
        <f>'Perhitungan LRP Pivot'!L60</f>
        <v>0</v>
      </c>
      <c r="I14" s="71">
        <f>G14+H14</f>
        <v>0</v>
      </c>
      <c r="J14" s="195"/>
      <c r="K14" s="195"/>
      <c r="L14" s="195"/>
      <c r="M14" s="195"/>
      <c r="N14" s="195"/>
    </row>
    <row r="15" spans="1:14" ht="14.25" customHeight="1" thickBot="1" x14ac:dyDescent="0.35">
      <c r="A15" s="195"/>
      <c r="B15" s="195"/>
      <c r="C15" s="195"/>
      <c r="D15" s="195"/>
      <c r="E15" s="195"/>
      <c r="F15" s="195"/>
      <c r="G15" s="195"/>
      <c r="H15" s="73" t="s">
        <v>27</v>
      </c>
      <c r="I15" s="73">
        <f>SUM(I12:I14)</f>
        <v>730.09760530753908</v>
      </c>
      <c r="J15" s="195"/>
      <c r="K15" s="195"/>
      <c r="L15" s="195"/>
      <c r="M15" s="195"/>
      <c r="N15" s="195"/>
    </row>
    <row r="16" spans="1:14" ht="14.25" customHeight="1" x14ac:dyDescent="0.3">
      <c r="A16" s="195"/>
      <c r="B16" s="195"/>
      <c r="C16" s="195"/>
      <c r="D16" s="195"/>
      <c r="E16" s="195"/>
      <c r="F16" s="195"/>
      <c r="G16" s="195"/>
      <c r="H16" s="195"/>
      <c r="I16" s="195"/>
      <c r="J16" s="195"/>
      <c r="K16" s="195"/>
      <c r="L16" s="195"/>
      <c r="M16" s="195"/>
      <c r="N16" s="195"/>
    </row>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sheetData>
  <mergeCells count="25">
    <mergeCell ref="A9:I9"/>
    <mergeCell ref="A10:A11"/>
    <mergeCell ref="B10:B11"/>
    <mergeCell ref="C10:C11"/>
    <mergeCell ref="D10:E10"/>
    <mergeCell ref="F10:F11"/>
    <mergeCell ref="G10:G11"/>
    <mergeCell ref="H10:H11"/>
    <mergeCell ref="I10:I11"/>
    <mergeCell ref="B5:D5"/>
    <mergeCell ref="F5:I5"/>
    <mergeCell ref="A6:D6"/>
    <mergeCell ref="E6:E8"/>
    <mergeCell ref="G6:H6"/>
    <mergeCell ref="B7:D7"/>
    <mergeCell ref="G7:H7"/>
    <mergeCell ref="B8:D8"/>
    <mergeCell ref="G8:H8"/>
    <mergeCell ref="B4:D4"/>
    <mergeCell ref="F4:I4"/>
    <mergeCell ref="A1:I1"/>
    <mergeCell ref="K1:N1"/>
    <mergeCell ref="A2:I2"/>
    <mergeCell ref="B3:D3"/>
    <mergeCell ref="F3:I3"/>
  </mergeCells>
  <pageMargins left="0.7" right="0.7" top="0.75" bottom="0.75" header="0" footer="0"/>
  <pageSetup orientation="landscape"/>
  <drawing r:id="rId1"/>
  <legacy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E4A6D-1C94-4D7E-B90B-A998F6996436}">
  <dimension ref="A1:AN1006"/>
  <sheetViews>
    <sheetView topLeftCell="A8" zoomScale="68" zoomScaleNormal="100" workbookViewId="0">
      <selection activeCell="M46" sqref="M46"/>
    </sheetView>
  </sheetViews>
  <sheetFormatPr defaultColWidth="13.77734375" defaultRowHeight="15" customHeight="1" x14ac:dyDescent="0.3"/>
  <cols>
    <col min="1" max="1" width="14.21875" style="156" customWidth="1"/>
    <col min="2" max="2" width="57.21875" style="156" customWidth="1"/>
    <col min="3" max="3" width="11.77734375" style="156" bestFit="1" customWidth="1"/>
    <col min="4" max="4" width="8.5546875" style="156" customWidth="1"/>
    <col min="5" max="5" width="10" style="156" customWidth="1"/>
    <col min="6" max="6" width="12" style="156" customWidth="1"/>
    <col min="7" max="7" width="19.5546875" style="156" customWidth="1"/>
    <col min="8" max="8" width="11" style="156" customWidth="1"/>
    <col min="9" max="9" width="17.21875" style="156" customWidth="1"/>
    <col min="10" max="10" width="11" style="156" customWidth="1"/>
    <col min="11" max="11" width="18.21875" style="156" customWidth="1"/>
    <col min="12" max="12" width="21.5546875" style="156" customWidth="1"/>
    <col min="13" max="13" width="26.21875" style="156" customWidth="1"/>
    <col min="14" max="14" width="22.77734375" style="156" customWidth="1"/>
    <col min="15" max="15" width="24.5546875" style="156" customWidth="1"/>
    <col min="16" max="16" width="18.5546875" style="156" bestFit="1" customWidth="1"/>
    <col min="17" max="17" width="17.5546875" style="156" customWidth="1"/>
    <col min="18" max="18" width="17" style="156" customWidth="1"/>
    <col min="19" max="19" width="17.5546875" style="156" customWidth="1"/>
    <col min="20" max="41" width="8.21875" style="156" customWidth="1"/>
    <col min="42" max="16384" width="13.77734375" style="156"/>
  </cols>
  <sheetData>
    <row r="1" spans="1:38" ht="14.25" customHeight="1" x14ac:dyDescent="0.3">
      <c r="A1" s="279" t="s">
        <v>28</v>
      </c>
      <c r="B1" s="280"/>
      <c r="C1" s="280"/>
      <c r="D1" s="280"/>
      <c r="E1" s="280"/>
      <c r="F1" s="280"/>
      <c r="G1" s="280"/>
      <c r="H1" s="280"/>
      <c r="I1" s="280"/>
      <c r="J1" s="280"/>
      <c r="K1" s="280"/>
      <c r="L1" s="280"/>
      <c r="M1" s="280"/>
      <c r="N1" s="280"/>
      <c r="O1" s="280"/>
      <c r="P1" s="280"/>
      <c r="Q1" s="280"/>
      <c r="R1" s="281"/>
      <c r="T1" s="277" t="s">
        <v>29</v>
      </c>
      <c r="U1" s="274"/>
      <c r="V1" s="274"/>
      <c r="W1" s="274"/>
      <c r="X1" s="274"/>
      <c r="Y1" s="274"/>
      <c r="Z1" s="274"/>
      <c r="AA1" s="274"/>
      <c r="AB1" s="274"/>
      <c r="AC1" s="274"/>
      <c r="AE1" s="277" t="s">
        <v>30</v>
      </c>
      <c r="AF1" s="274"/>
      <c r="AG1" s="274"/>
      <c r="AH1" s="274"/>
      <c r="AI1" s="274"/>
      <c r="AJ1" s="274"/>
      <c r="AK1" s="274"/>
      <c r="AL1" s="274"/>
    </row>
    <row r="2" spans="1:38" ht="14.25" customHeight="1" x14ac:dyDescent="0.3">
      <c r="A2" s="282"/>
      <c r="B2" s="283"/>
      <c r="C2" s="283"/>
      <c r="D2" s="283"/>
      <c r="E2" s="283"/>
      <c r="F2" s="283"/>
      <c r="G2" s="283"/>
      <c r="H2" s="283"/>
      <c r="I2" s="283"/>
      <c r="J2" s="283"/>
      <c r="K2" s="283"/>
      <c r="L2" s="283"/>
      <c r="M2" s="283"/>
      <c r="N2" s="283"/>
      <c r="O2" s="283"/>
      <c r="P2" s="283"/>
      <c r="Q2" s="283"/>
      <c r="R2" s="284"/>
      <c r="T2" s="274"/>
      <c r="U2" s="274"/>
      <c r="V2" s="274"/>
      <c r="W2" s="274"/>
      <c r="X2" s="274"/>
      <c r="Y2" s="274"/>
      <c r="Z2" s="274"/>
      <c r="AA2" s="274"/>
      <c r="AB2" s="274"/>
      <c r="AC2" s="274"/>
      <c r="AE2" s="274"/>
      <c r="AF2" s="274"/>
      <c r="AG2" s="274"/>
      <c r="AH2" s="274"/>
      <c r="AI2" s="274"/>
      <c r="AJ2" s="274"/>
      <c r="AK2" s="274"/>
      <c r="AL2" s="274"/>
    </row>
    <row r="3" spans="1:38" ht="14.25" customHeight="1" x14ac:dyDescent="0.3"/>
    <row r="4" spans="1:38" ht="14.25" customHeight="1" x14ac:dyDescent="0.3"/>
    <row r="5" spans="1:38" ht="14.25" customHeight="1" x14ac:dyDescent="0.3">
      <c r="A5" s="278" t="s">
        <v>31</v>
      </c>
      <c r="B5" s="276"/>
    </row>
    <row r="6" spans="1:38" ht="14.25" customHeight="1" x14ac:dyDescent="0.3">
      <c r="A6" s="158" t="s">
        <v>15</v>
      </c>
      <c r="B6" s="158" t="s">
        <v>32</v>
      </c>
      <c r="C6" s="159" t="s">
        <v>33</v>
      </c>
      <c r="D6" s="159" t="s">
        <v>34</v>
      </c>
      <c r="E6" s="159" t="s">
        <v>35</v>
      </c>
      <c r="F6" s="159" t="s">
        <v>36</v>
      </c>
      <c r="G6" s="159" t="s">
        <v>37</v>
      </c>
      <c r="H6" s="159" t="s">
        <v>38</v>
      </c>
      <c r="I6" s="159" t="s">
        <v>39</v>
      </c>
      <c r="J6" s="159" t="s">
        <v>40</v>
      </c>
      <c r="K6" s="159" t="s">
        <v>41</v>
      </c>
      <c r="L6" s="159" t="s">
        <v>42</v>
      </c>
      <c r="M6" s="159" t="s">
        <v>43</v>
      </c>
      <c r="N6" s="159" t="s">
        <v>44</v>
      </c>
      <c r="O6" s="159" t="s">
        <v>45</v>
      </c>
      <c r="P6" s="159" t="s">
        <v>46</v>
      </c>
      <c r="Q6" s="159" t="s">
        <v>47</v>
      </c>
    </row>
    <row r="7" spans="1:38" ht="14.25" customHeight="1" x14ac:dyDescent="0.3">
      <c r="A7" s="160"/>
      <c r="B7" s="161"/>
      <c r="C7" s="160"/>
      <c r="D7" s="160"/>
      <c r="E7" s="160"/>
      <c r="F7" s="160"/>
      <c r="G7" s="160"/>
      <c r="H7" s="160"/>
      <c r="I7" s="160"/>
      <c r="J7" s="160"/>
      <c r="K7" s="160"/>
      <c r="L7" s="160"/>
      <c r="M7" s="160"/>
      <c r="N7" s="160"/>
      <c r="O7" s="160"/>
      <c r="P7" s="160"/>
      <c r="Q7" s="160"/>
    </row>
    <row r="8" spans="1:38" ht="14.25" customHeight="1" x14ac:dyDescent="0.3">
      <c r="A8" s="160"/>
      <c r="B8" s="160"/>
      <c r="C8" s="160"/>
      <c r="D8" s="160"/>
      <c r="E8" s="160"/>
      <c r="F8" s="160"/>
      <c r="G8" s="160"/>
      <c r="H8" s="160"/>
      <c r="I8" s="160"/>
      <c r="J8" s="160"/>
      <c r="K8" s="160"/>
      <c r="L8" s="160"/>
      <c r="M8" s="160"/>
      <c r="N8" s="160"/>
      <c r="O8" s="160"/>
      <c r="P8" s="160"/>
      <c r="Q8" s="160"/>
    </row>
    <row r="9" spans="1:38" ht="14.25" customHeight="1" x14ac:dyDescent="0.3">
      <c r="B9" s="162"/>
      <c r="C9" s="163"/>
      <c r="D9" s="163"/>
      <c r="E9" s="163"/>
      <c r="F9" s="163"/>
      <c r="G9" s="163"/>
      <c r="H9" s="163"/>
      <c r="I9" s="163"/>
      <c r="J9" s="163"/>
      <c r="K9" s="163"/>
      <c r="L9" s="163"/>
      <c r="M9" s="163"/>
      <c r="N9" s="163"/>
      <c r="O9" s="163"/>
      <c r="P9" s="163"/>
      <c r="Q9" s="163"/>
      <c r="R9" s="163"/>
    </row>
    <row r="10" spans="1:38" ht="14.25" customHeight="1" x14ac:dyDescent="0.3"/>
    <row r="11" spans="1:38" ht="14.25" customHeight="1" x14ac:dyDescent="0.3">
      <c r="A11" s="278" t="s">
        <v>30</v>
      </c>
      <c r="B11" s="276"/>
    </row>
    <row r="12" spans="1:38" ht="14.25" customHeight="1" x14ac:dyDescent="0.3">
      <c r="A12" s="158" t="s">
        <v>15</v>
      </c>
      <c r="B12" s="158" t="s">
        <v>32</v>
      </c>
      <c r="C12" s="159" t="s">
        <v>49</v>
      </c>
      <c r="D12" s="159" t="s">
        <v>50</v>
      </c>
      <c r="E12" s="159" t="s">
        <v>34</v>
      </c>
      <c r="F12" s="159" t="s">
        <v>51</v>
      </c>
      <c r="G12" s="159" t="s">
        <v>35</v>
      </c>
      <c r="H12" s="159" t="s">
        <v>52</v>
      </c>
      <c r="I12" s="159" t="s">
        <v>36</v>
      </c>
      <c r="J12" s="159" t="s">
        <v>37</v>
      </c>
      <c r="K12" s="159" t="s">
        <v>38</v>
      </c>
      <c r="L12" s="159" t="s">
        <v>41</v>
      </c>
      <c r="M12" s="159" t="s">
        <v>42</v>
      </c>
      <c r="N12" s="159" t="s">
        <v>53</v>
      </c>
      <c r="O12" s="159" t="s">
        <v>44</v>
      </c>
      <c r="P12" s="159" t="s">
        <v>45</v>
      </c>
      <c r="Q12" s="159" t="s">
        <v>54</v>
      </c>
      <c r="R12" s="159" t="s">
        <v>47</v>
      </c>
    </row>
    <row r="13" spans="1:38" ht="14.25" customHeight="1" x14ac:dyDescent="0.3">
      <c r="A13" s="160"/>
      <c r="B13" s="164"/>
      <c r="C13" s="165"/>
      <c r="D13" s="165"/>
      <c r="E13" s="165"/>
      <c r="F13" s="165"/>
      <c r="G13" s="165"/>
      <c r="H13" s="165"/>
      <c r="I13" s="165"/>
      <c r="J13" s="165"/>
      <c r="K13" s="165"/>
      <c r="L13" s="165"/>
      <c r="M13" s="165"/>
      <c r="N13" s="165"/>
      <c r="O13" s="165"/>
      <c r="P13" s="165"/>
      <c r="Q13" s="165"/>
      <c r="R13" s="165"/>
    </row>
    <row r="14" spans="1:38" ht="14.25" customHeight="1" x14ac:dyDescent="0.3">
      <c r="A14" s="160"/>
      <c r="B14" s="164"/>
      <c r="C14" s="165"/>
      <c r="D14" s="165"/>
      <c r="E14" s="165"/>
      <c r="F14" s="165"/>
      <c r="G14" s="165"/>
      <c r="H14" s="165"/>
      <c r="I14" s="165"/>
      <c r="J14" s="165"/>
      <c r="K14" s="165"/>
      <c r="L14" s="165"/>
      <c r="M14" s="165"/>
      <c r="N14" s="165"/>
      <c r="O14" s="165"/>
      <c r="P14" s="166"/>
      <c r="Q14" s="165"/>
      <c r="R14" s="165"/>
    </row>
    <row r="15" spans="1:38" ht="14.25" customHeight="1" x14ac:dyDescent="0.3"/>
    <row r="16" spans="1:38" ht="14.25" customHeight="1" x14ac:dyDescent="0.3"/>
    <row r="17" spans="1:40" ht="14.25" customHeight="1" x14ac:dyDescent="0.3">
      <c r="A17" s="275" t="s">
        <v>56</v>
      </c>
      <c r="B17" s="276"/>
    </row>
    <row r="18" spans="1:40" ht="14.25" customHeight="1" x14ac:dyDescent="0.3">
      <c r="A18" s="158" t="s">
        <v>15</v>
      </c>
      <c r="B18" s="158" t="s">
        <v>32</v>
      </c>
      <c r="C18" s="159" t="s">
        <v>33</v>
      </c>
      <c r="D18" s="159" t="s">
        <v>34</v>
      </c>
      <c r="E18" s="159" t="s">
        <v>52</v>
      </c>
      <c r="F18" s="159" t="s">
        <v>57</v>
      </c>
      <c r="G18" s="159" t="s">
        <v>37</v>
      </c>
      <c r="H18" s="159" t="s">
        <v>38</v>
      </c>
      <c r="I18" s="159" t="s">
        <v>41</v>
      </c>
      <c r="J18" s="159" t="s">
        <v>42</v>
      </c>
      <c r="K18" s="159" t="s">
        <v>43</v>
      </c>
      <c r="L18" s="159" t="s">
        <v>44</v>
      </c>
      <c r="M18" s="159" t="s">
        <v>45</v>
      </c>
      <c r="N18" s="159" t="s">
        <v>54</v>
      </c>
      <c r="O18" s="159" t="s">
        <v>47</v>
      </c>
    </row>
    <row r="19" spans="1:40" ht="14.25" customHeight="1" x14ac:dyDescent="0.3">
      <c r="A19" s="160"/>
      <c r="B19" s="160"/>
      <c r="C19" s="165"/>
      <c r="D19" s="165"/>
      <c r="E19" s="165"/>
      <c r="F19" s="165"/>
      <c r="G19" s="165"/>
      <c r="H19" s="165"/>
      <c r="I19" s="165"/>
      <c r="J19" s="165"/>
      <c r="K19" s="165"/>
      <c r="L19" s="165"/>
      <c r="M19" s="165"/>
      <c r="N19" s="165"/>
      <c r="O19" s="165"/>
    </row>
    <row r="20" spans="1:40" ht="14.25" customHeight="1" x14ac:dyDescent="0.3">
      <c r="A20" s="160"/>
      <c r="B20" s="160"/>
      <c r="C20" s="165"/>
      <c r="D20" s="165"/>
      <c r="E20" s="165"/>
      <c r="F20" s="165"/>
      <c r="G20" s="165"/>
      <c r="H20" s="165"/>
      <c r="I20" s="165"/>
      <c r="J20" s="165"/>
      <c r="K20" s="165"/>
      <c r="L20" s="165"/>
      <c r="M20" s="165"/>
      <c r="N20" s="165"/>
      <c r="O20" s="165"/>
    </row>
    <row r="21" spans="1:40" ht="14.25" customHeight="1" x14ac:dyDescent="0.3"/>
    <row r="22" spans="1:40" ht="14.25" customHeight="1" x14ac:dyDescent="0.3"/>
    <row r="23" spans="1:40" ht="14.25" customHeight="1" x14ac:dyDescent="0.3">
      <c r="A23" s="275" t="s">
        <v>58</v>
      </c>
      <c r="B23" s="276"/>
    </row>
    <row r="24" spans="1:40" ht="14.25" customHeight="1" x14ac:dyDescent="0.3">
      <c r="A24" s="158" t="s">
        <v>15</v>
      </c>
      <c r="B24" s="158" t="s">
        <v>32</v>
      </c>
      <c r="C24" s="159" t="s">
        <v>59</v>
      </c>
      <c r="D24" s="159" t="s">
        <v>60</v>
      </c>
      <c r="E24" s="159" t="s">
        <v>35</v>
      </c>
      <c r="F24" s="159" t="s">
        <v>44</v>
      </c>
      <c r="G24" s="159" t="s">
        <v>61</v>
      </c>
      <c r="H24" s="159" t="s">
        <v>41</v>
      </c>
      <c r="I24" s="159" t="s">
        <v>62</v>
      </c>
      <c r="J24" s="159" t="s">
        <v>45</v>
      </c>
      <c r="K24" s="159" t="s">
        <v>46</v>
      </c>
      <c r="L24" s="159" t="s">
        <v>47</v>
      </c>
    </row>
    <row r="25" spans="1:40" ht="14.25" customHeight="1" x14ac:dyDescent="0.3">
      <c r="A25" s="167"/>
      <c r="B25" s="168"/>
      <c r="C25" s="169"/>
      <c r="D25" s="165"/>
      <c r="E25" s="165"/>
      <c r="F25" s="165"/>
      <c r="G25" s="165"/>
      <c r="H25" s="165"/>
      <c r="I25" s="165"/>
      <c r="J25" s="165"/>
      <c r="K25" s="170"/>
      <c r="L25" s="165"/>
      <c r="T25" s="277" t="s">
        <v>31</v>
      </c>
      <c r="U25" s="274"/>
      <c r="V25" s="274"/>
      <c r="W25" s="274"/>
      <c r="X25" s="274"/>
      <c r="Y25" s="274"/>
      <c r="Z25" s="274"/>
      <c r="AA25" s="274"/>
      <c r="AB25" s="274"/>
      <c r="AC25" s="274"/>
      <c r="AE25" s="277" t="s">
        <v>64</v>
      </c>
      <c r="AF25" s="274"/>
      <c r="AG25" s="274"/>
      <c r="AH25" s="274"/>
      <c r="AI25" s="274"/>
      <c r="AJ25" s="274"/>
      <c r="AK25" s="274"/>
      <c r="AL25" s="274"/>
      <c r="AM25" s="274"/>
      <c r="AN25" s="274"/>
    </row>
    <row r="26" spans="1:40" ht="14.25" customHeight="1" x14ac:dyDescent="0.3">
      <c r="A26" s="171"/>
      <c r="B26" s="172"/>
      <c r="C26" s="165"/>
      <c r="D26" s="165"/>
      <c r="E26" s="165"/>
      <c r="F26" s="165"/>
      <c r="G26" s="165"/>
      <c r="H26" s="165"/>
      <c r="I26" s="165"/>
      <c r="J26" s="165"/>
      <c r="K26" s="165"/>
      <c r="L26" s="165"/>
      <c r="T26" s="274"/>
      <c r="U26" s="274"/>
      <c r="V26" s="274"/>
      <c r="W26" s="274"/>
      <c r="X26" s="274"/>
      <c r="Y26" s="274"/>
      <c r="Z26" s="274"/>
      <c r="AA26" s="274"/>
      <c r="AB26" s="274"/>
      <c r="AC26" s="274"/>
      <c r="AE26" s="274"/>
      <c r="AF26" s="274"/>
      <c r="AG26" s="274"/>
      <c r="AH26" s="274"/>
      <c r="AI26" s="274"/>
      <c r="AJ26" s="274"/>
      <c r="AK26" s="274"/>
      <c r="AL26" s="274"/>
      <c r="AM26" s="274"/>
      <c r="AN26" s="274"/>
    </row>
    <row r="27" spans="1:40" ht="14.25" customHeight="1" x14ac:dyDescent="0.3"/>
    <row r="28" spans="1:40" ht="14.25" customHeight="1" x14ac:dyDescent="0.3"/>
    <row r="29" spans="1:40" ht="14.25" customHeight="1" x14ac:dyDescent="0.3">
      <c r="A29" s="275" t="s">
        <v>65</v>
      </c>
      <c r="B29" s="276"/>
    </row>
    <row r="30" spans="1:40" ht="14.25" customHeight="1" x14ac:dyDescent="0.3">
      <c r="A30" s="158" t="s">
        <v>15</v>
      </c>
      <c r="B30" s="158" t="s">
        <v>32</v>
      </c>
      <c r="C30" s="159" t="s">
        <v>66</v>
      </c>
      <c r="D30" s="159" t="s">
        <v>39</v>
      </c>
      <c r="E30" s="159" t="s">
        <v>67</v>
      </c>
      <c r="F30" s="159" t="s">
        <v>60</v>
      </c>
      <c r="G30" s="159" t="s">
        <v>33</v>
      </c>
      <c r="H30" s="159" t="s">
        <v>68</v>
      </c>
      <c r="I30" s="159" t="s">
        <v>61</v>
      </c>
      <c r="J30" s="159" t="s">
        <v>41</v>
      </c>
      <c r="K30" s="159" t="s">
        <v>62</v>
      </c>
      <c r="L30" s="159" t="s">
        <v>69</v>
      </c>
    </row>
    <row r="31" spans="1:40" ht="14.25" customHeight="1" x14ac:dyDescent="0.3">
      <c r="A31" s="160"/>
      <c r="B31" s="164"/>
      <c r="C31" s="165"/>
      <c r="D31" s="165"/>
      <c r="E31" s="165"/>
      <c r="F31" s="165"/>
      <c r="G31" s="165"/>
      <c r="H31" s="165"/>
      <c r="I31" s="165"/>
      <c r="J31" s="165"/>
      <c r="K31" s="165"/>
      <c r="L31" s="165"/>
    </row>
    <row r="32" spans="1:40" ht="14.25" customHeight="1" x14ac:dyDescent="0.3">
      <c r="A32" s="160"/>
      <c r="B32" s="164"/>
      <c r="C32" s="165"/>
      <c r="D32" s="165"/>
      <c r="E32" s="165"/>
      <c r="F32" s="165"/>
      <c r="G32" s="165"/>
      <c r="H32" s="165"/>
      <c r="I32" s="165"/>
      <c r="J32" s="165"/>
      <c r="K32" s="165"/>
      <c r="L32" s="165"/>
    </row>
    <row r="33" spans="1:17" ht="14.25" customHeight="1" x14ac:dyDescent="0.3"/>
    <row r="34" spans="1:17" ht="14.25" customHeight="1" x14ac:dyDescent="0.3">
      <c r="A34" s="275" t="s">
        <v>70</v>
      </c>
      <c r="B34" s="276"/>
    </row>
    <row r="35" spans="1:17" ht="14.25" customHeight="1" x14ac:dyDescent="0.3">
      <c r="A35" s="158" t="s">
        <v>15</v>
      </c>
      <c r="B35" s="158" t="s">
        <v>32</v>
      </c>
      <c r="C35" s="159" t="s">
        <v>40</v>
      </c>
      <c r="D35" s="159" t="s">
        <v>60</v>
      </c>
      <c r="E35" s="159" t="s">
        <v>71</v>
      </c>
      <c r="F35" s="159" t="s">
        <v>72</v>
      </c>
      <c r="G35" s="159" t="s">
        <v>45</v>
      </c>
      <c r="H35" s="159" t="s">
        <v>54</v>
      </c>
      <c r="I35" s="159" t="s">
        <v>47</v>
      </c>
    </row>
    <row r="36" spans="1:17" ht="14.25" customHeight="1" x14ac:dyDescent="0.3">
      <c r="A36" s="167"/>
      <c r="B36" s="173"/>
      <c r="C36" s="169"/>
      <c r="D36" s="165"/>
      <c r="E36" s="165"/>
      <c r="F36" s="165"/>
      <c r="G36" s="165"/>
      <c r="H36" s="174"/>
      <c r="I36" s="165"/>
    </row>
    <row r="37" spans="1:17" ht="14.25" customHeight="1" x14ac:dyDescent="0.3">
      <c r="A37" s="175"/>
      <c r="B37" s="176"/>
      <c r="C37" s="177"/>
      <c r="D37" s="177"/>
      <c r="E37" s="177"/>
      <c r="F37" s="177"/>
      <c r="G37" s="177"/>
      <c r="H37" s="178"/>
      <c r="I37" s="177"/>
    </row>
    <row r="38" spans="1:17" ht="14.25" customHeight="1" x14ac:dyDescent="0.3">
      <c r="A38" s="278" t="s">
        <v>325</v>
      </c>
      <c r="B38" s="276"/>
    </row>
    <row r="39" spans="1:17" ht="14.25" customHeight="1" x14ac:dyDescent="0.3">
      <c r="A39" s="158" t="s">
        <v>15</v>
      </c>
      <c r="B39" s="158" t="s">
        <v>32</v>
      </c>
      <c r="C39" s="159" t="s">
        <v>326</v>
      </c>
      <c r="D39" s="159" t="s">
        <v>327</v>
      </c>
      <c r="E39" s="159" t="s">
        <v>328</v>
      </c>
      <c r="F39" s="159" t="s">
        <v>329</v>
      </c>
      <c r="G39" s="159" t="s">
        <v>330</v>
      </c>
      <c r="H39" s="159" t="s">
        <v>331</v>
      </c>
      <c r="I39" s="159" t="s">
        <v>332</v>
      </c>
      <c r="J39" s="159" t="s">
        <v>333</v>
      </c>
      <c r="K39" s="159" t="s">
        <v>334</v>
      </c>
      <c r="L39" s="159" t="s">
        <v>335</v>
      </c>
      <c r="M39" s="159" t="s">
        <v>336</v>
      </c>
      <c r="N39" s="159" t="s">
        <v>337</v>
      </c>
      <c r="O39" s="159" t="s">
        <v>45</v>
      </c>
      <c r="P39" s="159" t="s">
        <v>46</v>
      </c>
      <c r="Q39" s="159" t="s">
        <v>47</v>
      </c>
    </row>
    <row r="40" spans="1:17" ht="14.25" customHeight="1" x14ac:dyDescent="0.3">
      <c r="A40" s="160">
        <v>2</v>
      </c>
      <c r="B40" s="179" t="s">
        <v>321</v>
      </c>
      <c r="C40" s="163">
        <f>88032.63/10^9</f>
        <v>8.8032630000000004E-5</v>
      </c>
      <c r="D40" s="160">
        <f>C40+P40*C40</f>
        <v>9.2434261500000002E-5</v>
      </c>
      <c r="E40" s="160">
        <v>22000</v>
      </c>
      <c r="F40" s="160">
        <f>100*1000000</f>
        <v>100000000</v>
      </c>
      <c r="G40" s="160">
        <v>10</v>
      </c>
      <c r="H40" s="160">
        <v>5.8000000000000003E-2</v>
      </c>
      <c r="I40" s="160">
        <v>170</v>
      </c>
      <c r="J40" s="160">
        <v>50</v>
      </c>
      <c r="K40" s="160">
        <v>25</v>
      </c>
      <c r="L40" s="160">
        <f>(G40*G40)/(PI()*PI()*H40)*LN(4*(I40-K40)/(J40-K40))</f>
        <v>549.25729383935732</v>
      </c>
      <c r="M40" s="160">
        <f>2*D40*F40/E40*1</f>
        <v>0.84031146818181812</v>
      </c>
      <c r="N40" s="160">
        <f>SUM(L40:M40)</f>
        <v>550.09760530753908</v>
      </c>
      <c r="O40" s="160">
        <f>D40*P40</f>
        <v>4.6217130750000003E-6</v>
      </c>
      <c r="P40" s="160">
        <v>0.05</v>
      </c>
      <c r="Q40" s="160">
        <f>D40+D40*P40</f>
        <v>9.7055974575000004E-5</v>
      </c>
    </row>
    <row r="41" spans="1:17" ht="14.25" customHeight="1" x14ac:dyDescent="0.3">
      <c r="A41" s="180"/>
      <c r="B41" s="181"/>
      <c r="C41" s="182"/>
      <c r="D41" s="183"/>
      <c r="E41" s="160"/>
      <c r="F41" s="160"/>
      <c r="G41" s="160"/>
      <c r="H41" s="160"/>
      <c r="I41" s="160"/>
      <c r="J41" s="160"/>
      <c r="K41" s="160"/>
      <c r="L41" s="160"/>
      <c r="M41" s="160"/>
      <c r="N41" s="160"/>
      <c r="O41" s="160"/>
      <c r="P41" s="160"/>
    </row>
    <row r="42" spans="1:17" ht="14.25" customHeight="1" x14ac:dyDescent="0.3">
      <c r="A42" s="175"/>
      <c r="B42" s="176"/>
      <c r="C42" s="177"/>
      <c r="D42" s="177"/>
      <c r="E42" s="177"/>
      <c r="F42" s="177"/>
      <c r="G42" s="177"/>
      <c r="H42" s="178"/>
      <c r="I42" s="177"/>
    </row>
    <row r="43" spans="1:17" ht="14.25" customHeight="1" x14ac:dyDescent="0.3">
      <c r="A43" s="184"/>
      <c r="B43" s="185"/>
      <c r="C43" s="177"/>
      <c r="D43" s="177"/>
      <c r="E43" s="177">
        <f>0.000033720561*10^9</f>
        <v>33720.560999999994</v>
      </c>
      <c r="F43" s="177"/>
      <c r="G43" s="177"/>
      <c r="H43" s="186"/>
      <c r="I43" s="177"/>
    </row>
    <row r="44" spans="1:17" ht="14.25" customHeight="1" x14ac:dyDescent="0.3"/>
    <row r="45" spans="1:17" ht="14.25" customHeight="1" x14ac:dyDescent="0.3">
      <c r="A45" s="157" t="s">
        <v>74</v>
      </c>
      <c r="B45" s="157"/>
      <c r="C45" s="157"/>
      <c r="D45" s="157"/>
      <c r="E45" s="157"/>
      <c r="F45" s="157"/>
      <c r="G45" s="157"/>
      <c r="H45" s="157"/>
      <c r="I45" s="157"/>
    </row>
    <row r="46" spans="1:17" ht="14.25" customHeight="1" x14ac:dyDescent="0.3">
      <c r="A46" s="157"/>
      <c r="B46" s="157"/>
      <c r="C46" s="157"/>
      <c r="D46" s="157"/>
      <c r="E46" s="157"/>
      <c r="F46" s="157"/>
      <c r="G46" s="157"/>
      <c r="H46" s="157"/>
    </row>
    <row r="47" spans="1:17" ht="14.25" customHeight="1" x14ac:dyDescent="0.3"/>
    <row r="48" spans="1:17" ht="14.25" customHeight="1" x14ac:dyDescent="0.3">
      <c r="A48" s="187" t="s">
        <v>75</v>
      </c>
    </row>
    <row r="49" spans="1:2" ht="14.25" customHeight="1" x14ac:dyDescent="0.3"/>
    <row r="50" spans="1:2" ht="14.25" customHeight="1" x14ac:dyDescent="0.3">
      <c r="A50" s="187" t="s">
        <v>76</v>
      </c>
    </row>
    <row r="51" spans="1:2" ht="14.25" customHeight="1" x14ac:dyDescent="0.3"/>
    <row r="52" spans="1:2" ht="14.25" customHeight="1" x14ac:dyDescent="0.3">
      <c r="A52" s="187" t="s">
        <v>77</v>
      </c>
    </row>
    <row r="53" spans="1:2" ht="14.25" customHeight="1" x14ac:dyDescent="0.3"/>
    <row r="54" spans="1:2" ht="14.25" customHeight="1" x14ac:dyDescent="0.3">
      <c r="A54" s="187" t="s">
        <v>78</v>
      </c>
    </row>
    <row r="55" spans="1:2" ht="14.25" customHeight="1" x14ac:dyDescent="0.3"/>
    <row r="56" spans="1:2" ht="14.25" customHeight="1" x14ac:dyDescent="0.3">
      <c r="A56" s="187" t="s">
        <v>79</v>
      </c>
    </row>
    <row r="58" spans="1:2" ht="14.25" customHeight="1" x14ac:dyDescent="0.3">
      <c r="A58" s="187" t="s">
        <v>80</v>
      </c>
    </row>
    <row r="59" spans="1:2" ht="14.25" customHeight="1" x14ac:dyDescent="0.3"/>
    <row r="60" spans="1:2" ht="14.25" customHeight="1" x14ac:dyDescent="0.3">
      <c r="B60" s="188"/>
    </row>
    <row r="61" spans="1:2" ht="14.25" customHeight="1" x14ac:dyDescent="0.3"/>
    <row r="62" spans="1:2" ht="14.25" customHeight="1" x14ac:dyDescent="0.3"/>
    <row r="63" spans="1:2" ht="14.25" customHeight="1" x14ac:dyDescent="0.3"/>
    <row r="64" spans="1:2" ht="14.25" customHeight="1" x14ac:dyDescent="0.3"/>
    <row r="65" spans="2:32" ht="14.25" customHeight="1" x14ac:dyDescent="0.3"/>
    <row r="66" spans="2:32" ht="14.25" customHeight="1" x14ac:dyDescent="0.3"/>
    <row r="67" spans="2:32" ht="14.25" customHeight="1" x14ac:dyDescent="0.3">
      <c r="U67" s="273" t="s">
        <v>81</v>
      </c>
      <c r="V67" s="274"/>
      <c r="W67" s="274"/>
      <c r="X67" s="274"/>
      <c r="Y67" s="274"/>
      <c r="Z67" s="274"/>
      <c r="AA67" s="274"/>
      <c r="AB67" s="274"/>
      <c r="AC67" s="274"/>
      <c r="AD67" s="274"/>
      <c r="AE67" s="274"/>
      <c r="AF67" s="274"/>
    </row>
    <row r="68" spans="2:32" ht="14.25" customHeight="1" x14ac:dyDescent="0.3">
      <c r="U68" s="274"/>
      <c r="V68" s="274"/>
      <c r="W68" s="274"/>
      <c r="X68" s="274"/>
      <c r="Y68" s="274"/>
      <c r="Z68" s="274"/>
      <c r="AA68" s="274"/>
      <c r="AB68" s="274"/>
      <c r="AC68" s="274"/>
      <c r="AD68" s="274"/>
      <c r="AE68" s="274"/>
      <c r="AF68" s="274"/>
    </row>
    <row r="69" spans="2:32" ht="14.25" customHeight="1" x14ac:dyDescent="0.3"/>
    <row r="70" spans="2:32" ht="14.25" customHeight="1" x14ac:dyDescent="0.3"/>
    <row r="71" spans="2:32" ht="14.25" customHeight="1" x14ac:dyDescent="0.3"/>
    <row r="72" spans="2:32" ht="14.25" customHeight="1" x14ac:dyDescent="0.3"/>
    <row r="73" spans="2:32" ht="14.25" customHeight="1" x14ac:dyDescent="0.3"/>
    <row r="74" spans="2:32" ht="14.25" customHeight="1" x14ac:dyDescent="0.3">
      <c r="B74" s="188"/>
    </row>
    <row r="75" spans="2:32" ht="14.25" customHeight="1" x14ac:dyDescent="0.3"/>
    <row r="76" spans="2:32" ht="14.25" customHeight="1" x14ac:dyDescent="0.3"/>
    <row r="77" spans="2:32" ht="14.25" customHeight="1" x14ac:dyDescent="0.3">
      <c r="B77" s="188"/>
    </row>
    <row r="78" spans="2:32" ht="14.25" customHeight="1" x14ac:dyDescent="0.3">
      <c r="B78" s="188"/>
    </row>
    <row r="79" spans="2:32" ht="14.25" customHeight="1" x14ac:dyDescent="0.3"/>
    <row r="80" spans="2:32" ht="14.25" customHeight="1" x14ac:dyDescent="0.3"/>
    <row r="81" spans="1:14" ht="14.25" customHeight="1" x14ac:dyDescent="0.3">
      <c r="J81" s="157"/>
      <c r="K81" s="157"/>
      <c r="L81" s="157"/>
      <c r="M81" s="157"/>
      <c r="N81" s="157"/>
    </row>
    <row r="82" spans="1:14" ht="14.25" customHeight="1" x14ac:dyDescent="0.3"/>
    <row r="83" spans="1:14" ht="14.25" customHeight="1" x14ac:dyDescent="0.3">
      <c r="B83" s="188"/>
    </row>
    <row r="84" spans="1:14" ht="14.25" customHeight="1" x14ac:dyDescent="0.3">
      <c r="A84" s="157" t="s">
        <v>82</v>
      </c>
      <c r="B84" s="157"/>
      <c r="C84" s="157"/>
      <c r="D84" s="157"/>
      <c r="E84" s="157"/>
      <c r="F84" s="157"/>
      <c r="G84" s="157"/>
      <c r="H84" s="157"/>
      <c r="I84" s="157"/>
    </row>
    <row r="85" spans="1:14" ht="14.25" customHeight="1" x14ac:dyDescent="0.3"/>
    <row r="86" spans="1:14" ht="14.25" customHeight="1" x14ac:dyDescent="0.3">
      <c r="A86" s="187" t="s">
        <v>83</v>
      </c>
      <c r="B86" s="188"/>
    </row>
    <row r="87" spans="1:14" ht="14.25" customHeight="1" x14ac:dyDescent="0.3">
      <c r="B87" s="188"/>
    </row>
    <row r="88" spans="1:14" ht="14.25" customHeight="1" x14ac:dyDescent="0.3">
      <c r="A88" s="187" t="s">
        <v>84</v>
      </c>
    </row>
    <row r="89" spans="1:14" ht="14.25" customHeight="1" x14ac:dyDescent="0.3"/>
    <row r="90" spans="1:14" ht="14.25" customHeight="1" x14ac:dyDescent="0.3">
      <c r="A90" s="187" t="s">
        <v>85</v>
      </c>
      <c r="B90" s="188"/>
    </row>
    <row r="91" spans="1:14" ht="14.25" customHeight="1" x14ac:dyDescent="0.3">
      <c r="A91" s="187" t="s">
        <v>86</v>
      </c>
      <c r="B91" s="188"/>
    </row>
    <row r="92" spans="1:14" ht="14.25" customHeight="1" x14ac:dyDescent="0.3"/>
    <row r="93" spans="1:14" ht="14.25" customHeight="1" x14ac:dyDescent="0.3">
      <c r="A93" s="187" t="s">
        <v>87</v>
      </c>
    </row>
    <row r="94" spans="1:14" ht="14.25" customHeight="1" x14ac:dyDescent="0.3">
      <c r="B94" s="188"/>
    </row>
    <row r="95" spans="1:14" ht="14.25" customHeight="1" x14ac:dyDescent="0.3">
      <c r="A95" s="187" t="s">
        <v>88</v>
      </c>
      <c r="B95" s="188"/>
    </row>
    <row r="96" spans="1:14" ht="14.25" customHeight="1" x14ac:dyDescent="0.3"/>
    <row r="97" spans="2:2" ht="14.25" customHeight="1" x14ac:dyDescent="0.3"/>
    <row r="98" spans="2:2" ht="14.25" customHeight="1" x14ac:dyDescent="0.3"/>
    <row r="99" spans="2:2" ht="14.25" customHeight="1" x14ac:dyDescent="0.3"/>
    <row r="100" spans="2:2" ht="14.25" customHeight="1" x14ac:dyDescent="0.3"/>
    <row r="101" spans="2:2" ht="14.25" customHeight="1" x14ac:dyDescent="0.3"/>
    <row r="102" spans="2:2" ht="14.25" customHeight="1" x14ac:dyDescent="0.3"/>
    <row r="103" spans="2:2" ht="14.25" customHeight="1" x14ac:dyDescent="0.3"/>
    <row r="104" spans="2:2" ht="14.25" customHeight="1" x14ac:dyDescent="0.3"/>
    <row r="105" spans="2:2" ht="14.25" customHeight="1" x14ac:dyDescent="0.3"/>
    <row r="106" spans="2:2" ht="14.25" customHeight="1" x14ac:dyDescent="0.3">
      <c r="B106" s="189"/>
    </row>
    <row r="107" spans="2:2" ht="14.25" customHeight="1" x14ac:dyDescent="0.3"/>
    <row r="108" spans="2:2" ht="14.25" customHeight="1" x14ac:dyDescent="0.3"/>
    <row r="109" spans="2:2" ht="14.25" customHeight="1" x14ac:dyDescent="0.3"/>
    <row r="110" spans="2:2" ht="14.25" customHeight="1" x14ac:dyDescent="0.3"/>
    <row r="111" spans="2:2" ht="14.25" customHeight="1" x14ac:dyDescent="0.3"/>
    <row r="112" spans="2:2" ht="14.25" customHeight="1" x14ac:dyDescent="0.3"/>
    <row r="113" spans="1:14" ht="14.25" customHeight="1" x14ac:dyDescent="0.3"/>
    <row r="114" spans="1:14" ht="14.25" customHeight="1" x14ac:dyDescent="0.3"/>
    <row r="115" spans="1:14" ht="14.25" customHeight="1" x14ac:dyDescent="0.3"/>
    <row r="116" spans="1:14" ht="14.25" customHeight="1" x14ac:dyDescent="0.3"/>
    <row r="117" spans="1:14" ht="16.5" customHeight="1" x14ac:dyDescent="0.3">
      <c r="J117" s="190"/>
      <c r="K117" s="190"/>
      <c r="L117" s="190"/>
      <c r="M117" s="190"/>
      <c r="N117" s="190"/>
    </row>
    <row r="118" spans="1:14" ht="14.25" customHeight="1" x14ac:dyDescent="0.3">
      <c r="J118" s="157"/>
      <c r="K118" s="157"/>
      <c r="L118" s="157"/>
      <c r="M118" s="157"/>
      <c r="N118" s="157"/>
    </row>
    <row r="119" spans="1:14" ht="14.25" customHeight="1" x14ac:dyDescent="0.3"/>
    <row r="120" spans="1:14" ht="14.25" customHeight="1" x14ac:dyDescent="0.3">
      <c r="A120" s="190"/>
      <c r="B120" s="190"/>
      <c r="C120" s="190"/>
      <c r="D120" s="190"/>
      <c r="E120" s="190"/>
      <c r="F120" s="190"/>
      <c r="G120" s="190"/>
      <c r="H120" s="190"/>
      <c r="I120" s="190"/>
    </row>
    <row r="121" spans="1:14" ht="14.25" customHeight="1" x14ac:dyDescent="0.3">
      <c r="A121" s="157" t="s">
        <v>89</v>
      </c>
      <c r="B121" s="157"/>
      <c r="C121" s="157"/>
      <c r="D121" s="157"/>
      <c r="E121" s="157"/>
      <c r="F121" s="157"/>
      <c r="G121" s="157"/>
      <c r="H121" s="157"/>
      <c r="I121" s="157"/>
    </row>
    <row r="122" spans="1:14" ht="14.25" customHeight="1" x14ac:dyDescent="0.3">
      <c r="A122" s="187" t="s">
        <v>90</v>
      </c>
    </row>
    <row r="123" spans="1:14" ht="14.25" customHeight="1" x14ac:dyDescent="0.3"/>
    <row r="124" spans="1:14" ht="14.25" customHeight="1" x14ac:dyDescent="0.3">
      <c r="A124" s="187" t="s">
        <v>84</v>
      </c>
    </row>
    <row r="125" spans="1:14" ht="14.25" customHeight="1" x14ac:dyDescent="0.3"/>
    <row r="126" spans="1:14" ht="14.25" customHeight="1" x14ac:dyDescent="0.3">
      <c r="A126" s="187" t="s">
        <v>91</v>
      </c>
    </row>
    <row r="127" spans="1:14" ht="14.25" customHeight="1" x14ac:dyDescent="0.3"/>
    <row r="128" spans="1:14" ht="14.25" customHeight="1" x14ac:dyDescent="0.3">
      <c r="A128" s="187" t="s">
        <v>92</v>
      </c>
    </row>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row r="1001" ht="14.25" customHeight="1" x14ac:dyDescent="0.3"/>
    <row r="1002" ht="14.25" customHeight="1" x14ac:dyDescent="0.3"/>
    <row r="1003" ht="14.25" customHeight="1" x14ac:dyDescent="0.3"/>
    <row r="1004" ht="14.25" customHeight="1" x14ac:dyDescent="0.3"/>
    <row r="1005" ht="14.25" customHeight="1" x14ac:dyDescent="0.3"/>
    <row r="1006" ht="14.25" customHeight="1" x14ac:dyDescent="0.3"/>
  </sheetData>
  <mergeCells count="13">
    <mergeCell ref="A17:B17"/>
    <mergeCell ref="A1:R2"/>
    <mergeCell ref="T1:AC2"/>
    <mergeCell ref="AE1:AL2"/>
    <mergeCell ref="A5:B5"/>
    <mergeCell ref="A11:B11"/>
    <mergeCell ref="U67:AF68"/>
    <mergeCell ref="A23:B23"/>
    <mergeCell ref="T25:AC26"/>
    <mergeCell ref="AE25:AN26"/>
    <mergeCell ref="A29:B29"/>
    <mergeCell ref="A34:B34"/>
    <mergeCell ref="A38:B38"/>
  </mergeCells>
  <pageMargins left="0.7" right="0.7" top="0.75" bottom="0.75" header="0" footer="0"/>
  <pageSetup orientation="landscape"/>
  <drawing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441E69BB075894ABA9B055248BEA1BA" ma:contentTypeVersion="7" ma:contentTypeDescription="Create a new document." ma:contentTypeScope="" ma:versionID="a55a13ed6e09911903ff6c3c03660513">
  <xsd:schema xmlns:xsd="http://www.w3.org/2001/XMLSchema" xmlns:xs="http://www.w3.org/2001/XMLSchema" xmlns:p="http://schemas.microsoft.com/office/2006/metadata/properties" xmlns:ns2="3841c484-9d87-4084-9c96-fcc17a8eb4ad" targetNamespace="http://schemas.microsoft.com/office/2006/metadata/properties" ma:root="true" ma:fieldsID="6d50f4f81d3ac6b86b541b7266d634a0" ns2:_="">
    <xsd:import namespace="3841c484-9d87-4084-9c96-fcc17a8eb4a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841c484-9d87-4084-9c96-fcc17a8eb4a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0D3C55B-6680-4BDB-ACF3-35D6A9F2E783}">
  <ds:schemaRefs>
    <ds:schemaRef ds:uri="http://schemas.microsoft.com/sharepoint/v3/contenttype/forms"/>
  </ds:schemaRefs>
</ds:datastoreItem>
</file>

<file path=customXml/itemProps2.xml><?xml version="1.0" encoding="utf-8"?>
<ds:datastoreItem xmlns:ds="http://schemas.openxmlformats.org/officeDocument/2006/customXml" ds:itemID="{1D9B2A15-19A5-44BC-B73F-D8659041AC9C}">
  <ds:schemaRefs>
    <ds:schemaRef ds:uri="http://schemas.microsoft.com/office/2006/documentManagement/types"/>
    <ds:schemaRef ds:uri="http://purl.org/dc/terms/"/>
    <ds:schemaRef ds:uri="http://schemas.openxmlformats.org/package/2006/metadata/core-properties"/>
    <ds:schemaRef ds:uri="http://schemas.microsoft.com/office/infopath/2007/PartnerControls"/>
    <ds:schemaRef ds:uri="http://schemas.microsoft.com/office/2006/metadata/properties"/>
    <ds:schemaRef ds:uri="http://www.w3.org/XML/1998/namespace"/>
    <ds:schemaRef ds:uri="3841c484-9d87-4084-9c96-fcc17a8eb4ad"/>
    <ds:schemaRef ds:uri="http://purl.org/dc/dcmitype/"/>
    <ds:schemaRef ds:uri="http://purl.org/dc/elements/1.1/"/>
  </ds:schemaRefs>
</ds:datastoreItem>
</file>

<file path=customXml/itemProps3.xml><?xml version="1.0" encoding="utf-8"?>
<ds:datastoreItem xmlns:ds="http://schemas.openxmlformats.org/officeDocument/2006/customXml" ds:itemID="{889CFC34-9F9A-4C9F-BF1C-AC9AB3221FE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841c484-9d87-4084-9c96-fcc17a8eb4a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Format LRP</vt:lpstr>
      <vt:lpstr>Perhitungan LRP</vt:lpstr>
      <vt:lpstr>Perhitungan LRP Bottom Base 1</vt:lpstr>
      <vt:lpstr>LRP Bottom Base 1</vt:lpstr>
      <vt:lpstr>LRP Bush</vt:lpstr>
      <vt:lpstr>Perhitungan LRP Bush</vt:lpstr>
      <vt:lpstr>LRP Rib</vt:lpstr>
      <vt:lpstr>Perhitungan LRP Rib</vt:lpstr>
      <vt:lpstr>LRP Pivot Holder</vt:lpstr>
      <vt:lpstr>Perhitungan LRP Pivot Holder</vt:lpstr>
      <vt:lpstr>LRP Guide Male</vt:lpstr>
      <vt:lpstr>Perhitungan LRP Guide Male</vt:lpstr>
      <vt:lpstr>LRP Bottom Base 2</vt:lpstr>
      <vt:lpstr>Perhitungan LRP Bottom Base 2</vt:lpstr>
      <vt:lpstr>LRP Guide Female</vt:lpstr>
      <vt:lpstr>Perhitungan LRP Guide Female</vt:lpstr>
      <vt:lpstr>LRP Pan</vt:lpstr>
      <vt:lpstr>Perhitungan LRP Pan</vt:lpstr>
      <vt:lpstr>LRP Pivot</vt:lpstr>
      <vt:lpstr>Perhitungan LRP Pivot</vt:lpstr>
      <vt:lpstr>LRP Tilt</vt:lpstr>
      <vt:lpstr>Perhitungan LRP Tilt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diana</dc:creator>
  <cp:keywords/>
  <dc:description/>
  <cp:lastModifiedBy>Rizky Miftah Alfiah</cp:lastModifiedBy>
  <cp:revision/>
  <dcterms:created xsi:type="dcterms:W3CDTF">2022-08-30T11:40:00Z</dcterms:created>
  <dcterms:modified xsi:type="dcterms:W3CDTF">2026-03-10T16:11:24Z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0x010100C441E69BB075894ABA9B055248BEA1BA</vt:lpwstr>
  </property>
  <property fmtid="{D5CDD505-2E9C-101B-9397-08002B2CF9AE}" pid="3" name="MediaServiceImageTags">
    <vt:lpwstr/>
  </property>
  <property fmtid="{D5CDD505-2E9C-101B-9397-08002B2CF9AE}" pid="4" name="MSIP_Label_38b525e5-f3da-4501-8f1e-526b6769fc56_Enabled">
    <vt:lpwstr>true</vt:lpwstr>
  </property>
  <property fmtid="{D5CDD505-2E9C-101B-9397-08002B2CF9AE}" pid="5" name="MSIP_Label_38b525e5-f3da-4501-8f1e-526b6769fc56_SetDate">
    <vt:lpwstr>2023-08-21T05:30:34Z</vt:lpwstr>
  </property>
  <property fmtid="{D5CDD505-2E9C-101B-9397-08002B2CF9AE}" pid="6" name="MSIP_Label_38b525e5-f3da-4501-8f1e-526b6769fc56_Method">
    <vt:lpwstr>Standard</vt:lpwstr>
  </property>
  <property fmtid="{D5CDD505-2E9C-101B-9397-08002B2CF9AE}" pid="7" name="MSIP_Label_38b525e5-f3da-4501-8f1e-526b6769fc56_Name">
    <vt:lpwstr>defa4170-0d19-0005-0004-bc88714345d2</vt:lpwstr>
  </property>
  <property fmtid="{D5CDD505-2E9C-101B-9397-08002B2CF9AE}" pid="8" name="MSIP_Label_38b525e5-f3da-4501-8f1e-526b6769fc56_SiteId">
    <vt:lpwstr>db6e1183-4c65-405c-82ce-7cd53fa6e9dc</vt:lpwstr>
  </property>
  <property fmtid="{D5CDD505-2E9C-101B-9397-08002B2CF9AE}" pid="9" name="MSIP_Label_38b525e5-f3da-4501-8f1e-526b6769fc56_ActionId">
    <vt:lpwstr>37f27987-d5c3-41aa-9c37-71851a326cfe</vt:lpwstr>
  </property>
  <property fmtid="{D5CDD505-2E9C-101B-9397-08002B2CF9AE}" pid="10" name="MSIP_Label_38b525e5-f3da-4501-8f1e-526b6769fc56_ContentBits">
    <vt:lpwstr>0</vt:lpwstr>
  </property>
</Properties>
</file>