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ATKK\home\k\kinnula\Documents\Ravinnekuitukoe 2017\"/>
    </mc:Choice>
  </mc:AlternateContent>
  <bookViews>
    <workbookView xWindow="0" yWindow="0" windowWidth="25200" windowHeight="146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3" i="1" l="1"/>
  <c r="Z11" i="1"/>
  <c r="Z12" i="1"/>
  <c r="Z10" i="1"/>
  <c r="Y10" i="1"/>
  <c r="Y11" i="1"/>
  <c r="Y12" i="1"/>
  <c r="Y13" i="1"/>
  <c r="X13" i="1"/>
  <c r="X12" i="1"/>
  <c r="X11" i="1"/>
  <c r="X10" i="1"/>
  <c r="W10" i="1"/>
  <c r="T11" i="1" l="1"/>
  <c r="T12" i="1"/>
  <c r="T13" i="1"/>
  <c r="U11" i="1"/>
  <c r="U10" i="1"/>
  <c r="R10" i="1"/>
  <c r="Q10" i="1"/>
  <c r="N10" i="1"/>
  <c r="P10" i="1"/>
  <c r="V10" i="1" l="1"/>
  <c r="T10" i="1"/>
  <c r="M29" i="1" l="1"/>
  <c r="M30" i="1" s="1"/>
  <c r="C10" i="1"/>
  <c r="C12" i="1"/>
  <c r="D12" i="1" s="1"/>
  <c r="C11" i="1"/>
  <c r="D11" i="1" s="1"/>
  <c r="D10" i="1"/>
  <c r="H10" i="1" s="1"/>
  <c r="L18" i="1"/>
  <c r="N18" i="1"/>
  <c r="L19" i="1"/>
  <c r="N19" i="1" s="1"/>
  <c r="L20" i="1"/>
  <c r="N20" i="1" s="1"/>
  <c r="L17" i="1"/>
  <c r="N17" i="1" s="1"/>
  <c r="F20" i="1"/>
  <c r="C20" i="1"/>
  <c r="D20" i="1"/>
  <c r="H20" i="1" s="1"/>
  <c r="F19" i="1"/>
  <c r="C19" i="1"/>
  <c r="D19" i="1" s="1"/>
  <c r="H19" i="1" s="1"/>
  <c r="F18" i="1"/>
  <c r="C18" i="1"/>
  <c r="D18" i="1" s="1"/>
  <c r="H18" i="1" s="1"/>
  <c r="F17" i="1"/>
  <c r="C17" i="1"/>
  <c r="D17" i="1" s="1"/>
  <c r="H17" i="1" s="1"/>
  <c r="D99" i="1"/>
  <c r="D102" i="1" s="1"/>
  <c r="E99" i="1"/>
  <c r="E102" i="1" s="1"/>
  <c r="F99" i="1"/>
  <c r="F102" i="1"/>
  <c r="C99" i="1"/>
  <c r="C102" i="1"/>
  <c r="U12" i="1"/>
  <c r="U13" i="1"/>
  <c r="O10" i="1"/>
  <c r="L11" i="1"/>
  <c r="L12" i="1"/>
  <c r="L13" i="1"/>
  <c r="L10" i="1"/>
  <c r="N13" i="1"/>
  <c r="P13" i="1" s="1"/>
  <c r="N11" i="1"/>
  <c r="P11" i="1" s="1"/>
  <c r="O11" i="1"/>
  <c r="N12" i="1"/>
  <c r="P12" i="1" s="1"/>
  <c r="O12" i="1"/>
  <c r="L30" i="1"/>
  <c r="K5" i="1"/>
  <c r="I6" i="1" s="1"/>
  <c r="K38" i="1"/>
  <c r="K46" i="1"/>
  <c r="L46" i="1"/>
  <c r="M46" i="1" s="1"/>
  <c r="N46" i="1" s="1"/>
  <c r="K49" i="1"/>
  <c r="L49" i="1"/>
  <c r="M49" i="1" s="1"/>
  <c r="N49" i="1" s="1"/>
  <c r="K47" i="1"/>
  <c r="L47" i="1" s="1"/>
  <c r="M47" i="1" s="1"/>
  <c r="N47" i="1" s="1"/>
  <c r="K48" i="1"/>
  <c r="L48" i="1" s="1"/>
  <c r="M48" i="1" s="1"/>
  <c r="N48" i="1" s="1"/>
  <c r="C10" i="2"/>
  <c r="I38" i="1"/>
  <c r="D3" i="2"/>
  <c r="E3" i="2" s="1"/>
  <c r="E2" i="2"/>
  <c r="J47" i="1"/>
  <c r="J48" i="1"/>
  <c r="J49" i="1"/>
  <c r="J46" i="1"/>
  <c r="K41" i="1"/>
  <c r="I41" i="1"/>
  <c r="K40" i="1"/>
  <c r="L40" i="1" s="1"/>
  <c r="I40" i="1"/>
  <c r="I39" i="1"/>
  <c r="K39" i="1"/>
  <c r="L39" i="1" s="1"/>
  <c r="C13" i="1"/>
  <c r="D13" i="1" s="1"/>
  <c r="F10" i="1"/>
  <c r="F11" i="1"/>
  <c r="F12" i="1"/>
  <c r="F13" i="1"/>
  <c r="V12" i="1"/>
  <c r="O13" i="1"/>
  <c r="L41" i="1"/>
  <c r="H12" i="1" l="1"/>
  <c r="W12" i="1"/>
  <c r="H11" i="1"/>
  <c r="J11" i="1" s="1"/>
  <c r="W11" i="1"/>
  <c r="H13" i="1"/>
  <c r="W13" i="1"/>
  <c r="J18" i="1"/>
  <c r="I18" i="1"/>
  <c r="I19" i="1"/>
  <c r="J19" i="1"/>
  <c r="L38" i="1"/>
  <c r="L26" i="1"/>
  <c r="J13" i="1"/>
  <c r="I13" i="1"/>
  <c r="I10" i="1"/>
  <c r="J10" i="1"/>
  <c r="R12" i="1"/>
  <c r="Q12" i="1"/>
  <c r="I20" i="1"/>
  <c r="J20" i="1"/>
  <c r="J17" i="1"/>
  <c r="I17" i="1"/>
  <c r="I12" i="1"/>
  <c r="J12" i="1"/>
  <c r="Q11" i="1"/>
  <c r="R11" i="1"/>
  <c r="R13" i="1"/>
  <c r="Q13" i="1"/>
  <c r="V11" i="1"/>
  <c r="V13" i="1"/>
  <c r="I11" i="1" l="1"/>
</calcChain>
</file>

<file path=xl/sharedStrings.xml><?xml version="1.0" encoding="utf-8"?>
<sst xmlns="http://schemas.openxmlformats.org/spreadsheetml/2006/main" count="236" uniqueCount="111">
  <si>
    <t xml:space="preserve">Analyysi </t>
  </si>
  <si>
    <t xml:space="preserve">Menetelmä </t>
  </si>
  <si>
    <t xml:space="preserve">19217-1 Liete Kaukaan kompostoitu sekaliete </t>
  </si>
  <si>
    <t xml:space="preserve">19217-2 Liete Kaukaan kalkkistabiloitu sekaliete </t>
  </si>
  <si>
    <t>19217-3 Liete Kaukopään kompostoitu sekaliete</t>
  </si>
  <si>
    <t xml:space="preserve"> 19217-4 Liete Kaukopään kalkkistabiloitu sekaliete</t>
  </si>
  <si>
    <t xml:space="preserve"> Yksikkö </t>
  </si>
  <si>
    <t>Epävarmuus-%</t>
  </si>
  <si>
    <t>Typpi, N, vesiliukoinen</t>
  </si>
  <si>
    <t>SFS-EN 13652</t>
  </si>
  <si>
    <t>mg/l</t>
  </si>
  <si>
    <t>mg/kg ka</t>
  </si>
  <si>
    <t>typpeä, kg/ha</t>
  </si>
  <si>
    <t>Koejäsen</t>
  </si>
  <si>
    <t>kk S1, p S1, ak S1</t>
  </si>
  <si>
    <t>kk S2, p S2, ak S2</t>
  </si>
  <si>
    <t>kk S3, p S3, ak S3</t>
  </si>
  <si>
    <t>kk S4, p S4, ak S4</t>
  </si>
  <si>
    <t>Typpi, N, vesiliukoinen, mg/kg ka</t>
  </si>
  <si>
    <t>sekalietettä, kg/koeruutu</t>
  </si>
  <si>
    <t>N, t/ha</t>
  </si>
  <si>
    <t>Kokonaistyppi * 2)</t>
  </si>
  <si>
    <t>Kjeldahl</t>
  </si>
  <si>
    <t>Tilavuuspaino</t>
  </si>
  <si>
    <t>SFS-EN 13040</t>
  </si>
  <si>
    <t>g/l</t>
  </si>
  <si>
    <t>Kosteus</t>
  </si>
  <si>
    <t>%</t>
  </si>
  <si>
    <t>Kuiva-aine *</t>
  </si>
  <si>
    <t>sekalietteen levitysmäärä, kg/ha</t>
  </si>
  <si>
    <t>Kuiva-aine, %</t>
  </si>
  <si>
    <t>kuiva-aineessa, g/kg ha</t>
  </si>
  <si>
    <t>tuorepainossa, kg/tonni</t>
  </si>
  <si>
    <t>kosteus %</t>
  </si>
  <si>
    <t>kuiva-aine, %</t>
  </si>
  <si>
    <t>vesiliukonen typpi tuorepainossa, kg/t</t>
  </si>
  <si>
    <t>sekalietettä levitetty, t/ha</t>
  </si>
  <si>
    <t>Sekalietettä levitetty, kg/ha</t>
  </si>
  <si>
    <t>Typpi, N, vesiliukoinen, g/kg ka</t>
  </si>
  <si>
    <t>http://www.kouvolanvesi.fi/wp-content/uploads/2016/09/Biolannos_tuoteseloste_ER%C3%84_03_2016.pdf</t>
  </si>
  <si>
    <t>Haluttu levitysmäärä liukoista typpeä, kg N/ha</t>
  </si>
  <si>
    <t xml:space="preserve"> liukoista N %</t>
  </si>
  <si>
    <t>Kokonaistyppi, mg/kg ka</t>
  </si>
  <si>
    <t>Levitetty kokonaistyppi, kg/ha</t>
  </si>
  <si>
    <t>Analyysitulokset 2017</t>
  </si>
  <si>
    <t>Kaukaan komposti</t>
  </si>
  <si>
    <t>Kuiva-aine %</t>
  </si>
  <si>
    <t>Kokonaistyppi (N)</t>
  </si>
  <si>
    <t>Liukoinen typpi (N)</t>
  </si>
  <si>
    <t>Fosfori (P)</t>
  </si>
  <si>
    <t>Kalium (K)</t>
  </si>
  <si>
    <t>Magnesium (Mg)</t>
  </si>
  <si>
    <t>Kalsium (Ca)</t>
  </si>
  <si>
    <t>Natrium (Na)</t>
  </si>
  <si>
    <t>kg / t tuoretta lantaa</t>
  </si>
  <si>
    <t>kg / m3 tuoretta lantaa</t>
  </si>
  <si>
    <t>Kupari (Cu)</t>
  </si>
  <si>
    <t>Mangaani (Mn)</t>
  </si>
  <si>
    <t>Sinkki (Zn)</t>
  </si>
  <si>
    <t>Boori (B)</t>
  </si>
  <si>
    <t>g / t tuoretta lantaa</t>
  </si>
  <si>
    <t>g / m3 tuoretta lantaa</t>
  </si>
  <si>
    <t>Kaukopää kalkkistabiloitu</t>
  </si>
  <si>
    <t>Kaukopää komposti</t>
  </si>
  <si>
    <t>Kaukaan kalkkistabiloitu</t>
  </si>
  <si>
    <t>Jälkeenpäin otetun analyysin mukaan:</t>
  </si>
  <si>
    <t>Juuson analyysi:</t>
  </si>
  <si>
    <t>Typpi, N, vesiliukoinen, kg/t ka</t>
  </si>
  <si>
    <t>Typpi, N, vesiliukoinen, kg/t tuoretta lantaa</t>
  </si>
  <si>
    <t>myöhemmin 2017 tehty analyysi:</t>
  </si>
  <si>
    <t>Juuson</t>
  </si>
  <si>
    <t>uusi</t>
  </si>
  <si>
    <t xml:space="preserve">Kaukopään kompostoitu </t>
  </si>
  <si>
    <t xml:space="preserve">Kaukopään kalkkistabiloitu </t>
  </si>
  <si>
    <t xml:space="preserve">Kaukaan kalkkistabiloitu </t>
  </si>
  <si>
    <t xml:space="preserve">Kaukaan kompostoitu </t>
  </si>
  <si>
    <t>Kosteus %</t>
  </si>
  <si>
    <t xml:space="preserve">Analyysi kertoo muiden ravintoaineiden määrät kuiva-ainekilossa. Niiden määrät rehukilossa saa selville kertomalla analyysin ilmoittaman luvun kuiva-aineprosentilla. </t>
  </si>
  <si>
    <t>Jos kuiva-ainekilo sisältää esimerkiksi 5,2 grammaa kalsiumia ja rehun kuiva-ainepitoisuus on 60 %, rehukilon kalsiummäärä selviää kaavalla 5,2 x 60 / 100 = 3,12.</t>
  </si>
  <si>
    <t>vesiliukonen typpi tuorepainossa, mg/kg</t>
  </si>
  <si>
    <t>kuiva-aine</t>
  </si>
  <si>
    <t>N, g/kg kuiva-aineessa</t>
  </si>
  <si>
    <t>N, kg/t, tuorepainossa</t>
  </si>
  <si>
    <t>vesiliukoinen typpi tuorepainossa, kg/t</t>
  </si>
  <si>
    <t>kuitulietteen levitysmäärä 30 N, kg/ha</t>
  </si>
  <si>
    <t>halutaan typpeä, kg/ha</t>
  </si>
  <si>
    <t>lannoitteessa typpeä, %</t>
  </si>
  <si>
    <t>levitetään lannoitetta, kg/ha</t>
  </si>
  <si>
    <t>vesiliukonen typpi tuorepainossa, g/kg</t>
  </si>
  <si>
    <t xml:space="preserve">kokonaistyppi, tuorepainossa, mg/kg </t>
  </si>
  <si>
    <t xml:space="preserve">kokonaistyppi, tuorepainossa, g/kg </t>
  </si>
  <si>
    <t>Kokonaisorgaanisen hiilen (TOC) määrä</t>
  </si>
  <si>
    <t xml:space="preserve">Kokonaistyppi </t>
  </si>
  <si>
    <t>g/kg ka</t>
  </si>
  <si>
    <t>C/N-suhde</t>
  </si>
  <si>
    <t>vesiliukoinen N, mg/kg KA</t>
  </si>
  <si>
    <t>vesiliukoinen N, g/kg KA</t>
  </si>
  <si>
    <t>Typpi, N, vesiliukoinen, mg/kg KA</t>
  </si>
  <si>
    <t>Typpi, N, vesiliukoinen, g/kg KA</t>
  </si>
  <si>
    <t>vesiliukoinen typpi tuorepainossa, kg/t (g/kg)</t>
  </si>
  <si>
    <t>Toteutunut:</t>
  </si>
  <si>
    <t>vesiliukoinen N  tuorepainossa, g/kg (kg/t)</t>
  </si>
  <si>
    <t>Lannoituslaskelmat ennen levitystä (näihin perustuvat lasketut levitysmäärät):</t>
  </si>
  <si>
    <t>Kokonaistyppi N, kg/t tuoretta lantaa</t>
  </si>
  <si>
    <t>Vesiliukoinen N kg / ha</t>
  </si>
  <si>
    <t>Sekalietteissä levitetyt typpimäärät:</t>
  </si>
  <si>
    <t>SFS-EN 13137:2001</t>
  </si>
  <si>
    <t>TOC/N-suhde, kokonaistyppi</t>
  </si>
  <si>
    <t>Levitetty kokonaisorgaanisen hiilen määrä, kg/ha</t>
  </si>
  <si>
    <t>Lisätty kuiva-aine, kg/ha</t>
  </si>
  <si>
    <t>TOC/N-suhde, liukoinen typpi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</si>
</sst>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3" fontId="1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0" fillId="2" borderId="0" xfId="0" applyFill="1" applyAlignment="1">
      <alignment wrapText="1"/>
    </xf>
    <xf numFmtId="0" fontId="0" fillId="0" borderId="1" xfId="0" applyFill="1" applyBorder="1"/>
    <xf numFmtId="164" fontId="1" fillId="2" borderId="1" xfId="0" applyNumberFormat="1" applyFont="1" applyFill="1" applyBorder="1"/>
    <xf numFmtId="2" fontId="0" fillId="0" borderId="0" xfId="0" applyNumberFormat="1"/>
    <xf numFmtId="0" fontId="1" fillId="0" borderId="0" xfId="0" applyFont="1" applyFill="1" applyBorder="1" applyAlignment="1">
      <alignment wrapText="1"/>
    </xf>
    <xf numFmtId="2" fontId="1" fillId="0" borderId="1" xfId="0" applyNumberFormat="1" applyFont="1" applyFill="1" applyBorder="1"/>
    <xf numFmtId="0" fontId="5" fillId="2" borderId="0" xfId="0" applyFont="1" applyFill="1" applyAlignment="1">
      <alignment wrapText="1"/>
    </xf>
    <xf numFmtId="1" fontId="0" fillId="0" borderId="0" xfId="0" applyNumberFormat="1"/>
    <xf numFmtId="0" fontId="1" fillId="0" borderId="0" xfId="0" applyFont="1" applyAlignment="1"/>
    <xf numFmtId="2" fontId="0" fillId="0" borderId="1" xfId="0" applyNumberFormat="1" applyBorder="1"/>
    <xf numFmtId="0" fontId="0" fillId="3" borderId="0" xfId="0" applyFill="1"/>
    <xf numFmtId="0" fontId="6" fillId="0" borderId="1" xfId="0" applyFont="1" applyFill="1" applyBorder="1" applyAlignment="1">
      <alignment wrapText="1"/>
    </xf>
    <xf numFmtId="0" fontId="0" fillId="2" borderId="0" xfId="0" applyFill="1"/>
    <xf numFmtId="0" fontId="1" fillId="2" borderId="0" xfId="0" applyFont="1" applyFill="1" applyBorder="1" applyAlignment="1">
      <alignment wrapText="1"/>
    </xf>
    <xf numFmtId="2" fontId="1" fillId="2" borderId="1" xfId="0" applyNumberFormat="1" applyFont="1" applyFill="1" applyBorder="1"/>
    <xf numFmtId="0" fontId="0" fillId="2" borderId="1" xfId="0" applyFill="1" applyBorder="1"/>
    <xf numFmtId="0" fontId="7" fillId="0" borderId="0" xfId="1"/>
    <xf numFmtId="165" fontId="0" fillId="3" borderId="0" xfId="0" applyNumberFormat="1" applyFill="1"/>
    <xf numFmtId="166" fontId="0" fillId="0" borderId="0" xfId="0" applyNumberFormat="1" applyFill="1"/>
    <xf numFmtId="164" fontId="1" fillId="4" borderId="1" xfId="0" applyNumberFormat="1" applyFont="1" applyFill="1" applyBorder="1"/>
    <xf numFmtId="2" fontId="5" fillId="0" borderId="0" xfId="0" applyNumberFormat="1" applyFont="1"/>
    <xf numFmtId="0" fontId="1" fillId="5" borderId="0" xfId="0" applyFont="1" applyFill="1" applyBorder="1" applyAlignment="1">
      <alignment wrapText="1"/>
    </xf>
    <xf numFmtId="2" fontId="0" fillId="5" borderId="0" xfId="0" applyNumberFormat="1" applyFill="1"/>
    <xf numFmtId="0" fontId="0" fillId="5" borderId="0" xfId="0" applyFill="1" applyAlignment="1">
      <alignment wrapText="1"/>
    </xf>
    <xf numFmtId="0" fontId="5" fillId="0" borderId="1" xfId="0" applyFont="1" applyBorder="1" applyAlignment="1">
      <alignment wrapText="1"/>
    </xf>
    <xf numFmtId="3" fontId="5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3" fontId="1" fillId="0" borderId="0" xfId="0" applyNumberFormat="1" applyFont="1" applyFill="1" applyBorder="1"/>
    <xf numFmtId="0" fontId="0" fillId="0" borderId="0" xfId="0" applyFill="1"/>
    <xf numFmtId="0" fontId="5" fillId="0" borderId="0" xfId="0" applyFont="1" applyFill="1" applyBorder="1"/>
    <xf numFmtId="2" fontId="0" fillId="0" borderId="0" xfId="0" applyNumberFormat="1" applyFill="1"/>
    <xf numFmtId="165" fontId="0" fillId="0" borderId="0" xfId="0" applyNumberFormat="1" applyFill="1"/>
    <xf numFmtId="166" fontId="5" fillId="0" borderId="0" xfId="0" applyNumberFormat="1" applyFont="1" applyFill="1"/>
    <xf numFmtId="3" fontId="1" fillId="0" borderId="0" xfId="0" applyNumberFormat="1" applyFont="1" applyFill="1" applyBorder="1" applyAlignment="1">
      <alignment wrapText="1"/>
    </xf>
    <xf numFmtId="3" fontId="5" fillId="0" borderId="0" xfId="0" applyNumberFormat="1" applyFont="1" applyFill="1" applyBorder="1"/>
    <xf numFmtId="3" fontId="1" fillId="7" borderId="0" xfId="0" applyNumberFormat="1" applyFont="1" applyFill="1" applyBorder="1" applyAlignment="1">
      <alignment wrapText="1"/>
    </xf>
    <xf numFmtId="0" fontId="0" fillId="7" borderId="0" xfId="0" applyFill="1"/>
    <xf numFmtId="0" fontId="1" fillId="7" borderId="0" xfId="0" applyFont="1" applyFill="1" applyBorder="1" applyAlignment="1">
      <alignment wrapText="1"/>
    </xf>
    <xf numFmtId="2" fontId="0" fillId="7" borderId="0" xfId="0" applyNumberFormat="1" applyFill="1"/>
    <xf numFmtId="0" fontId="5" fillId="3" borderId="0" xfId="0" applyFont="1" applyFill="1"/>
    <xf numFmtId="3" fontId="5" fillId="3" borderId="0" xfId="0" applyNumberFormat="1" applyFont="1" applyFill="1" applyBorder="1"/>
    <xf numFmtId="0" fontId="5" fillId="3" borderId="0" xfId="0" applyFont="1" applyFill="1" applyBorder="1"/>
    <xf numFmtId="3" fontId="5" fillId="6" borderId="0" xfId="0" applyNumberFormat="1" applyFont="1" applyFill="1" applyBorder="1" applyAlignment="1">
      <alignment wrapText="1"/>
    </xf>
    <xf numFmtId="2" fontId="1" fillId="3" borderId="0" xfId="0" applyNumberFormat="1" applyFont="1" applyFill="1" applyBorder="1"/>
    <xf numFmtId="2" fontId="0" fillId="3" borderId="0" xfId="0" applyNumberFormat="1" applyFill="1"/>
    <xf numFmtId="0" fontId="5" fillId="6" borderId="0" xfId="0" applyFont="1" applyFill="1" applyBorder="1" applyAlignment="1">
      <alignment wrapText="1"/>
    </xf>
    <xf numFmtId="2" fontId="5" fillId="6" borderId="0" xfId="0" applyNumberFormat="1" applyFont="1" applyFill="1"/>
    <xf numFmtId="2" fontId="5" fillId="6" borderId="1" xfId="0" applyNumberFormat="1" applyFont="1" applyFill="1" applyBorder="1"/>
    <xf numFmtId="2" fontId="5" fillId="6" borderId="0" xfId="0" applyNumberFormat="1" applyFont="1" applyFill="1" applyBorder="1"/>
    <xf numFmtId="164" fontId="5" fillId="2" borderId="0" xfId="0" applyNumberFormat="1" applyFont="1" applyFill="1"/>
    <xf numFmtId="0" fontId="1" fillId="5" borderId="1" xfId="0" applyFont="1" applyFill="1" applyBorder="1" applyAlignment="1">
      <alignment wrapText="1"/>
    </xf>
    <xf numFmtId="0" fontId="0" fillId="5" borderId="1" xfId="0" applyFill="1" applyBorder="1"/>
    <xf numFmtId="0" fontId="1" fillId="0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/>
    <xf numFmtId="3" fontId="1" fillId="5" borderId="1" xfId="0" applyNumberFormat="1" applyFont="1" applyFill="1" applyBorder="1"/>
    <xf numFmtId="0" fontId="0" fillId="5" borderId="1" xfId="0" applyFill="1" applyBorder="1" applyAlignment="1">
      <alignment wrapText="1"/>
    </xf>
    <xf numFmtId="165" fontId="0" fillId="0" borderId="1" xfId="0" applyNumberFormat="1" applyBorder="1"/>
    <xf numFmtId="165" fontId="0" fillId="2" borderId="1" xfId="0" applyNumberFormat="1" applyFill="1" applyBorder="1"/>
    <xf numFmtId="165" fontId="0" fillId="5" borderId="0" xfId="0" applyNumberFormat="1" applyFill="1"/>
    <xf numFmtId="0" fontId="1" fillId="5" borderId="0" xfId="0" applyFont="1" applyFill="1" applyBorder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ouvolanvesi.fi/wp-content/uploads/2016/09/Biolannos_tuoteseloste_ER%C3%84_03_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E1" zoomScale="80" zoomScaleNormal="80" zoomScalePageLayoutView="80" workbookViewId="0">
      <selection activeCell="T23" sqref="T23"/>
    </sheetView>
  </sheetViews>
  <sheetFormatPr defaultColWidth="8.85546875" defaultRowHeight="15" x14ac:dyDescent="0.25"/>
  <cols>
    <col min="1" max="1" width="15.140625" customWidth="1"/>
    <col min="2" max="2" width="21.42578125" customWidth="1"/>
    <col min="3" max="3" width="15.85546875" customWidth="1"/>
    <col min="4" max="4" width="21.140625" customWidth="1"/>
    <col min="5" max="6" width="14.7109375" customWidth="1"/>
    <col min="7" max="7" width="19.42578125" customWidth="1"/>
    <col min="8" max="9" width="15.85546875" customWidth="1"/>
    <col min="10" max="10" width="14.140625" customWidth="1"/>
    <col min="11" max="11" width="18.7109375" customWidth="1"/>
    <col min="12" max="12" width="14.85546875" customWidth="1"/>
    <col min="13" max="13" width="14.28515625" customWidth="1"/>
    <col min="14" max="14" width="15.7109375" customWidth="1"/>
    <col min="15" max="15" width="14.7109375" customWidth="1"/>
    <col min="16" max="16" width="16.7109375" customWidth="1"/>
    <col min="17" max="17" width="13.7109375" customWidth="1"/>
    <col min="18" max="18" width="11.140625" customWidth="1"/>
    <col min="20" max="20" width="16" customWidth="1"/>
    <col min="21" max="21" width="15.85546875" customWidth="1"/>
    <col min="22" max="22" width="13" customWidth="1"/>
    <col min="23" max="23" width="12.42578125" customWidth="1"/>
    <col min="24" max="24" width="16.140625" customWidth="1"/>
    <col min="25" max="25" width="15" customWidth="1"/>
    <col min="26" max="26" width="16" customWidth="1"/>
  </cols>
  <sheetData>
    <row r="1" spans="1:26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</row>
    <row r="2" spans="1:26" ht="30" x14ac:dyDescent="0.25">
      <c r="A2" s="3" t="s">
        <v>8</v>
      </c>
      <c r="B2" s="4" t="s">
        <v>9</v>
      </c>
      <c r="C2" s="4">
        <v>260</v>
      </c>
      <c r="D2" s="4">
        <v>220</v>
      </c>
      <c r="E2" s="4">
        <v>110</v>
      </c>
      <c r="F2" s="4">
        <v>110</v>
      </c>
      <c r="G2" s="4" t="s">
        <v>10</v>
      </c>
      <c r="H2" s="4">
        <v>20</v>
      </c>
    </row>
    <row r="3" spans="1:26" ht="30" x14ac:dyDescent="0.25">
      <c r="A3" s="3" t="s">
        <v>8</v>
      </c>
      <c r="B3" s="4" t="s">
        <v>9</v>
      </c>
      <c r="C3" s="5">
        <v>1600</v>
      </c>
      <c r="D3" s="5">
        <v>1100</v>
      </c>
      <c r="E3" s="4">
        <v>690</v>
      </c>
      <c r="F3" s="4">
        <v>630</v>
      </c>
      <c r="G3" s="4" t="s">
        <v>11</v>
      </c>
      <c r="H3" s="4">
        <v>20</v>
      </c>
    </row>
    <row r="4" spans="1:26" ht="30" x14ac:dyDescent="0.25">
      <c r="I4" s="9" t="s">
        <v>81</v>
      </c>
      <c r="J4" s="9" t="s">
        <v>33</v>
      </c>
      <c r="K4" s="9" t="s">
        <v>80</v>
      </c>
      <c r="L4" s="9" t="s">
        <v>82</v>
      </c>
    </row>
    <row r="5" spans="1:26" x14ac:dyDescent="0.25">
      <c r="I5">
        <v>63.4</v>
      </c>
      <c r="J5">
        <v>94.7</v>
      </c>
      <c r="K5">
        <f>100-J5</f>
        <v>5.2999999999999972</v>
      </c>
      <c r="L5">
        <v>3.34</v>
      </c>
    </row>
    <row r="6" spans="1:26" x14ac:dyDescent="0.25">
      <c r="A6" t="s">
        <v>12</v>
      </c>
      <c r="I6">
        <f>I5*K5/100</f>
        <v>3.3601999999999981</v>
      </c>
    </row>
    <row r="7" spans="1:26" x14ac:dyDescent="0.25">
      <c r="A7">
        <v>30</v>
      </c>
    </row>
    <row r="8" spans="1:26" x14ac:dyDescent="0.25">
      <c r="H8" s="62" t="s">
        <v>100</v>
      </c>
      <c r="K8" s="26" t="s">
        <v>65</v>
      </c>
      <c r="L8" s="26"/>
      <c r="M8" s="26"/>
    </row>
    <row r="9" spans="1:26" ht="60" x14ac:dyDescent="0.25">
      <c r="A9" s="6" t="s">
        <v>13</v>
      </c>
      <c r="C9" s="9" t="s">
        <v>36</v>
      </c>
      <c r="D9" s="9" t="s">
        <v>37</v>
      </c>
      <c r="E9" s="9" t="s">
        <v>19</v>
      </c>
      <c r="F9" t="s">
        <v>20</v>
      </c>
      <c r="G9" s="9" t="s">
        <v>40</v>
      </c>
      <c r="H9" s="68" t="s">
        <v>99</v>
      </c>
      <c r="I9" s="11" t="s">
        <v>84</v>
      </c>
      <c r="J9" s="9" t="s">
        <v>29</v>
      </c>
      <c r="K9" s="14" t="s">
        <v>97</v>
      </c>
      <c r="L9" s="60" t="s">
        <v>98</v>
      </c>
      <c r="M9" s="13" t="s">
        <v>30</v>
      </c>
      <c r="N9" s="20" t="s">
        <v>79</v>
      </c>
      <c r="O9" s="37" t="s">
        <v>88</v>
      </c>
      <c r="P9" s="68" t="s">
        <v>83</v>
      </c>
      <c r="Q9" s="9" t="s">
        <v>104</v>
      </c>
      <c r="R9" s="22" t="s">
        <v>41</v>
      </c>
      <c r="S9" s="9" t="s">
        <v>42</v>
      </c>
      <c r="T9" s="9" t="s">
        <v>89</v>
      </c>
      <c r="U9" s="39" t="s">
        <v>90</v>
      </c>
      <c r="V9" s="9" t="s">
        <v>43</v>
      </c>
      <c r="W9" s="9" t="s">
        <v>109</v>
      </c>
      <c r="X9" s="9" t="s">
        <v>108</v>
      </c>
      <c r="Y9" s="9" t="s">
        <v>107</v>
      </c>
      <c r="Z9" s="9" t="s">
        <v>110</v>
      </c>
    </row>
    <row r="10" spans="1:26" x14ac:dyDescent="0.25">
      <c r="A10" s="7" t="s">
        <v>14</v>
      </c>
      <c r="B10" s="8" t="s">
        <v>72</v>
      </c>
      <c r="C10" s="10">
        <f>51.37</f>
        <v>51.37</v>
      </c>
      <c r="D10" s="10">
        <f>C10*1000</f>
        <v>51370</v>
      </c>
      <c r="E10" s="10">
        <v>113</v>
      </c>
      <c r="F10" s="10">
        <f>30/1000</f>
        <v>0.03</v>
      </c>
      <c r="G10" s="10">
        <v>30</v>
      </c>
      <c r="H10" s="70">
        <f>G10/D10*1000</f>
        <v>0.58399844267081957</v>
      </c>
      <c r="I10" s="17">
        <f>100/H10*G10</f>
        <v>5137</v>
      </c>
      <c r="J10" s="10">
        <f>100*30/H10</f>
        <v>5137</v>
      </c>
      <c r="K10" s="4">
        <v>690</v>
      </c>
      <c r="L10" s="59">
        <f>K10/1000</f>
        <v>0.69</v>
      </c>
      <c r="M10" s="12">
        <v>48.4</v>
      </c>
      <c r="N10" s="21">
        <f>K10*M10/100</f>
        <v>333.96</v>
      </c>
      <c r="O10" s="38">
        <f>N10/1000</f>
        <v>0.33395999999999998</v>
      </c>
      <c r="P10" s="69">
        <f>N10/1000</f>
        <v>0.33395999999999998</v>
      </c>
      <c r="Q10" s="33">
        <f>P10*C10</f>
        <v>17.1555252</v>
      </c>
      <c r="R10" s="72">
        <f>P10/10</f>
        <v>3.3395999999999995E-2</v>
      </c>
      <c r="S10">
        <v>12000</v>
      </c>
      <c r="T10">
        <f>S10*M10/100</f>
        <v>5808</v>
      </c>
      <c r="U10" s="83">
        <f>T10/1000</f>
        <v>5.8079999999999998</v>
      </c>
      <c r="V10" s="19">
        <f>T10*C10/1000</f>
        <v>298.35695999999996</v>
      </c>
      <c r="W10" s="23">
        <f>D10*M10/100</f>
        <v>24863.08</v>
      </c>
      <c r="X10" s="23">
        <f>W10*E33/100</f>
        <v>19641.833200000001</v>
      </c>
      <c r="Y10" s="23">
        <f>X10/V10</f>
        <v>65.833333333333343</v>
      </c>
      <c r="Z10" s="23">
        <f>X10/Q10</f>
        <v>1144.9275362318842</v>
      </c>
    </row>
    <row r="11" spans="1:26" ht="26.25" x14ac:dyDescent="0.25">
      <c r="A11" s="7" t="s">
        <v>15</v>
      </c>
      <c r="B11" s="8" t="s">
        <v>73</v>
      </c>
      <c r="C11" s="10">
        <f>52.09</f>
        <v>52.09</v>
      </c>
      <c r="D11" s="10">
        <f t="shared" ref="D11:D13" si="0">C11*1000</f>
        <v>52090</v>
      </c>
      <c r="E11" s="10">
        <v>114.6</v>
      </c>
      <c r="F11" s="10">
        <f t="shared" ref="F11:F13" si="1">30/1000</f>
        <v>0.03</v>
      </c>
      <c r="G11" s="10">
        <v>30</v>
      </c>
      <c r="H11" s="70">
        <f>G11/D11*1000</f>
        <v>0.57592628143597624</v>
      </c>
      <c r="I11" s="17">
        <f>100/H11*G11</f>
        <v>5209</v>
      </c>
      <c r="J11" s="10">
        <f>100*30/H11</f>
        <v>5209</v>
      </c>
      <c r="K11" s="4">
        <v>630</v>
      </c>
      <c r="L11" s="59">
        <f>K11/1000</f>
        <v>0.63</v>
      </c>
      <c r="M11" s="12">
        <v>46.7</v>
      </c>
      <c r="N11" s="21">
        <f>K11*M11/100</f>
        <v>294.20999999999998</v>
      </c>
      <c r="O11" s="38">
        <f>N11/1000</f>
        <v>0.29420999999999997</v>
      </c>
      <c r="P11" s="69">
        <f>N11/1000</f>
        <v>0.29420999999999997</v>
      </c>
      <c r="Q11" s="33">
        <f>P11*C11</f>
        <v>15.3253989</v>
      </c>
      <c r="R11" s="72">
        <f>P11/10</f>
        <v>2.9420999999999996E-2</v>
      </c>
      <c r="S11">
        <v>9500</v>
      </c>
      <c r="T11" s="23">
        <f>S11*M11/100</f>
        <v>4436.5</v>
      </c>
      <c r="U11" s="83">
        <f>T11/1000</f>
        <v>4.4364999999999997</v>
      </c>
      <c r="V11" s="19">
        <f>T11*C11/1000</f>
        <v>231.097285</v>
      </c>
      <c r="W11" s="23">
        <f t="shared" ref="W11:W13" si="2">D11*M11/100</f>
        <v>24326.03</v>
      </c>
      <c r="X11" s="23">
        <f>W11*F33/100</f>
        <v>17758.001899999999</v>
      </c>
      <c r="Y11" s="23">
        <f t="shared" ref="Y11:Y13" si="3">X11/V11</f>
        <v>76.84210526315789</v>
      </c>
      <c r="Z11" s="23">
        <f t="shared" ref="Z11:Z13" si="4">X11/Q11</f>
        <v>1158.7301587301588</v>
      </c>
    </row>
    <row r="12" spans="1:26" x14ac:dyDescent="0.25">
      <c r="A12" s="7" t="s">
        <v>16</v>
      </c>
      <c r="B12" s="8" t="s">
        <v>75</v>
      </c>
      <c r="C12" s="10">
        <f>42.97</f>
        <v>42.97</v>
      </c>
      <c r="D12" s="10">
        <f t="shared" si="0"/>
        <v>42970</v>
      </c>
      <c r="E12" s="10">
        <v>94.5</v>
      </c>
      <c r="F12" s="10">
        <f t="shared" si="1"/>
        <v>0.03</v>
      </c>
      <c r="G12" s="10">
        <v>30</v>
      </c>
      <c r="H12" s="70">
        <f>G12/D12*1000</f>
        <v>0.69816150802885735</v>
      </c>
      <c r="I12" s="17">
        <f>100/H12*G12</f>
        <v>4297</v>
      </c>
      <c r="J12" s="10">
        <f>100*30/H12</f>
        <v>4297</v>
      </c>
      <c r="K12" s="5">
        <v>1600</v>
      </c>
      <c r="L12" s="61">
        <f>K12/1000</f>
        <v>1.6</v>
      </c>
      <c r="M12" s="12">
        <v>41.1</v>
      </c>
      <c r="N12" s="21">
        <f>K12*M12/100</f>
        <v>657.6</v>
      </c>
      <c r="O12" s="38">
        <f>N12/1000</f>
        <v>0.65760000000000007</v>
      </c>
      <c r="P12" s="69">
        <f>N12/1000</f>
        <v>0.65760000000000007</v>
      </c>
      <c r="Q12" s="33">
        <f>P12*C12</f>
        <v>28.257072000000001</v>
      </c>
      <c r="R12" s="72">
        <f>P12/10</f>
        <v>6.5760000000000013E-2</v>
      </c>
      <c r="S12">
        <v>13000</v>
      </c>
      <c r="T12">
        <f>S12*M12/100</f>
        <v>5343</v>
      </c>
      <c r="U12" s="83">
        <f>T12/1000</f>
        <v>5.343</v>
      </c>
      <c r="V12" s="19">
        <f>T12*C12/1000</f>
        <v>229.58870999999999</v>
      </c>
      <c r="W12" s="23">
        <f t="shared" si="2"/>
        <v>17660.669999999998</v>
      </c>
      <c r="X12" s="23">
        <f>W12*C33/100</f>
        <v>12539.075699999998</v>
      </c>
      <c r="Y12" s="23">
        <f t="shared" si="3"/>
        <v>54.615384615384606</v>
      </c>
      <c r="Z12" s="23">
        <f t="shared" si="4"/>
        <v>443.74999999999989</v>
      </c>
    </row>
    <row r="13" spans="1:26" ht="30.75" customHeight="1" x14ac:dyDescent="0.25">
      <c r="A13" s="7" t="s">
        <v>17</v>
      </c>
      <c r="B13" s="8" t="s">
        <v>74</v>
      </c>
      <c r="C13" s="10">
        <f>50.75</f>
        <v>50.75</v>
      </c>
      <c r="D13" s="10">
        <f t="shared" si="0"/>
        <v>50750</v>
      </c>
      <c r="E13" s="10">
        <v>111.7</v>
      </c>
      <c r="F13" s="10">
        <f t="shared" si="1"/>
        <v>0.03</v>
      </c>
      <c r="G13" s="10">
        <v>30</v>
      </c>
      <c r="H13" s="70">
        <f t="shared" ref="H13" si="5">G13/D13*1000</f>
        <v>0.59113300492610832</v>
      </c>
      <c r="I13" s="17">
        <f>100/H13*G13</f>
        <v>5075.0000000000009</v>
      </c>
      <c r="J13" s="10">
        <f>100*30/H13</f>
        <v>5075.0000000000009</v>
      </c>
      <c r="K13" s="5">
        <v>1100</v>
      </c>
      <c r="L13" s="61">
        <f>K13/1000</f>
        <v>1.1000000000000001</v>
      </c>
      <c r="M13" s="12">
        <v>49.9</v>
      </c>
      <c r="N13" s="21">
        <f>K13*M13/100</f>
        <v>548.9</v>
      </c>
      <c r="O13" s="38">
        <f>N13/1000</f>
        <v>0.54889999999999994</v>
      </c>
      <c r="P13" s="69">
        <f>N13/1000</f>
        <v>0.54889999999999994</v>
      </c>
      <c r="Q13" s="33">
        <f>P13*C13</f>
        <v>27.856674999999996</v>
      </c>
      <c r="R13" s="72">
        <f>P13/10</f>
        <v>5.4889999999999994E-2</v>
      </c>
      <c r="S13">
        <v>14000</v>
      </c>
      <c r="T13">
        <f>S13*M13/100</f>
        <v>6986</v>
      </c>
      <c r="U13" s="83">
        <f>T13/1000</f>
        <v>6.9859999999999998</v>
      </c>
      <c r="V13" s="36">
        <f>T13*C13/1000</f>
        <v>354.53949999999998</v>
      </c>
      <c r="W13" s="23">
        <f t="shared" si="2"/>
        <v>25324.25</v>
      </c>
      <c r="X13" s="23">
        <f>W13*D33/100</f>
        <v>21525.612499999999</v>
      </c>
      <c r="Y13" s="23">
        <f t="shared" si="3"/>
        <v>60.714285714285715</v>
      </c>
      <c r="Z13" s="23">
        <f>X13/Q13</f>
        <v>772.72727272727286</v>
      </c>
    </row>
    <row r="14" spans="1:26" x14ac:dyDescent="0.25">
      <c r="A14" s="44"/>
      <c r="B14" s="45"/>
      <c r="C14" s="46"/>
      <c r="D14" s="46"/>
      <c r="E14" s="46"/>
      <c r="F14" s="46"/>
      <c r="G14" s="46"/>
      <c r="H14" s="49"/>
      <c r="I14" s="47"/>
      <c r="J14" s="47"/>
      <c r="K14" s="50"/>
      <c r="L14" s="51"/>
      <c r="M14" s="52"/>
      <c r="N14" s="48"/>
      <c r="O14" s="53"/>
      <c r="P14" s="53"/>
      <c r="Q14" s="54"/>
      <c r="R14" s="55"/>
      <c r="S14" s="51"/>
      <c r="T14" s="51"/>
      <c r="U14" s="53"/>
      <c r="V14" s="36"/>
    </row>
    <row r="15" spans="1:26" x14ac:dyDescent="0.25">
      <c r="K15" s="63" t="s">
        <v>102</v>
      </c>
      <c r="L15" s="26"/>
      <c r="M15" s="64"/>
      <c r="N15" s="66"/>
      <c r="O15" s="67"/>
      <c r="P15" s="53"/>
      <c r="Q15" s="54"/>
      <c r="R15" s="55"/>
      <c r="S15" s="51"/>
      <c r="T15" s="51"/>
      <c r="U15" s="53"/>
      <c r="V15" s="36"/>
    </row>
    <row r="16" spans="1:26" ht="60" x14ac:dyDescent="0.25">
      <c r="A16" s="6" t="s">
        <v>13</v>
      </c>
      <c r="C16" s="9" t="s">
        <v>36</v>
      </c>
      <c r="D16" s="9" t="s">
        <v>37</v>
      </c>
      <c r="E16" s="9" t="s">
        <v>19</v>
      </c>
      <c r="F16" t="s">
        <v>20</v>
      </c>
      <c r="G16" s="9" t="s">
        <v>40</v>
      </c>
      <c r="H16" s="20" t="s">
        <v>83</v>
      </c>
      <c r="I16" s="11" t="s">
        <v>84</v>
      </c>
      <c r="J16" s="9" t="s">
        <v>29</v>
      </c>
      <c r="K16" s="56" t="s">
        <v>95</v>
      </c>
      <c r="L16" s="58" t="s">
        <v>96</v>
      </c>
      <c r="M16" s="13" t="s">
        <v>30</v>
      </c>
      <c r="N16" s="65" t="s">
        <v>101</v>
      </c>
      <c r="O16" s="53"/>
      <c r="P16" s="53"/>
      <c r="Q16" s="54"/>
      <c r="R16" s="55"/>
      <c r="S16" s="51"/>
      <c r="T16" s="51"/>
      <c r="U16" s="53"/>
      <c r="V16" s="36"/>
    </row>
    <row r="17" spans="1:22" x14ac:dyDescent="0.25">
      <c r="A17" s="7" t="s">
        <v>14</v>
      </c>
      <c r="B17" s="8" t="s">
        <v>72</v>
      </c>
      <c r="C17" s="10">
        <f>51.37</f>
        <v>51.37</v>
      </c>
      <c r="D17" s="10">
        <f>C17*1000</f>
        <v>51370</v>
      </c>
      <c r="E17" s="10">
        <v>113</v>
      </c>
      <c r="F17" s="10">
        <f>30/1000</f>
        <v>0.03</v>
      </c>
      <c r="G17" s="10">
        <v>30</v>
      </c>
      <c r="H17" s="35">
        <f>G17/D17*1000</f>
        <v>0.58399844267081957</v>
      </c>
      <c r="I17" s="17">
        <f>100/H17*G17</f>
        <v>5137</v>
      </c>
      <c r="J17" s="10">
        <f>100*30/H17</f>
        <v>5137</v>
      </c>
      <c r="K17" s="57">
        <v>1600</v>
      </c>
      <c r="L17" s="59">
        <f>K17/1000</f>
        <v>1.6</v>
      </c>
      <c r="M17" s="52">
        <v>36.5</v>
      </c>
      <c r="N17" s="71">
        <f>L17*M17/100</f>
        <v>0.58400000000000007</v>
      </c>
      <c r="O17" s="53"/>
      <c r="P17" s="53"/>
      <c r="Q17" s="54"/>
      <c r="R17" s="55"/>
      <c r="S17" s="51"/>
      <c r="T17" s="51"/>
      <c r="U17" s="53"/>
      <c r="V17" s="36"/>
    </row>
    <row r="18" spans="1:22" ht="26.25" x14ac:dyDescent="0.25">
      <c r="A18" s="7" t="s">
        <v>15</v>
      </c>
      <c r="B18" s="8" t="s">
        <v>73</v>
      </c>
      <c r="C18" s="10">
        <f>52.09</f>
        <v>52.09</v>
      </c>
      <c r="D18" s="10">
        <f t="shared" ref="D18:D20" si="6">C18*1000</f>
        <v>52090</v>
      </c>
      <c r="E18" s="10">
        <v>114.6</v>
      </c>
      <c r="F18" s="10">
        <f t="shared" ref="F18:F20" si="7">30/1000</f>
        <v>0.03</v>
      </c>
      <c r="G18" s="10">
        <v>30</v>
      </c>
      <c r="H18" s="18">
        <f t="shared" ref="H18:H20" si="8">G18/D18*1000</f>
        <v>0.57592628143597624</v>
      </c>
      <c r="I18" s="17">
        <f>100/H18*G18</f>
        <v>5209</v>
      </c>
      <c r="J18" s="10">
        <f>100*30/H18</f>
        <v>5209</v>
      </c>
      <c r="K18" s="57">
        <v>1200</v>
      </c>
      <c r="L18" s="59">
        <f>K18/1000</f>
        <v>1.2</v>
      </c>
      <c r="M18" s="52">
        <v>40.299999999999997</v>
      </c>
      <c r="N18" s="71">
        <f t="shared" ref="N18:N20" si="9">L18*M18/100</f>
        <v>0.48359999999999992</v>
      </c>
      <c r="O18" s="53"/>
      <c r="P18" s="53"/>
      <c r="Q18" s="54"/>
      <c r="R18" s="55"/>
      <c r="S18" s="51"/>
      <c r="T18" s="51"/>
      <c r="U18" s="53"/>
      <c r="V18" s="36"/>
    </row>
    <row r="19" spans="1:22" ht="26.25" customHeight="1" x14ac:dyDescent="0.25">
      <c r="A19" s="7" t="s">
        <v>16</v>
      </c>
      <c r="B19" s="8" t="s">
        <v>75</v>
      </c>
      <c r="C19" s="10">
        <f>42.97</f>
        <v>42.97</v>
      </c>
      <c r="D19" s="10">
        <f t="shared" si="6"/>
        <v>42970</v>
      </c>
      <c r="E19" s="10">
        <v>94.5</v>
      </c>
      <c r="F19" s="10">
        <f t="shared" si="7"/>
        <v>0.03</v>
      </c>
      <c r="G19" s="10">
        <v>30</v>
      </c>
      <c r="H19" s="18">
        <f t="shared" si="8"/>
        <v>0.69816150802885735</v>
      </c>
      <c r="I19" s="17">
        <f>100/H19*G19</f>
        <v>4297</v>
      </c>
      <c r="J19" s="10">
        <f>100*30/H19</f>
        <v>4297</v>
      </c>
      <c r="K19" s="57">
        <v>1900</v>
      </c>
      <c r="L19" s="59">
        <f>K19/1000</f>
        <v>1.9</v>
      </c>
      <c r="M19" s="52">
        <v>41.9</v>
      </c>
      <c r="N19" s="71">
        <f t="shared" si="9"/>
        <v>0.79610000000000003</v>
      </c>
      <c r="O19" s="53"/>
      <c r="P19" s="53"/>
      <c r="Q19" s="54"/>
      <c r="R19" s="55"/>
      <c r="S19" s="51"/>
      <c r="T19" s="51"/>
      <c r="U19" s="53"/>
      <c r="V19" s="36"/>
    </row>
    <row r="20" spans="1:22" ht="28.5" customHeight="1" x14ac:dyDescent="0.25">
      <c r="A20" s="7" t="s">
        <v>17</v>
      </c>
      <c r="B20" s="8" t="s">
        <v>74</v>
      </c>
      <c r="C20" s="10">
        <f>50.75</f>
        <v>50.75</v>
      </c>
      <c r="D20" s="10">
        <f t="shared" si="6"/>
        <v>50750</v>
      </c>
      <c r="E20" s="10">
        <v>111.7</v>
      </c>
      <c r="F20" s="10">
        <f t="shared" si="7"/>
        <v>0.03</v>
      </c>
      <c r="G20" s="10">
        <v>30</v>
      </c>
      <c r="H20" s="18">
        <f t="shared" si="8"/>
        <v>0.59113300492610832</v>
      </c>
      <c r="I20" s="17">
        <f>100/H20*G20</f>
        <v>5075.0000000000009</v>
      </c>
      <c r="J20" s="10">
        <f>100*30/H20</f>
        <v>5075.0000000000009</v>
      </c>
      <c r="K20" s="57">
        <v>970</v>
      </c>
      <c r="L20" s="59">
        <f>K20/1000</f>
        <v>0.97</v>
      </c>
      <c r="M20" s="52">
        <v>40.5</v>
      </c>
      <c r="N20" s="71">
        <f t="shared" si="9"/>
        <v>0.39284999999999998</v>
      </c>
      <c r="O20" s="53"/>
      <c r="P20" s="53"/>
      <c r="Q20" s="54"/>
      <c r="R20" s="55"/>
      <c r="S20" s="51"/>
      <c r="T20" s="51"/>
      <c r="U20" s="53"/>
      <c r="V20" s="36"/>
    </row>
    <row r="21" spans="1:22" x14ac:dyDescent="0.25">
      <c r="A21" s="44"/>
      <c r="B21" s="45"/>
      <c r="C21" s="46"/>
      <c r="D21" s="46"/>
      <c r="E21" s="46"/>
      <c r="F21" s="46"/>
      <c r="G21" s="46"/>
      <c r="H21" s="49"/>
      <c r="I21" s="47"/>
      <c r="J21" s="47"/>
      <c r="K21" s="50"/>
      <c r="L21" s="51"/>
      <c r="M21" s="52"/>
      <c r="N21" s="48"/>
      <c r="O21" s="53"/>
      <c r="P21" s="53"/>
      <c r="Q21" s="54"/>
      <c r="R21" s="55"/>
      <c r="S21" s="51"/>
      <c r="T21" s="51"/>
      <c r="U21" s="53"/>
      <c r="V21" s="36"/>
    </row>
    <row r="22" spans="1:22" x14ac:dyDescent="0.25">
      <c r="A22" s="44"/>
      <c r="B22" s="45"/>
      <c r="C22" s="46"/>
      <c r="D22" s="46"/>
      <c r="E22" s="46"/>
      <c r="F22" s="46"/>
      <c r="G22" s="46"/>
      <c r="H22" s="49"/>
      <c r="I22" s="47"/>
      <c r="J22" s="47"/>
      <c r="K22" s="50"/>
      <c r="L22" s="51"/>
      <c r="M22" s="52"/>
      <c r="N22" s="48"/>
      <c r="O22" s="53"/>
      <c r="P22" s="53"/>
      <c r="Q22" s="54"/>
      <c r="R22" s="55"/>
      <c r="S22" s="51"/>
      <c r="T22" s="51"/>
      <c r="U22" s="53"/>
      <c r="V22" s="36"/>
    </row>
    <row r="23" spans="1:22" x14ac:dyDescent="0.25">
      <c r="A23" s="44"/>
      <c r="B23" s="45"/>
      <c r="C23" s="46"/>
      <c r="D23" s="46"/>
      <c r="E23" s="46"/>
      <c r="F23" s="46"/>
      <c r="G23" s="46"/>
      <c r="H23" s="49"/>
      <c r="I23" s="47"/>
      <c r="J23" s="47"/>
      <c r="K23" s="50"/>
      <c r="L23" s="51"/>
      <c r="M23" s="52"/>
      <c r="N23" s="48"/>
      <c r="O23" s="53"/>
      <c r="P23" s="53"/>
      <c r="Q23" s="54"/>
      <c r="R23" s="55"/>
      <c r="S23" s="51"/>
      <c r="T23" s="51"/>
      <c r="U23" s="53"/>
      <c r="V23" s="36"/>
    </row>
    <row r="24" spans="1:22" x14ac:dyDescent="0.25">
      <c r="A24" s="44"/>
      <c r="B24" s="45"/>
      <c r="C24" s="46"/>
      <c r="D24" s="46"/>
      <c r="E24" s="46"/>
      <c r="F24" s="46"/>
      <c r="G24" s="46"/>
      <c r="H24" s="49"/>
      <c r="I24" s="47"/>
      <c r="J24" s="47"/>
      <c r="K24" s="50"/>
      <c r="L24" s="51"/>
      <c r="M24" s="52"/>
      <c r="N24" s="48"/>
      <c r="O24" s="53"/>
      <c r="P24" s="53"/>
      <c r="Q24" s="54"/>
      <c r="R24" s="55"/>
      <c r="S24" s="51"/>
      <c r="T24" s="51"/>
      <c r="U24" s="53"/>
      <c r="V24" s="36"/>
    </row>
    <row r="25" spans="1:22" x14ac:dyDescent="0.25">
      <c r="O25" s="34"/>
    </row>
    <row r="26" spans="1:22" ht="60" x14ac:dyDescent="0.25">
      <c r="A26" s="76" t="s">
        <v>0</v>
      </c>
      <c r="B26" s="76" t="s">
        <v>1</v>
      </c>
      <c r="C26" s="77" t="s">
        <v>2</v>
      </c>
      <c r="D26" s="77" t="s">
        <v>3</v>
      </c>
      <c r="E26" s="77" t="s">
        <v>4</v>
      </c>
      <c r="F26" s="77" t="s">
        <v>5</v>
      </c>
      <c r="G26" s="76" t="s">
        <v>6</v>
      </c>
      <c r="H26" s="77" t="s">
        <v>7</v>
      </c>
      <c r="L26" s="23">
        <f>100/P10*30</f>
        <v>8983.1117499101692</v>
      </c>
    </row>
    <row r="27" spans="1:22" ht="30" x14ac:dyDescent="0.25">
      <c r="A27" s="73" t="s">
        <v>21</v>
      </c>
      <c r="B27" s="78" t="s">
        <v>22</v>
      </c>
      <c r="C27" s="79">
        <v>13000</v>
      </c>
      <c r="D27" s="79">
        <v>14000</v>
      </c>
      <c r="E27" s="79">
        <v>12000</v>
      </c>
      <c r="F27" s="79">
        <v>9500</v>
      </c>
      <c r="G27" s="78" t="s">
        <v>11</v>
      </c>
      <c r="H27" s="78">
        <v>10</v>
      </c>
    </row>
    <row r="28" spans="1:22" ht="30" x14ac:dyDescent="0.25">
      <c r="A28" s="73" t="s">
        <v>21</v>
      </c>
      <c r="B28" s="78" t="s">
        <v>22</v>
      </c>
      <c r="C28" s="79">
        <v>2200</v>
      </c>
      <c r="D28" s="79">
        <v>2800</v>
      </c>
      <c r="E28" s="79">
        <v>1900</v>
      </c>
      <c r="F28" s="79">
        <v>1700</v>
      </c>
      <c r="G28" s="78" t="s">
        <v>10</v>
      </c>
      <c r="H28" s="78">
        <v>10</v>
      </c>
      <c r="K28" t="s">
        <v>85</v>
      </c>
      <c r="L28">
        <v>30</v>
      </c>
      <c r="M28">
        <v>30</v>
      </c>
    </row>
    <row r="29" spans="1:22" x14ac:dyDescent="0.25">
      <c r="A29" s="80" t="s">
        <v>23</v>
      </c>
      <c r="B29" s="74" t="s">
        <v>24</v>
      </c>
      <c r="C29" s="74">
        <v>403</v>
      </c>
      <c r="D29" s="74">
        <v>397</v>
      </c>
      <c r="E29" s="74">
        <v>332</v>
      </c>
      <c r="F29" s="74">
        <v>389</v>
      </c>
      <c r="G29" s="74" t="s">
        <v>25</v>
      </c>
      <c r="H29" s="74">
        <v>10</v>
      </c>
      <c r="K29" t="s">
        <v>86</v>
      </c>
      <c r="L29">
        <v>1</v>
      </c>
      <c r="M29" s="19">
        <f>R10</f>
        <v>3.3395999999999995E-2</v>
      </c>
    </row>
    <row r="30" spans="1:22" x14ac:dyDescent="0.25">
      <c r="A30" s="80" t="s">
        <v>26</v>
      </c>
      <c r="B30" s="74" t="s">
        <v>24</v>
      </c>
      <c r="C30" s="74">
        <v>58.9</v>
      </c>
      <c r="D30" s="74">
        <v>50.1</v>
      </c>
      <c r="E30" s="74">
        <v>51.6</v>
      </c>
      <c r="F30" s="74">
        <v>53.3</v>
      </c>
      <c r="G30" s="74" t="s">
        <v>27</v>
      </c>
      <c r="H30" s="74">
        <v>10</v>
      </c>
      <c r="K30" t="s">
        <v>87</v>
      </c>
      <c r="L30">
        <f>100/L29*L28</f>
        <v>3000</v>
      </c>
      <c r="M30" s="23">
        <f>100/M29*M28</f>
        <v>89831.117499101703</v>
      </c>
    </row>
    <row r="31" spans="1:22" ht="30" x14ac:dyDescent="0.25">
      <c r="A31" s="80" t="s">
        <v>8</v>
      </c>
      <c r="B31" s="74" t="s">
        <v>9</v>
      </c>
      <c r="C31" s="74">
        <v>1600</v>
      </c>
      <c r="D31" s="74">
        <v>1100</v>
      </c>
      <c r="E31" s="74">
        <v>690</v>
      </c>
      <c r="F31" s="74">
        <v>630</v>
      </c>
      <c r="G31" s="74" t="s">
        <v>11</v>
      </c>
      <c r="H31" s="74">
        <v>20</v>
      </c>
    </row>
    <row r="32" spans="1:22" x14ac:dyDescent="0.25">
      <c r="A32" s="73" t="s">
        <v>28</v>
      </c>
      <c r="B32" s="78" t="s">
        <v>24</v>
      </c>
      <c r="C32" s="78">
        <v>41.1</v>
      </c>
      <c r="D32" s="78">
        <v>49.9</v>
      </c>
      <c r="E32" s="78">
        <v>48.4</v>
      </c>
      <c r="F32" s="78">
        <v>46.7</v>
      </c>
      <c r="G32" s="78" t="s">
        <v>27</v>
      </c>
      <c r="H32" s="78">
        <v>10</v>
      </c>
    </row>
    <row r="33" spans="1:16" ht="45" x14ac:dyDescent="0.25">
      <c r="A33" s="37" t="s">
        <v>91</v>
      </c>
      <c r="B33" s="84" t="s">
        <v>106</v>
      </c>
      <c r="C33" s="84">
        <v>71</v>
      </c>
      <c r="D33" s="84">
        <v>85</v>
      </c>
      <c r="E33" s="84">
        <v>79</v>
      </c>
      <c r="F33" s="84">
        <v>73</v>
      </c>
      <c r="G33" s="84" t="s">
        <v>93</v>
      </c>
      <c r="H33" s="84">
        <v>25</v>
      </c>
    </row>
    <row r="35" spans="1:16" x14ac:dyDescent="0.25">
      <c r="C35" s="24" t="s">
        <v>44</v>
      </c>
    </row>
    <row r="36" spans="1:16" ht="30" x14ac:dyDescent="0.25">
      <c r="C36" s="16" t="s">
        <v>45</v>
      </c>
      <c r="D36" t="s">
        <v>46</v>
      </c>
      <c r="E36">
        <v>30.4</v>
      </c>
      <c r="G36" t="s">
        <v>66</v>
      </c>
      <c r="L36" s="28" t="s">
        <v>70</v>
      </c>
      <c r="M36" s="28" t="s">
        <v>71</v>
      </c>
    </row>
    <row r="37" spans="1:16" ht="60" x14ac:dyDescent="0.25">
      <c r="D37" s="9" t="s">
        <v>54</v>
      </c>
      <c r="E37" s="9" t="s">
        <v>55</v>
      </c>
      <c r="H37" s="14" t="s">
        <v>18</v>
      </c>
      <c r="I37" s="14" t="s">
        <v>38</v>
      </c>
      <c r="J37" s="13" t="s">
        <v>30</v>
      </c>
      <c r="L37" s="29" t="s">
        <v>35</v>
      </c>
      <c r="M37" s="29" t="s">
        <v>68</v>
      </c>
      <c r="P37" s="3" t="s">
        <v>103</v>
      </c>
    </row>
    <row r="38" spans="1:16" ht="30" x14ac:dyDescent="0.25">
      <c r="C38" s="11" t="s">
        <v>47</v>
      </c>
      <c r="D38" s="10">
        <v>6.07</v>
      </c>
      <c r="E38" s="10">
        <v>3.27</v>
      </c>
      <c r="G38" s="27" t="s">
        <v>72</v>
      </c>
      <c r="H38" s="4">
        <v>690</v>
      </c>
      <c r="I38">
        <f>H38/1000</f>
        <v>0.69</v>
      </c>
      <c r="J38" s="12">
        <v>48.4</v>
      </c>
      <c r="K38">
        <f>J38/100</f>
        <v>0.48399999999999999</v>
      </c>
      <c r="L38" s="30">
        <f>I38*K38</f>
        <v>0.33395999999999998</v>
      </c>
      <c r="M38" s="31">
        <v>0.25</v>
      </c>
      <c r="O38" s="27" t="s">
        <v>72</v>
      </c>
      <c r="P38" s="10">
        <v>6.34</v>
      </c>
    </row>
    <row r="39" spans="1:16" ht="30" x14ac:dyDescent="0.25">
      <c r="C39" s="11" t="s">
        <v>48</v>
      </c>
      <c r="D39" s="10">
        <v>0.05</v>
      </c>
      <c r="E39" s="10">
        <v>0.03</v>
      </c>
      <c r="G39" s="27" t="s">
        <v>73</v>
      </c>
      <c r="H39" s="4">
        <v>630</v>
      </c>
      <c r="I39">
        <f t="shared" ref="I39:I41" si="10">H39/1000</f>
        <v>0.63</v>
      </c>
      <c r="J39" s="12">
        <v>46.7</v>
      </c>
      <c r="K39">
        <f t="shared" ref="K39:K41" si="11">J39/100</f>
        <v>0.46700000000000003</v>
      </c>
      <c r="L39" s="30">
        <f t="shared" ref="L39:L40" si="12">I39*K39</f>
        <v>0.29421000000000003</v>
      </c>
      <c r="M39" s="31">
        <v>0.04</v>
      </c>
      <c r="O39" s="27" t="s">
        <v>73</v>
      </c>
      <c r="P39" s="10">
        <v>4.6399999999999997</v>
      </c>
    </row>
    <row r="40" spans="1:16" ht="28.5" customHeight="1" x14ac:dyDescent="0.25">
      <c r="C40" s="11" t="s">
        <v>49</v>
      </c>
      <c r="D40" s="10">
        <v>0.72</v>
      </c>
      <c r="E40" s="10">
        <v>0.39</v>
      </c>
      <c r="G40" s="27" t="s">
        <v>75</v>
      </c>
      <c r="H40" s="5">
        <v>1600</v>
      </c>
      <c r="I40">
        <f t="shared" si="10"/>
        <v>1.6</v>
      </c>
      <c r="J40" s="12">
        <v>41.1</v>
      </c>
      <c r="K40">
        <f t="shared" si="11"/>
        <v>0.41100000000000003</v>
      </c>
      <c r="L40" s="30">
        <f t="shared" si="12"/>
        <v>0.65760000000000007</v>
      </c>
      <c r="M40" s="31">
        <v>0.05</v>
      </c>
      <c r="O40" s="27" t="s">
        <v>75</v>
      </c>
      <c r="P40" s="10">
        <v>6.07</v>
      </c>
    </row>
    <row r="41" spans="1:16" ht="26.25" x14ac:dyDescent="0.25">
      <c r="C41" s="11" t="s">
        <v>50</v>
      </c>
      <c r="D41" s="10">
        <v>0.14000000000000001</v>
      </c>
      <c r="E41" s="10">
        <v>0.08</v>
      </c>
      <c r="G41" s="27" t="s">
        <v>74</v>
      </c>
      <c r="H41" s="5">
        <v>1100</v>
      </c>
      <c r="I41">
        <f t="shared" si="10"/>
        <v>1.1000000000000001</v>
      </c>
      <c r="J41" s="12">
        <v>49.9</v>
      </c>
      <c r="K41">
        <f t="shared" si="11"/>
        <v>0.499</v>
      </c>
      <c r="L41" s="30">
        <f>I41*K41</f>
        <v>0.54890000000000005</v>
      </c>
      <c r="M41" s="31">
        <v>0.38</v>
      </c>
      <c r="O41" s="27" t="s">
        <v>74</v>
      </c>
      <c r="P41" s="10">
        <v>8.69</v>
      </c>
    </row>
    <row r="42" spans="1:16" ht="30" x14ac:dyDescent="0.25">
      <c r="C42" s="11" t="s">
        <v>51</v>
      </c>
      <c r="D42" s="10">
        <v>0.69</v>
      </c>
      <c r="E42" s="10">
        <v>0.37</v>
      </c>
    </row>
    <row r="43" spans="1:16" x14ac:dyDescent="0.25">
      <c r="C43" s="11" t="s">
        <v>52</v>
      </c>
      <c r="D43" s="25">
        <v>21.3</v>
      </c>
      <c r="E43" s="10">
        <v>11.46</v>
      </c>
    </row>
    <row r="44" spans="1:16" x14ac:dyDescent="0.25">
      <c r="C44" s="11" t="s">
        <v>53</v>
      </c>
      <c r="D44" s="10">
        <v>0.72</v>
      </c>
      <c r="E44" s="10">
        <v>0.39</v>
      </c>
      <c r="G44" t="s">
        <v>69</v>
      </c>
    </row>
    <row r="45" spans="1:16" ht="60" x14ac:dyDescent="0.25">
      <c r="D45" s="9" t="s">
        <v>60</v>
      </c>
      <c r="E45" s="9" t="s">
        <v>61</v>
      </c>
      <c r="H45" s="14" t="s">
        <v>68</v>
      </c>
      <c r="I45" s="14" t="s">
        <v>30</v>
      </c>
      <c r="K45" t="s">
        <v>76</v>
      </c>
      <c r="M45" s="14" t="s">
        <v>67</v>
      </c>
      <c r="N45" s="14" t="s">
        <v>18</v>
      </c>
      <c r="O45" s="75" t="s">
        <v>103</v>
      </c>
    </row>
    <row r="46" spans="1:16" ht="26.25" x14ac:dyDescent="0.25">
      <c r="C46" s="10" t="s">
        <v>56</v>
      </c>
      <c r="D46" s="25">
        <v>7.9</v>
      </c>
      <c r="E46" s="10">
        <v>4.25</v>
      </c>
      <c r="G46" s="27" t="s">
        <v>72</v>
      </c>
      <c r="H46" s="10">
        <v>0.25</v>
      </c>
      <c r="I46">
        <v>36.4</v>
      </c>
      <c r="J46">
        <f>I46/100</f>
        <v>0.36399999999999999</v>
      </c>
      <c r="K46">
        <f>100-I46</f>
        <v>63.6</v>
      </c>
      <c r="L46">
        <f>K46/100</f>
        <v>0.63600000000000001</v>
      </c>
      <c r="M46" s="19">
        <f>H46*L46</f>
        <v>0.159</v>
      </c>
      <c r="N46" s="19">
        <f>M46</f>
        <v>0.159</v>
      </c>
      <c r="O46" s="17">
        <v>6.34</v>
      </c>
    </row>
    <row r="47" spans="1:16" ht="26.25" x14ac:dyDescent="0.25">
      <c r="C47" s="10" t="s">
        <v>57</v>
      </c>
      <c r="D47" s="25">
        <v>548</v>
      </c>
      <c r="E47" s="10">
        <v>294.82</v>
      </c>
      <c r="G47" s="27" t="s">
        <v>73</v>
      </c>
      <c r="H47" s="10">
        <v>0.04</v>
      </c>
      <c r="I47">
        <v>39.1</v>
      </c>
      <c r="J47">
        <f t="shared" ref="J47:J49" si="13">I47/100</f>
        <v>0.39100000000000001</v>
      </c>
      <c r="K47">
        <f t="shared" ref="K47:K49" si="14">100-I47</f>
        <v>60.9</v>
      </c>
      <c r="L47">
        <f t="shared" ref="L47:L49" si="15">K47/100</f>
        <v>0.60899999999999999</v>
      </c>
      <c r="M47" s="19">
        <f t="shared" ref="M47:M49" si="16">H47*L47</f>
        <v>2.436E-2</v>
      </c>
      <c r="N47" s="19">
        <f t="shared" ref="N47:N48" si="17">M47</f>
        <v>2.436E-2</v>
      </c>
      <c r="O47" s="17">
        <v>4.6399999999999997</v>
      </c>
    </row>
    <row r="48" spans="1:16" ht="27" customHeight="1" x14ac:dyDescent="0.25">
      <c r="C48" s="10" t="s">
        <v>58</v>
      </c>
      <c r="D48" s="25">
        <v>81.599999999999994</v>
      </c>
      <c r="E48" s="25">
        <v>43.9</v>
      </c>
      <c r="G48" s="27" t="s">
        <v>75</v>
      </c>
      <c r="H48" s="10">
        <v>0.05</v>
      </c>
      <c r="I48">
        <v>30.4</v>
      </c>
      <c r="J48">
        <f t="shared" si="13"/>
        <v>0.30399999999999999</v>
      </c>
      <c r="K48">
        <f t="shared" si="14"/>
        <v>69.599999999999994</v>
      </c>
      <c r="L48">
        <f t="shared" si="15"/>
        <v>0.69599999999999995</v>
      </c>
      <c r="M48" s="19">
        <f t="shared" si="16"/>
        <v>3.4799999999999998E-2</v>
      </c>
      <c r="N48" s="19">
        <f t="shared" si="17"/>
        <v>3.4799999999999998E-2</v>
      </c>
      <c r="O48" s="17">
        <v>6.07</v>
      </c>
    </row>
    <row r="49" spans="3:15" ht="26.25" x14ac:dyDescent="0.25">
      <c r="C49" s="10" t="s">
        <v>59</v>
      </c>
      <c r="D49" s="25">
        <v>9</v>
      </c>
      <c r="E49" s="10">
        <v>4.84</v>
      </c>
      <c r="G49" s="27" t="s">
        <v>74</v>
      </c>
      <c r="H49" s="10">
        <v>0.38</v>
      </c>
      <c r="I49">
        <v>40.4</v>
      </c>
      <c r="J49">
        <f t="shared" si="13"/>
        <v>0.40399999999999997</v>
      </c>
      <c r="K49">
        <f t="shared" si="14"/>
        <v>59.6</v>
      </c>
      <c r="L49">
        <f t="shared" si="15"/>
        <v>0.59599999999999997</v>
      </c>
      <c r="M49" s="19">
        <f t="shared" si="16"/>
        <v>0.22647999999999999</v>
      </c>
      <c r="N49" s="19">
        <f>M49</f>
        <v>0.22647999999999999</v>
      </c>
      <c r="O49" s="17">
        <v>8.69</v>
      </c>
    </row>
    <row r="51" spans="3:15" ht="30" x14ac:dyDescent="0.25">
      <c r="C51" s="16" t="s">
        <v>62</v>
      </c>
      <c r="D51" t="s">
        <v>46</v>
      </c>
      <c r="E51">
        <v>39.1</v>
      </c>
    </row>
    <row r="52" spans="3:15" ht="30" x14ac:dyDescent="0.25">
      <c r="C52" s="9"/>
      <c r="D52" s="9" t="s">
        <v>54</v>
      </c>
      <c r="E52" s="9" t="s">
        <v>55</v>
      </c>
    </row>
    <row r="53" spans="3:15" ht="30" x14ac:dyDescent="0.25">
      <c r="C53" s="11" t="s">
        <v>47</v>
      </c>
      <c r="D53" s="10">
        <v>4.6399999999999997</v>
      </c>
      <c r="E53" s="10">
        <v>2.84</v>
      </c>
    </row>
    <row r="54" spans="3:15" ht="30" x14ac:dyDescent="0.25">
      <c r="C54" s="11" t="s">
        <v>48</v>
      </c>
      <c r="D54" s="10">
        <v>0.04</v>
      </c>
      <c r="E54" s="10">
        <v>0.02</v>
      </c>
    </row>
    <row r="55" spans="3:15" x14ac:dyDescent="0.25">
      <c r="C55" s="11" t="s">
        <v>49</v>
      </c>
      <c r="D55" s="10">
        <v>0.82</v>
      </c>
      <c r="E55" s="10">
        <v>0.5</v>
      </c>
    </row>
    <row r="56" spans="3:15" x14ac:dyDescent="0.25">
      <c r="C56" s="11" t="s">
        <v>50</v>
      </c>
      <c r="D56" s="10">
        <v>0.32</v>
      </c>
      <c r="E56" s="10">
        <v>0.2</v>
      </c>
    </row>
    <row r="57" spans="3:15" ht="30" x14ac:dyDescent="0.25">
      <c r="C57" s="11" t="s">
        <v>51</v>
      </c>
      <c r="D57" s="10">
        <v>0.89</v>
      </c>
      <c r="E57" s="10">
        <v>0.54</v>
      </c>
    </row>
    <row r="58" spans="3:15" x14ac:dyDescent="0.25">
      <c r="C58" s="11" t="s">
        <v>52</v>
      </c>
      <c r="D58" s="25">
        <v>44.6</v>
      </c>
      <c r="E58" s="10">
        <v>27.3</v>
      </c>
    </row>
    <row r="59" spans="3:15" x14ac:dyDescent="0.25">
      <c r="C59" s="11" t="s">
        <v>53</v>
      </c>
      <c r="D59" s="10">
        <v>1.55</v>
      </c>
      <c r="E59" s="10">
        <v>0.95</v>
      </c>
    </row>
    <row r="60" spans="3:15" x14ac:dyDescent="0.25">
      <c r="C60" s="9"/>
      <c r="D60" t="s">
        <v>60</v>
      </c>
      <c r="E60" t="s">
        <v>61</v>
      </c>
    </row>
    <row r="61" spans="3:15" x14ac:dyDescent="0.25">
      <c r="C61" s="11" t="s">
        <v>56</v>
      </c>
      <c r="D61" s="25">
        <v>7</v>
      </c>
      <c r="E61" s="10">
        <v>4.28</v>
      </c>
    </row>
    <row r="62" spans="3:15" x14ac:dyDescent="0.25">
      <c r="C62" s="11" t="s">
        <v>57</v>
      </c>
      <c r="D62" s="25">
        <v>443</v>
      </c>
      <c r="E62" s="10">
        <v>271.12</v>
      </c>
    </row>
    <row r="63" spans="3:15" x14ac:dyDescent="0.25">
      <c r="C63" s="11" t="s">
        <v>58</v>
      </c>
      <c r="D63" s="25">
        <v>40.4</v>
      </c>
      <c r="E63" s="10">
        <v>24.72</v>
      </c>
    </row>
    <row r="64" spans="3:15" x14ac:dyDescent="0.25">
      <c r="C64" s="11" t="s">
        <v>59</v>
      </c>
      <c r="D64" s="25">
        <v>14.4</v>
      </c>
      <c r="E64" s="10">
        <v>8.81</v>
      </c>
    </row>
    <row r="65" spans="3:5" x14ac:dyDescent="0.25">
      <c r="C65" s="9"/>
    </row>
    <row r="66" spans="3:5" ht="30" x14ac:dyDescent="0.25">
      <c r="C66" s="16" t="s">
        <v>63</v>
      </c>
      <c r="D66" t="s">
        <v>46</v>
      </c>
      <c r="E66">
        <v>36.4</v>
      </c>
    </row>
    <row r="67" spans="3:5" ht="30" x14ac:dyDescent="0.25">
      <c r="C67" s="9"/>
      <c r="D67" s="9" t="s">
        <v>54</v>
      </c>
      <c r="E67" s="9" t="s">
        <v>55</v>
      </c>
    </row>
    <row r="68" spans="3:5" ht="30" x14ac:dyDescent="0.25">
      <c r="C68" s="11" t="s">
        <v>47</v>
      </c>
      <c r="D68" s="10">
        <v>6.34</v>
      </c>
      <c r="E68" s="10">
        <v>3.66</v>
      </c>
    </row>
    <row r="69" spans="3:5" ht="30" x14ac:dyDescent="0.25">
      <c r="C69" s="11" t="s">
        <v>48</v>
      </c>
      <c r="D69" s="10">
        <v>0.25</v>
      </c>
      <c r="E69" s="10">
        <v>0.14000000000000001</v>
      </c>
    </row>
    <row r="70" spans="3:5" x14ac:dyDescent="0.25">
      <c r="C70" s="11" t="s">
        <v>49</v>
      </c>
      <c r="D70" s="10">
        <v>0.85</v>
      </c>
      <c r="E70" s="10">
        <v>0.49</v>
      </c>
    </row>
    <row r="71" spans="3:5" x14ac:dyDescent="0.25">
      <c r="C71" s="11" t="s">
        <v>50</v>
      </c>
      <c r="D71" s="10">
        <v>0.42</v>
      </c>
      <c r="E71" s="10">
        <v>0.24</v>
      </c>
    </row>
    <row r="72" spans="3:5" ht="30" x14ac:dyDescent="0.25">
      <c r="C72" s="11" t="s">
        <v>51</v>
      </c>
      <c r="D72" s="10">
        <v>0.63</v>
      </c>
      <c r="E72" s="10">
        <v>0.36</v>
      </c>
    </row>
    <row r="73" spans="3:5" x14ac:dyDescent="0.25">
      <c r="C73" s="11" t="s">
        <v>52</v>
      </c>
      <c r="D73" s="25">
        <v>17.2</v>
      </c>
      <c r="E73" s="10">
        <v>9.94</v>
      </c>
    </row>
    <row r="74" spans="3:5" x14ac:dyDescent="0.25">
      <c r="C74" s="11" t="s">
        <v>53</v>
      </c>
      <c r="D74" s="10">
        <v>1.29</v>
      </c>
      <c r="E74" s="10">
        <v>0.75</v>
      </c>
    </row>
    <row r="75" spans="3:5" ht="30" x14ac:dyDescent="0.25">
      <c r="C75" s="9"/>
      <c r="D75" s="9" t="s">
        <v>60</v>
      </c>
      <c r="E75" s="9" t="s">
        <v>61</v>
      </c>
    </row>
    <row r="76" spans="3:5" x14ac:dyDescent="0.25">
      <c r="C76" s="11" t="s">
        <v>56</v>
      </c>
      <c r="D76" s="25">
        <v>7.9</v>
      </c>
      <c r="E76" s="10">
        <v>4.57</v>
      </c>
    </row>
    <row r="77" spans="3:5" x14ac:dyDescent="0.25">
      <c r="C77" s="11" t="s">
        <v>57</v>
      </c>
      <c r="D77" s="25">
        <v>632</v>
      </c>
      <c r="E77" s="25">
        <v>365.3</v>
      </c>
    </row>
    <row r="78" spans="3:5" x14ac:dyDescent="0.25">
      <c r="C78" s="11" t="s">
        <v>58</v>
      </c>
      <c r="D78" s="25">
        <v>52.1</v>
      </c>
      <c r="E78" s="25">
        <v>30.11</v>
      </c>
    </row>
    <row r="79" spans="3:5" x14ac:dyDescent="0.25">
      <c r="C79" s="11" t="s">
        <v>59</v>
      </c>
      <c r="D79" s="25">
        <v>11.4</v>
      </c>
      <c r="E79" s="10">
        <v>6.59</v>
      </c>
    </row>
    <row r="80" spans="3:5" x14ac:dyDescent="0.25">
      <c r="C80" s="9"/>
    </row>
    <row r="81" spans="3:5" ht="25.5" customHeight="1" x14ac:dyDescent="0.25">
      <c r="C81" s="16" t="s">
        <v>64</v>
      </c>
      <c r="D81" t="s">
        <v>46</v>
      </c>
      <c r="E81">
        <v>40.4</v>
      </c>
    </row>
    <row r="82" spans="3:5" x14ac:dyDescent="0.25">
      <c r="C82" s="9"/>
      <c r="D82" t="s">
        <v>54</v>
      </c>
      <c r="E82" t="s">
        <v>55</v>
      </c>
    </row>
    <row r="83" spans="3:5" ht="30" x14ac:dyDescent="0.25">
      <c r="C83" s="11" t="s">
        <v>47</v>
      </c>
      <c r="D83" s="10">
        <v>8.69</v>
      </c>
      <c r="E83" s="25">
        <v>5.4</v>
      </c>
    </row>
    <row r="84" spans="3:5" ht="30" x14ac:dyDescent="0.25">
      <c r="C84" s="11" t="s">
        <v>48</v>
      </c>
      <c r="D84" s="10">
        <v>0.38</v>
      </c>
      <c r="E84" s="10">
        <v>0.24</v>
      </c>
    </row>
    <row r="85" spans="3:5" x14ac:dyDescent="0.25">
      <c r="C85" s="11" t="s">
        <v>49</v>
      </c>
      <c r="D85" s="10">
        <v>1.33</v>
      </c>
      <c r="E85" s="10">
        <v>0.83</v>
      </c>
    </row>
    <row r="86" spans="3:5" x14ac:dyDescent="0.25">
      <c r="C86" s="11" t="s">
        <v>50</v>
      </c>
      <c r="D86" s="25">
        <v>0.2</v>
      </c>
      <c r="E86" s="10">
        <v>0.12</v>
      </c>
    </row>
    <row r="87" spans="3:5" ht="30" x14ac:dyDescent="0.25">
      <c r="C87" s="11" t="s">
        <v>51</v>
      </c>
      <c r="D87" s="10">
        <v>1.04</v>
      </c>
      <c r="E87" s="10">
        <v>0.65</v>
      </c>
    </row>
    <row r="88" spans="3:5" x14ac:dyDescent="0.25">
      <c r="C88" s="11" t="s">
        <v>52</v>
      </c>
      <c r="D88" s="25">
        <v>49.9</v>
      </c>
      <c r="E88" s="10">
        <v>30.99</v>
      </c>
    </row>
    <row r="89" spans="3:5" x14ac:dyDescent="0.25">
      <c r="C89" s="11" t="s">
        <v>53</v>
      </c>
      <c r="D89" s="10">
        <v>1.52</v>
      </c>
      <c r="E89" s="10">
        <v>0.94</v>
      </c>
    </row>
    <row r="90" spans="3:5" ht="30" x14ac:dyDescent="0.25">
      <c r="C90" s="9"/>
      <c r="D90" s="9" t="s">
        <v>60</v>
      </c>
      <c r="E90" s="9" t="s">
        <v>61</v>
      </c>
    </row>
    <row r="91" spans="3:5" x14ac:dyDescent="0.25">
      <c r="C91" s="11" t="s">
        <v>56</v>
      </c>
      <c r="D91" s="25">
        <v>8.6999999999999993</v>
      </c>
      <c r="E91" s="25">
        <v>5.4</v>
      </c>
    </row>
    <row r="92" spans="3:5" x14ac:dyDescent="0.25">
      <c r="C92" s="11" t="s">
        <v>57</v>
      </c>
      <c r="D92" s="25">
        <v>756</v>
      </c>
      <c r="E92" s="25">
        <v>469.48</v>
      </c>
    </row>
    <row r="93" spans="3:5" x14ac:dyDescent="0.25">
      <c r="C93" s="11" t="s">
        <v>58</v>
      </c>
      <c r="D93" s="25">
        <v>102</v>
      </c>
      <c r="E93" s="25">
        <v>63.34</v>
      </c>
    </row>
    <row r="94" spans="3:5" x14ac:dyDescent="0.25">
      <c r="C94" s="11" t="s">
        <v>59</v>
      </c>
      <c r="D94" s="25">
        <v>10.4</v>
      </c>
      <c r="E94" s="10">
        <v>6.46</v>
      </c>
    </row>
    <row r="97" spans="1:8" ht="60" x14ac:dyDescent="0.25">
      <c r="A97" s="1" t="s">
        <v>0</v>
      </c>
      <c r="B97" s="1" t="s">
        <v>1</v>
      </c>
      <c r="C97" s="2" t="s">
        <v>2</v>
      </c>
      <c r="D97" s="2" t="s">
        <v>3</v>
      </c>
      <c r="E97" s="2" t="s">
        <v>4</v>
      </c>
      <c r="F97" s="2" t="s">
        <v>5</v>
      </c>
      <c r="G97" s="1" t="s">
        <v>6</v>
      </c>
      <c r="H97" s="2" t="s">
        <v>7</v>
      </c>
    </row>
    <row r="98" spans="1:8" x14ac:dyDescent="0.25">
      <c r="A98" s="40" t="s">
        <v>92</v>
      </c>
      <c r="B98" s="12" t="s">
        <v>22</v>
      </c>
      <c r="C98" s="41">
        <v>13000</v>
      </c>
      <c r="D98" s="41">
        <v>14000</v>
      </c>
      <c r="E98" s="41">
        <v>12000</v>
      </c>
      <c r="F98" s="41">
        <v>9500</v>
      </c>
      <c r="G98" s="12" t="s">
        <v>11</v>
      </c>
      <c r="H98" s="12">
        <v>10</v>
      </c>
    </row>
    <row r="99" spans="1:8" x14ac:dyDescent="0.25">
      <c r="A99" s="40" t="s">
        <v>92</v>
      </c>
      <c r="B99" s="42"/>
      <c r="C99" s="42">
        <f>C98/1000</f>
        <v>13</v>
      </c>
      <c r="D99" s="42">
        <f t="shared" ref="D99:F99" si="18">D98/1000</f>
        <v>14</v>
      </c>
      <c r="E99" s="42">
        <f t="shared" si="18"/>
        <v>12</v>
      </c>
      <c r="F99" s="42">
        <f t="shared" si="18"/>
        <v>9.5</v>
      </c>
      <c r="G99" s="42" t="s">
        <v>93</v>
      </c>
      <c r="H99" s="42"/>
    </row>
    <row r="100" spans="1:8" ht="45" x14ac:dyDescent="0.25">
      <c r="A100" s="43" t="s">
        <v>91</v>
      </c>
      <c r="B100" s="42"/>
      <c r="C100" s="42">
        <v>71</v>
      </c>
      <c r="D100" s="42">
        <v>85</v>
      </c>
      <c r="E100" s="42">
        <v>79</v>
      </c>
      <c r="F100" s="42">
        <v>73</v>
      </c>
      <c r="G100" s="42" t="s">
        <v>93</v>
      </c>
      <c r="H100" s="42"/>
    </row>
    <row r="102" spans="1:8" x14ac:dyDescent="0.25">
      <c r="A102" t="s">
        <v>94</v>
      </c>
      <c r="C102" s="15">
        <f>C100/C99</f>
        <v>5.4615384615384617</v>
      </c>
      <c r="D102" s="15">
        <f t="shared" ref="D102:F102" si="19">D100/D99</f>
        <v>6.0714285714285712</v>
      </c>
      <c r="E102" s="15">
        <f t="shared" si="19"/>
        <v>6.583333333333333</v>
      </c>
      <c r="F102" s="15">
        <f t="shared" si="19"/>
        <v>7.6842105263157894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ColWidth="8.85546875" defaultRowHeight="15" x14ac:dyDescent="0.25"/>
  <cols>
    <col min="1" max="1" width="15.85546875" customWidth="1"/>
    <col min="2" max="2" width="14.140625" customWidth="1"/>
    <col min="3" max="3" width="11.42578125" customWidth="1"/>
    <col min="4" max="4" width="12.28515625" customWidth="1"/>
  </cols>
  <sheetData>
    <row r="1" spans="1:5" ht="30" x14ac:dyDescent="0.25">
      <c r="A1" s="9" t="s">
        <v>31</v>
      </c>
      <c r="B1" s="9" t="s">
        <v>32</v>
      </c>
      <c r="C1" t="s">
        <v>33</v>
      </c>
      <c r="D1" s="9" t="s">
        <v>34</v>
      </c>
    </row>
    <row r="2" spans="1:5" x14ac:dyDescent="0.25">
      <c r="A2">
        <v>104</v>
      </c>
      <c r="B2">
        <v>5.2</v>
      </c>
      <c r="C2">
        <v>95</v>
      </c>
      <c r="D2">
        <v>5</v>
      </c>
      <c r="E2">
        <f>A2*D3</f>
        <v>5.2</v>
      </c>
    </row>
    <row r="3" spans="1:5" x14ac:dyDescent="0.25">
      <c r="A3">
        <v>69</v>
      </c>
      <c r="B3">
        <v>3.5</v>
      </c>
      <c r="D3">
        <f>D2/100</f>
        <v>0.05</v>
      </c>
      <c r="E3" s="15">
        <f>A3*D3</f>
        <v>3.45</v>
      </c>
    </row>
    <row r="4" spans="1:5" x14ac:dyDescent="0.25">
      <c r="A4" s="32" t="s">
        <v>39</v>
      </c>
    </row>
    <row r="7" spans="1:5" x14ac:dyDescent="0.25">
      <c r="A7" t="s">
        <v>77</v>
      </c>
    </row>
    <row r="8" spans="1:5" x14ac:dyDescent="0.25">
      <c r="A8" t="s">
        <v>78</v>
      </c>
    </row>
    <row r="10" spans="1:5" x14ac:dyDescent="0.25">
      <c r="C10">
        <f>5.2*60/100</f>
        <v>3.12</v>
      </c>
    </row>
  </sheetData>
  <hyperlinks>
    <hyperlink ref="A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8.85546875" defaultRowHeight="15" x14ac:dyDescent="0.25"/>
  <cols>
    <col min="1" max="1" width="14.42578125" customWidth="1"/>
    <col min="2" max="2" width="16.140625" customWidth="1"/>
    <col min="3" max="3" width="13.85546875" customWidth="1"/>
    <col min="4" max="4" width="14.7109375" customWidth="1"/>
  </cols>
  <sheetData>
    <row r="1" spans="1:4" x14ac:dyDescent="0.25">
      <c r="A1" t="s">
        <v>105</v>
      </c>
    </row>
    <row r="2" spans="1:4" ht="45" x14ac:dyDescent="0.25">
      <c r="B2" s="3" t="s">
        <v>90</v>
      </c>
      <c r="C2" s="29" t="s">
        <v>43</v>
      </c>
      <c r="D2" s="9" t="s">
        <v>104</v>
      </c>
    </row>
    <row r="3" spans="1:4" ht="26.25" x14ac:dyDescent="0.25">
      <c r="A3" s="27" t="s">
        <v>72</v>
      </c>
      <c r="B3" s="81">
        <v>5.8079999999999998</v>
      </c>
      <c r="C3" s="82">
        <v>298.35695999999996</v>
      </c>
      <c r="D3" s="15">
        <v>17.1555252</v>
      </c>
    </row>
    <row r="4" spans="1:4" ht="26.25" x14ac:dyDescent="0.25">
      <c r="A4" s="27" t="s">
        <v>73</v>
      </c>
      <c r="B4" s="81">
        <v>4.4364999999999997</v>
      </c>
      <c r="C4" s="82">
        <v>231.097285</v>
      </c>
      <c r="D4" s="15">
        <v>15.3253989</v>
      </c>
    </row>
    <row r="5" spans="1:4" ht="26.25" x14ac:dyDescent="0.25">
      <c r="A5" s="27" t="s">
        <v>75</v>
      </c>
      <c r="B5" s="81">
        <v>5.343</v>
      </c>
      <c r="C5" s="82">
        <v>229.58870999999999</v>
      </c>
      <c r="D5" s="15">
        <v>28.257072000000001</v>
      </c>
    </row>
    <row r="6" spans="1:4" ht="26.25" x14ac:dyDescent="0.25">
      <c r="A6" s="27" t="s">
        <v>74</v>
      </c>
      <c r="B6" s="81">
        <v>6.9859999999999998</v>
      </c>
      <c r="C6" s="82">
        <v>354.53949999999998</v>
      </c>
      <c r="D6" s="15">
        <v>27.856674999999996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Kinnula, Sari S</dc:creator>
  <cp:lastModifiedBy>Kinnula, Sari S</cp:lastModifiedBy>
  <cp:lastPrinted>2017-10-04T15:56:19Z</cp:lastPrinted>
  <dcterms:created xsi:type="dcterms:W3CDTF">2017-04-06T08:59:34Z</dcterms:created>
  <dcterms:modified xsi:type="dcterms:W3CDTF">2017-12-21T13:26:00Z</dcterms:modified>
</cp:coreProperties>
</file>