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opialla\Dropbox\PostDoc\Methylglyoxal_pSIRM\"/>
    </mc:Choice>
  </mc:AlternateContent>
  <bookViews>
    <workbookView xWindow="0" yWindow="600" windowWidth="19200" windowHeight="8745" tabRatio="384"/>
  </bookViews>
  <sheets>
    <sheet name="MainExperiment" sheetId="1" r:id="rId1"/>
    <sheet name="TestExperiment" sheetId="2" r:id="rId2"/>
    <sheet name="TestExperiment_labelmedia"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8" i="1" l="1"/>
  <c r="D33" i="1"/>
  <c r="C33" i="1"/>
  <c r="F33" i="1" s="1"/>
  <c r="C34" i="1"/>
  <c r="D34" i="1" s="1"/>
  <c r="D35" i="1" l="1"/>
  <c r="F34" i="1"/>
  <c r="F35" i="1" s="1"/>
  <c r="F91" i="1"/>
  <c r="F90" i="1"/>
  <c r="B23" i="1" l="1"/>
  <c r="Q25" i="1"/>
  <c r="B77" i="1"/>
  <c r="B81" i="1"/>
  <c r="D73" i="1"/>
  <c r="H83" i="1"/>
  <c r="K82" i="1"/>
  <c r="I82" i="1"/>
  <c r="Q80" i="1"/>
  <c r="K80" i="1"/>
  <c r="C79" i="1"/>
  <c r="K79" i="1" s="1"/>
  <c r="K76" i="1"/>
  <c r="H71" i="1"/>
  <c r="F71" i="1"/>
  <c r="D71" i="1"/>
  <c r="G70" i="1"/>
  <c r="G71" i="1" s="1"/>
  <c r="G72" i="1" s="1"/>
  <c r="E70" i="1"/>
  <c r="E71" i="1" s="1"/>
  <c r="E72" i="1" s="1"/>
  <c r="M76" i="1" l="1"/>
  <c r="Q51" i="1" l="1"/>
  <c r="H75" i="3" l="1"/>
  <c r="J75" i="3" s="1"/>
  <c r="J74" i="3"/>
  <c r="H74" i="3"/>
  <c r="J73" i="3"/>
  <c r="H73" i="3"/>
  <c r="H72" i="3"/>
  <c r="J72" i="3" s="1"/>
  <c r="E68" i="3"/>
  <c r="E69" i="3" s="1"/>
  <c r="D68" i="3"/>
  <c r="K60" i="3"/>
  <c r="M60" i="3" s="1"/>
  <c r="M58" i="3"/>
  <c r="K58" i="3"/>
  <c r="C57" i="3"/>
  <c r="K57" i="3" s="1"/>
  <c r="M57" i="3" s="1"/>
  <c r="C42" i="3"/>
  <c r="D42" i="3" s="1"/>
  <c r="B42" i="3"/>
  <c r="D41" i="3"/>
  <c r="C41" i="3"/>
  <c r="F41" i="3" s="1"/>
  <c r="F40" i="3"/>
  <c r="D40" i="3"/>
  <c r="C40" i="3"/>
  <c r="D39" i="3"/>
  <c r="C39" i="3"/>
  <c r="F39" i="3" s="1"/>
  <c r="F38" i="3"/>
  <c r="D38" i="3"/>
  <c r="C38" i="3"/>
  <c r="F37" i="3"/>
  <c r="D37" i="3"/>
  <c r="C37" i="3"/>
  <c r="F36" i="3"/>
  <c r="D36" i="3"/>
  <c r="C36" i="3"/>
  <c r="F35" i="3"/>
  <c r="D35" i="3"/>
  <c r="C35" i="3"/>
  <c r="J31" i="3"/>
  <c r="K31" i="3" s="1"/>
  <c r="K30" i="3"/>
  <c r="M30" i="3" s="1"/>
  <c r="K28" i="3"/>
  <c r="M28" i="3" s="1"/>
  <c r="S29" i="3" s="1"/>
  <c r="K27" i="3"/>
  <c r="M27" i="3" s="1"/>
  <c r="C27" i="3"/>
  <c r="K26" i="3"/>
  <c r="M26" i="3" s="1"/>
  <c r="B26" i="3"/>
  <c r="F26" i="3" s="1"/>
  <c r="M25" i="3"/>
  <c r="E25" i="3"/>
  <c r="D25" i="3"/>
  <c r="B25" i="3"/>
  <c r="F25" i="3" s="1"/>
  <c r="M24" i="3"/>
  <c r="K24" i="3"/>
  <c r="B24" i="3"/>
  <c r="B54" i="3" s="1"/>
  <c r="B73" i="3" s="1"/>
  <c r="R23" i="3"/>
  <c r="M23" i="3"/>
  <c r="K23" i="3"/>
  <c r="B23" i="3"/>
  <c r="B53" i="3" s="1"/>
  <c r="B72" i="3" s="1"/>
  <c r="R22" i="3"/>
  <c r="K22" i="3"/>
  <c r="K21" i="3"/>
  <c r="M21" i="3" s="1"/>
  <c r="H21" i="3"/>
  <c r="G21" i="3"/>
  <c r="F21" i="3"/>
  <c r="E21" i="3"/>
  <c r="D21" i="3"/>
  <c r="K8" i="3"/>
  <c r="M8" i="3" s="1"/>
  <c r="B22" i="3" s="1"/>
  <c r="K7" i="3"/>
  <c r="M7" i="3" s="1"/>
  <c r="B30" i="3" s="1"/>
  <c r="B60" i="3" s="1"/>
  <c r="D7" i="3"/>
  <c r="E7" i="3" s="1"/>
  <c r="K6" i="3"/>
  <c r="M6" i="3" s="1"/>
  <c r="B29" i="3" s="1"/>
  <c r="D6" i="3"/>
  <c r="E6" i="3" s="1"/>
  <c r="K5" i="3"/>
  <c r="M5" i="3" s="1"/>
  <c r="B28" i="3" s="1"/>
  <c r="D5" i="3"/>
  <c r="K4" i="3"/>
  <c r="M4" i="3" s="1"/>
  <c r="B27" i="3" s="1"/>
  <c r="B57" i="3" s="1"/>
  <c r="D4" i="3"/>
  <c r="E4" i="3" s="1"/>
  <c r="D3" i="3"/>
  <c r="D2" i="3"/>
  <c r="E3" i="3" s="1"/>
  <c r="G25" i="3" l="1"/>
  <c r="D26" i="3"/>
  <c r="C25" i="3"/>
  <c r="K25" i="3" s="1"/>
  <c r="H25" i="3"/>
  <c r="I25" i="3" s="1"/>
  <c r="B58" i="3"/>
  <c r="B75" i="3" s="1"/>
  <c r="F28" i="3"/>
  <c r="I28" i="3" s="1"/>
  <c r="E75" i="3"/>
  <c r="F75" i="3" s="1"/>
  <c r="E72" i="3"/>
  <c r="M22" i="3"/>
  <c r="G22" i="3"/>
  <c r="F22" i="3"/>
  <c r="E22" i="3"/>
  <c r="H22" i="3"/>
  <c r="D22" i="3"/>
  <c r="M29" i="3"/>
  <c r="C29" i="3"/>
  <c r="K29" i="3" s="1"/>
  <c r="G29" i="3"/>
  <c r="I29" i="3" s="1"/>
  <c r="D16" i="3" a="1"/>
  <c r="I21" i="3"/>
  <c r="F23" i="3"/>
  <c r="D24" i="3"/>
  <c r="F42" i="3"/>
  <c r="B56" i="3"/>
  <c r="B74" i="3" s="1"/>
  <c r="E74" i="3" s="1"/>
  <c r="D73" i="3"/>
  <c r="F73" i="3" s="1"/>
  <c r="D23" i="3"/>
  <c r="D72" i="3"/>
  <c r="D61" i="1"/>
  <c r="D60" i="1"/>
  <c r="D74" i="3" l="1"/>
  <c r="F74" i="3" s="1"/>
  <c r="E76" i="3"/>
  <c r="F72" i="3"/>
  <c r="E16" i="3"/>
  <c r="H16" i="3"/>
  <c r="D16" i="3"/>
  <c r="G16" i="3"/>
  <c r="F16" i="3"/>
  <c r="I22" i="3"/>
  <c r="D32" i="3"/>
  <c r="F31" i="3"/>
  <c r="F32" i="3" s="1"/>
  <c r="D31" i="3"/>
  <c r="D76" i="3"/>
  <c r="F76" i="3" s="1"/>
  <c r="G76" i="3" s="1"/>
  <c r="H76" i="3" s="1"/>
  <c r="R23" i="2"/>
  <c r="R22" i="2"/>
  <c r="F48" i="3" l="1"/>
  <c r="F49" i="3" s="1"/>
  <c r="F50" i="3" s="1"/>
  <c r="F17" i="3"/>
  <c r="E48" i="3"/>
  <c r="E49" i="3" s="1"/>
  <c r="E50" i="3" s="1"/>
  <c r="E17" i="3"/>
  <c r="E18" i="3" s="1"/>
  <c r="G48" i="3"/>
  <c r="G49" i="3" s="1"/>
  <c r="G50" i="3" s="1"/>
  <c r="G17" i="3"/>
  <c r="G18" i="3" s="1"/>
  <c r="D48" i="3"/>
  <c r="D49" i="3" s="1"/>
  <c r="D50" i="3" s="1"/>
  <c r="D17" i="3"/>
  <c r="H48" i="3"/>
  <c r="H49" i="3" s="1"/>
  <c r="H50" i="3" s="1"/>
  <c r="H17" i="3"/>
  <c r="H18" i="3" s="1"/>
  <c r="J31" i="2"/>
  <c r="K31" i="2" s="1"/>
  <c r="J29" i="1"/>
  <c r="J75" i="2"/>
  <c r="H75" i="2"/>
  <c r="J74" i="2"/>
  <c r="H74" i="2"/>
  <c r="H73" i="2"/>
  <c r="J73" i="2" s="1"/>
  <c r="J72" i="2"/>
  <c r="H72" i="2"/>
  <c r="E68" i="2"/>
  <c r="E69" i="2" s="1"/>
  <c r="D68" i="2"/>
  <c r="D69" i="2" s="1"/>
  <c r="K60" i="2"/>
  <c r="M60" i="2" s="1"/>
  <c r="K58" i="2"/>
  <c r="M58" i="2" s="1"/>
  <c r="C57" i="2"/>
  <c r="K57" i="2" s="1"/>
  <c r="M57" i="2" s="1"/>
  <c r="D42" i="2"/>
  <c r="C42" i="2"/>
  <c r="F42" i="2" s="1"/>
  <c r="B42" i="2"/>
  <c r="C41" i="2"/>
  <c r="D41" i="2" s="1"/>
  <c r="D40" i="2"/>
  <c r="C40" i="2"/>
  <c r="F40" i="2" s="1"/>
  <c r="C39" i="2"/>
  <c r="D39" i="2" s="1"/>
  <c r="D38" i="2"/>
  <c r="C38" i="2"/>
  <c r="F38" i="2" s="1"/>
  <c r="C37" i="2"/>
  <c r="D37" i="2" s="1"/>
  <c r="D36" i="2"/>
  <c r="C36" i="2"/>
  <c r="F36" i="2" s="1"/>
  <c r="C35" i="2"/>
  <c r="D35" i="2" s="1"/>
  <c r="K30" i="2"/>
  <c r="M30" i="2" s="1"/>
  <c r="M28" i="2"/>
  <c r="K28" i="2"/>
  <c r="C27" i="2"/>
  <c r="K27" i="2" s="1"/>
  <c r="M27" i="2" s="1"/>
  <c r="B26" i="2"/>
  <c r="M25" i="2"/>
  <c r="H25" i="2"/>
  <c r="G25" i="2"/>
  <c r="D25" i="2"/>
  <c r="C25" i="2"/>
  <c r="K25" i="2" s="1"/>
  <c r="B25" i="2"/>
  <c r="E25" i="2" s="1"/>
  <c r="K24" i="2"/>
  <c r="M24" i="2" s="1"/>
  <c r="B24" i="2"/>
  <c r="B54" i="2" s="1"/>
  <c r="B73" i="2" s="1"/>
  <c r="K23" i="2"/>
  <c r="M23" i="2" s="1"/>
  <c r="B23" i="2"/>
  <c r="K22" i="2"/>
  <c r="K21" i="2"/>
  <c r="M21" i="2" s="1"/>
  <c r="H21" i="2"/>
  <c r="G21" i="2"/>
  <c r="F21" i="2"/>
  <c r="E21" i="2"/>
  <c r="D21" i="2"/>
  <c r="M8" i="2"/>
  <c r="B22" i="2" s="1"/>
  <c r="K8" i="2"/>
  <c r="K7" i="2"/>
  <c r="M7" i="2" s="1"/>
  <c r="B30" i="2" s="1"/>
  <c r="B60" i="2" s="1"/>
  <c r="E7" i="2"/>
  <c r="D7" i="2"/>
  <c r="K6" i="2"/>
  <c r="M6" i="2" s="1"/>
  <c r="B29" i="2" s="1"/>
  <c r="E6" i="2"/>
  <c r="D6" i="2"/>
  <c r="K5" i="2"/>
  <c r="M5" i="2" s="1"/>
  <c r="B28" i="2" s="1"/>
  <c r="D5" i="2"/>
  <c r="E5" i="2" s="1"/>
  <c r="K4" i="2"/>
  <c r="M4" i="2" s="1"/>
  <c r="B27" i="2" s="1"/>
  <c r="B57" i="2" s="1"/>
  <c r="E4" i="2"/>
  <c r="D4" i="2"/>
  <c r="D3" i="2"/>
  <c r="D2" i="2"/>
  <c r="E3" i="2" s="1"/>
  <c r="F56" i="3" l="1"/>
  <c r="F58" i="3"/>
  <c r="I58" i="3" s="1"/>
  <c r="F53" i="3"/>
  <c r="E42" i="3"/>
  <c r="E23" i="3"/>
  <c r="E40" i="3"/>
  <c r="E38" i="3"/>
  <c r="E36" i="3"/>
  <c r="E27" i="3"/>
  <c r="I27" i="3" s="1"/>
  <c r="E41" i="3"/>
  <c r="E39" i="3"/>
  <c r="E37" i="3"/>
  <c r="E35" i="3"/>
  <c r="E26" i="3"/>
  <c r="E24" i="3"/>
  <c r="H41" i="3"/>
  <c r="H39" i="3"/>
  <c r="H37" i="3"/>
  <c r="H35" i="3"/>
  <c r="H26" i="3"/>
  <c r="H42" i="3"/>
  <c r="H40" i="3"/>
  <c r="H38" i="3"/>
  <c r="H36" i="3"/>
  <c r="H30" i="3"/>
  <c r="I30" i="3" s="1"/>
  <c r="H24" i="3"/>
  <c r="H23" i="3"/>
  <c r="D53" i="3"/>
  <c r="D56" i="3"/>
  <c r="D54" i="3"/>
  <c r="E57" i="3"/>
  <c r="I57" i="3" s="1"/>
  <c r="E56" i="3"/>
  <c r="E61" i="3" s="1"/>
  <c r="E54" i="3"/>
  <c r="G54" i="3"/>
  <c r="G53" i="3"/>
  <c r="G56" i="3"/>
  <c r="H54" i="3"/>
  <c r="H53" i="3"/>
  <c r="H60" i="3"/>
  <c r="I60" i="3" s="1"/>
  <c r="G41" i="3"/>
  <c r="G39" i="3"/>
  <c r="G37" i="3"/>
  <c r="G35" i="3"/>
  <c r="G42" i="3"/>
  <c r="G40" i="3"/>
  <c r="G38" i="3"/>
  <c r="G36" i="3"/>
  <c r="G23" i="3"/>
  <c r="G26" i="3"/>
  <c r="G24" i="3"/>
  <c r="D24" i="2"/>
  <c r="F24" i="2"/>
  <c r="D16" i="2" a="1"/>
  <c r="E16" i="2" s="1"/>
  <c r="I21" i="2"/>
  <c r="G29" i="2"/>
  <c r="I29" i="2" s="1"/>
  <c r="M29" i="2"/>
  <c r="C29" i="2"/>
  <c r="K29" i="2" s="1"/>
  <c r="B58" i="2"/>
  <c r="B75" i="2" s="1"/>
  <c r="E75" i="2" s="1"/>
  <c r="F75" i="2" s="1"/>
  <c r="F28" i="2"/>
  <c r="I28" i="2" s="1"/>
  <c r="E22" i="2"/>
  <c r="M22" i="2"/>
  <c r="G22" i="2"/>
  <c r="F22" i="2"/>
  <c r="H22" i="2"/>
  <c r="D22" i="2"/>
  <c r="D73" i="2"/>
  <c r="F73" i="2" s="1"/>
  <c r="E74" i="2"/>
  <c r="B53" i="2"/>
  <c r="B72" i="2" s="1"/>
  <c r="E72" i="2" s="1"/>
  <c r="F25" i="2"/>
  <c r="I25" i="2" s="1"/>
  <c r="B56" i="2"/>
  <c r="B74" i="2" s="1"/>
  <c r="D74" i="2" s="1"/>
  <c r="F74" i="2" s="1"/>
  <c r="F23" i="2"/>
  <c r="F26" i="2"/>
  <c r="F35" i="2"/>
  <c r="F37" i="2"/>
  <c r="F39" i="2"/>
  <c r="F41" i="2"/>
  <c r="D23" i="2"/>
  <c r="D26" i="2"/>
  <c r="D2" i="1"/>
  <c r="D3" i="1"/>
  <c r="D4" i="1"/>
  <c r="E4" i="1" s="1"/>
  <c r="D5" i="1"/>
  <c r="E5" i="1" s="1"/>
  <c r="K5" i="1"/>
  <c r="M5" i="1" s="1"/>
  <c r="K4" i="1"/>
  <c r="M4" i="1" s="1"/>
  <c r="D6" i="1"/>
  <c r="E6" i="1" s="1"/>
  <c r="K6" i="1"/>
  <c r="D7" i="1"/>
  <c r="E7" i="1" s="1"/>
  <c r="K8" i="1"/>
  <c r="M8" i="1" s="1"/>
  <c r="G61" i="3" l="1"/>
  <c r="H31" i="3"/>
  <c r="H61" i="3"/>
  <c r="D61" i="3"/>
  <c r="I61" i="3" s="1"/>
  <c r="J61" i="3" s="1"/>
  <c r="K61" i="3" s="1"/>
  <c r="E31" i="3"/>
  <c r="F61" i="3"/>
  <c r="I24" i="3"/>
  <c r="I26" i="3"/>
  <c r="G31" i="3"/>
  <c r="G32" i="3" s="1"/>
  <c r="I53" i="3"/>
  <c r="J53" i="3" s="1"/>
  <c r="K53" i="3" s="1"/>
  <c r="M53" i="3" s="1"/>
  <c r="I56" i="3"/>
  <c r="J56" i="3" s="1"/>
  <c r="K56" i="3" s="1"/>
  <c r="M56" i="3" s="1"/>
  <c r="I54" i="3"/>
  <c r="J54" i="3" s="1"/>
  <c r="K54" i="3" s="1"/>
  <c r="M54" i="3" s="1"/>
  <c r="H32" i="3"/>
  <c r="I23" i="3"/>
  <c r="G16" i="2"/>
  <c r="G17" i="2" s="1"/>
  <c r="G18" i="2" s="1"/>
  <c r="D16" i="2"/>
  <c r="D48" i="2" s="1"/>
  <c r="D49" i="2" s="1"/>
  <c r="D50" i="2" s="1"/>
  <c r="H16" i="2"/>
  <c r="F16" i="2"/>
  <c r="F48" i="2" s="1"/>
  <c r="F49" i="2" s="1"/>
  <c r="F50" i="2" s="1"/>
  <c r="D72" i="2"/>
  <c r="F72" i="2" s="1"/>
  <c r="E76" i="2"/>
  <c r="F31" i="2"/>
  <c r="F32" i="2" s="1"/>
  <c r="D31" i="2"/>
  <c r="D32" i="2" s="1"/>
  <c r="I22" i="2"/>
  <c r="F17" i="2"/>
  <c r="G48" i="2"/>
  <c r="G49" i="2" s="1"/>
  <c r="G50" i="2" s="1"/>
  <c r="H48" i="2"/>
  <c r="H49" i="2" s="1"/>
  <c r="H50" i="2" s="1"/>
  <c r="H17" i="2"/>
  <c r="H18" i="2" s="1"/>
  <c r="E17" i="2"/>
  <c r="E18" i="2" s="1"/>
  <c r="E48" i="2"/>
  <c r="E49" i="2" s="1"/>
  <c r="E50" i="2" s="1"/>
  <c r="E3" i="1"/>
  <c r="K7" i="1"/>
  <c r="M7" i="1" s="1"/>
  <c r="M6" i="1"/>
  <c r="K53" i="1"/>
  <c r="I31" i="3" l="1"/>
  <c r="E32" i="3"/>
  <c r="D17" i="2"/>
  <c r="D76" i="2"/>
  <c r="F76" i="2" s="1"/>
  <c r="G76" i="2" s="1"/>
  <c r="H76" i="2" s="1"/>
  <c r="E42" i="2"/>
  <c r="E40" i="2"/>
  <c r="E38" i="2"/>
  <c r="E36" i="2"/>
  <c r="E24" i="2"/>
  <c r="E41" i="2"/>
  <c r="E39" i="2"/>
  <c r="E37" i="2"/>
  <c r="E35" i="2"/>
  <c r="E27" i="2"/>
  <c r="I27" i="2" s="1"/>
  <c r="E23" i="2"/>
  <c r="E26" i="2"/>
  <c r="G39" i="2"/>
  <c r="G37" i="2"/>
  <c r="G42" i="2"/>
  <c r="G40" i="2"/>
  <c r="G38" i="2"/>
  <c r="G36" i="2"/>
  <c r="G41" i="2"/>
  <c r="G35" i="2"/>
  <c r="G23" i="2"/>
  <c r="G24" i="2"/>
  <c r="G26" i="2"/>
  <c r="G53" i="2"/>
  <c r="G56" i="2"/>
  <c r="G54" i="2"/>
  <c r="H41" i="2"/>
  <c r="H39" i="2"/>
  <c r="H37" i="2"/>
  <c r="H35" i="2"/>
  <c r="H40" i="2"/>
  <c r="H38" i="2"/>
  <c r="H36" i="2"/>
  <c r="H24" i="2"/>
  <c r="H42" i="2"/>
  <c r="H30" i="2"/>
  <c r="I30" i="2" s="1"/>
  <c r="H23" i="2"/>
  <c r="H26" i="2"/>
  <c r="F56" i="2"/>
  <c r="F58" i="2"/>
  <c r="I58" i="2" s="1"/>
  <c r="F53" i="2"/>
  <c r="E57" i="2"/>
  <c r="I57" i="2" s="1"/>
  <c r="E54" i="2"/>
  <c r="E56" i="2"/>
  <c r="H54" i="2"/>
  <c r="H60" i="2"/>
  <c r="I60" i="2" s="1"/>
  <c r="H53" i="2"/>
  <c r="D53" i="2"/>
  <c r="D56" i="2"/>
  <c r="D54" i="2"/>
  <c r="K51" i="1"/>
  <c r="M51" i="1" s="1"/>
  <c r="C50" i="1"/>
  <c r="K50" i="1" s="1"/>
  <c r="H31" i="2" l="1"/>
  <c r="H32" i="2" s="1"/>
  <c r="F61" i="2"/>
  <c r="E61" i="2"/>
  <c r="G61" i="2"/>
  <c r="H61" i="2"/>
  <c r="I53" i="2"/>
  <c r="J53" i="2" s="1"/>
  <c r="K53" i="2" s="1"/>
  <c r="M53" i="2" s="1"/>
  <c r="I24" i="2"/>
  <c r="I54" i="2"/>
  <c r="J54" i="2" s="1"/>
  <c r="K54" i="2" s="1"/>
  <c r="M54" i="2" s="1"/>
  <c r="E31" i="2"/>
  <c r="I56" i="2"/>
  <c r="J56" i="2" s="1"/>
  <c r="K56" i="2" s="1"/>
  <c r="M56" i="2" s="1"/>
  <c r="G31" i="2"/>
  <c r="G32" i="2" s="1"/>
  <c r="I26" i="2"/>
  <c r="K26" i="2" s="1"/>
  <c r="M26" i="2" s="1"/>
  <c r="D61" i="2"/>
  <c r="I23" i="2"/>
  <c r="B49" i="1"/>
  <c r="B78" i="1" s="1"/>
  <c r="F25" i="1"/>
  <c r="D25" i="1"/>
  <c r="B21" i="1"/>
  <c r="F78" i="1" l="1"/>
  <c r="D78" i="1"/>
  <c r="I31" i="2"/>
  <c r="I61" i="2"/>
  <c r="J61" i="2" s="1"/>
  <c r="K61" i="2" s="1"/>
  <c r="E32" i="2"/>
  <c r="E21" i="1"/>
  <c r="F21" i="1"/>
  <c r="G21" i="1"/>
  <c r="D21" i="1"/>
  <c r="H21" i="1"/>
  <c r="K21" i="1" l="1"/>
  <c r="K22" i="1"/>
  <c r="L22" i="1" s="1"/>
  <c r="K23" i="1"/>
  <c r="L23" i="1" s="1"/>
  <c r="K26" i="1"/>
  <c r="K28" i="1"/>
  <c r="K29" i="1"/>
  <c r="B24" i="1"/>
  <c r="B22" i="1"/>
  <c r="B26" i="1"/>
  <c r="C24" i="1" l="1"/>
  <c r="K24" i="1" s="1"/>
  <c r="D24" i="1"/>
  <c r="H24" i="1"/>
  <c r="E24" i="1"/>
  <c r="F24" i="1"/>
  <c r="G24" i="1"/>
  <c r="B47" i="1"/>
  <c r="B76" i="1" s="1"/>
  <c r="D23" i="1"/>
  <c r="B51" i="1"/>
  <c r="B80" i="1" s="1"/>
  <c r="F80" i="1" s="1"/>
  <c r="F26" i="1"/>
  <c r="B46" i="1"/>
  <c r="B75" i="1" s="1"/>
  <c r="F22" i="1"/>
  <c r="D22" i="1"/>
  <c r="B53" i="1"/>
  <c r="B82" i="1" s="1"/>
  <c r="B27" i="1"/>
  <c r="B50" i="1"/>
  <c r="B79" i="1" s="1"/>
  <c r="D75" i="1" l="1"/>
  <c r="F75" i="1"/>
  <c r="F83" i="1" s="1"/>
  <c r="D76" i="1"/>
  <c r="I80" i="1"/>
  <c r="C27" i="1"/>
  <c r="K27" i="1" s="1"/>
  <c r="G27" i="1"/>
  <c r="D16" i="1" a="1"/>
  <c r="D83" i="1" l="1"/>
  <c r="D16" i="1"/>
  <c r="G16" i="1"/>
  <c r="F16" i="1"/>
  <c r="E16" i="1"/>
  <c r="H16" i="1"/>
  <c r="D17" i="1" l="1"/>
  <c r="D42" i="1"/>
  <c r="G17" i="1"/>
  <c r="G18" i="1" s="1"/>
  <c r="G41" i="1"/>
  <c r="G42" i="1" s="1"/>
  <c r="G43" i="1" s="1"/>
  <c r="H17" i="1"/>
  <c r="H18" i="1" s="1"/>
  <c r="H42" i="1"/>
  <c r="E17" i="1"/>
  <c r="E18" i="1" s="1"/>
  <c r="E41" i="1"/>
  <c r="E42" i="1" s="1"/>
  <c r="E43" i="1" s="1"/>
  <c r="F17" i="1"/>
  <c r="F42" i="1"/>
  <c r="I27" i="1"/>
  <c r="M27" i="1" s="1"/>
  <c r="D29" i="1"/>
  <c r="G22" i="1" l="1"/>
  <c r="G34" i="1"/>
  <c r="G33" i="1"/>
  <c r="E23" i="1"/>
  <c r="E33" i="1"/>
  <c r="E34" i="1"/>
  <c r="E35" i="1" s="1"/>
  <c r="H23" i="1"/>
  <c r="H33" i="1"/>
  <c r="H34" i="1"/>
  <c r="H26" i="1"/>
  <c r="I26" i="1" s="1"/>
  <c r="M26" i="1" s="1"/>
  <c r="E78" i="1"/>
  <c r="E79" i="1"/>
  <c r="I79" i="1" s="1"/>
  <c r="E76" i="1"/>
  <c r="G78" i="1"/>
  <c r="G76" i="1"/>
  <c r="G75" i="1"/>
  <c r="I75" i="1" s="1"/>
  <c r="K75" i="1" s="1"/>
  <c r="M75" i="1" s="1"/>
  <c r="G25" i="1"/>
  <c r="H25" i="1"/>
  <c r="I28" i="1"/>
  <c r="M28" i="1" s="1"/>
  <c r="H22" i="1"/>
  <c r="G23" i="1"/>
  <c r="E25" i="1"/>
  <c r="E50" i="1"/>
  <c r="I50" i="1" s="1"/>
  <c r="E49" i="1"/>
  <c r="E47" i="1"/>
  <c r="G49" i="1"/>
  <c r="G47" i="1"/>
  <c r="G46" i="1"/>
  <c r="E22" i="1"/>
  <c r="F49" i="1"/>
  <c r="F51" i="1"/>
  <c r="I51" i="1" s="1"/>
  <c r="F46" i="1"/>
  <c r="I53" i="1"/>
  <c r="D49" i="1"/>
  <c r="D47" i="1"/>
  <c r="D46" i="1"/>
  <c r="D30" i="1"/>
  <c r="F29" i="1"/>
  <c r="F30" i="1" s="1"/>
  <c r="I21" i="1"/>
  <c r="M21" i="1" s="1"/>
  <c r="I24" i="1"/>
  <c r="M24" i="1" s="1"/>
  <c r="I22" i="1" l="1"/>
  <c r="M22" i="1" s="1"/>
  <c r="G35" i="1"/>
  <c r="I23" i="1"/>
  <c r="M23" i="1" s="1"/>
  <c r="H35" i="1"/>
  <c r="H29" i="1" s="1"/>
  <c r="H30" i="1" s="1"/>
  <c r="G29" i="1"/>
  <c r="G30" i="1" s="1"/>
  <c r="E83" i="1"/>
  <c r="I76" i="1"/>
  <c r="G83" i="1"/>
  <c r="I78" i="1"/>
  <c r="K78" i="1" s="1"/>
  <c r="M78" i="1" s="1"/>
  <c r="I25" i="1"/>
  <c r="K25" i="1" s="1"/>
  <c r="F54" i="1"/>
  <c r="E54" i="1"/>
  <c r="H54" i="1"/>
  <c r="I49" i="1"/>
  <c r="J49" i="1" s="1"/>
  <c r="K49" i="1" s="1"/>
  <c r="M49" i="1" s="1"/>
  <c r="E29" i="1"/>
  <c r="E30" i="1" s="1"/>
  <c r="I47" i="1"/>
  <c r="K47" i="1" s="1"/>
  <c r="M47" i="1" s="1"/>
  <c r="D54" i="1"/>
  <c r="G54" i="1"/>
  <c r="I46" i="1"/>
  <c r="J46" i="1" s="1"/>
  <c r="K46" i="1" s="1"/>
  <c r="M46" i="1" s="1"/>
  <c r="M25" i="1" l="1"/>
  <c r="L25" i="1"/>
  <c r="I83" i="1"/>
  <c r="J83" i="1" s="1"/>
  <c r="K83" i="1" s="1"/>
  <c r="F88" i="1"/>
  <c r="D58" i="1"/>
  <c r="K32" i="1"/>
  <c r="I54" i="1"/>
  <c r="J54" i="1" s="1"/>
  <c r="K54" i="1" s="1"/>
  <c r="I29" i="1"/>
</calcChain>
</file>

<file path=xl/comments1.xml><?xml version="1.0" encoding="utf-8"?>
<comments xmlns="http://schemas.openxmlformats.org/spreadsheetml/2006/main">
  <authors>
    <author>Tobias Opialla</author>
  </authors>
  <commentList>
    <comment ref="J20" authorId="0" shapeId="0">
      <text>
        <r>
          <rPr>
            <b/>
            <sz val="9"/>
            <color indexed="81"/>
            <rFont val="Tahoma"/>
            <family val="2"/>
          </rPr>
          <t>Tobias Opialla:</t>
        </r>
        <r>
          <rPr>
            <sz val="9"/>
            <color indexed="81"/>
            <rFont val="Tahoma"/>
            <family val="2"/>
          </rPr>
          <t xml:space="preserve">
type here some uprounded volumes, so you can pipet the volumes of stock solutions needed (usually 5-10% more than actually needed)</t>
        </r>
      </text>
    </comment>
    <comment ref="L20" authorId="0" shapeId="0">
      <text>
        <r>
          <rPr>
            <b/>
            <sz val="9"/>
            <color indexed="81"/>
            <rFont val="Tahoma"/>
            <family val="2"/>
          </rPr>
          <t>Tobias Opialla:</t>
        </r>
        <r>
          <rPr>
            <sz val="9"/>
            <color indexed="81"/>
            <rFont val="Tahoma"/>
            <family val="2"/>
          </rPr>
          <t xml:space="preserve">
type here the amounts of substance you actually wheighed</t>
        </r>
      </text>
    </comment>
    <comment ref="A34" authorId="0" shapeId="0">
      <text>
        <r>
          <rPr>
            <b/>
            <sz val="9"/>
            <color indexed="81"/>
            <rFont val="Tahoma"/>
            <family val="2"/>
          </rPr>
          <t>Tobias Opialla:</t>
        </r>
        <r>
          <rPr>
            <sz val="9"/>
            <color indexed="81"/>
            <rFont val="Tahoma"/>
            <family val="2"/>
          </rPr>
          <t xml:space="preserve">
enter volumes of FCS and other supplements usually used per 500 mL of final media.
For example stock solution of MG (I don't know how much volume you usually put)
The amount of total media and media without supplement is already accounted for in the spreadsheet</t>
        </r>
      </text>
    </comment>
  </commentList>
</comments>
</file>

<file path=xl/comments2.xml><?xml version="1.0" encoding="utf-8"?>
<comments xmlns="http://schemas.openxmlformats.org/spreadsheetml/2006/main">
  <authors>
    <author>Opialla, Tobias</author>
  </authors>
  <commentList>
    <comment ref="L4" authorId="0" shapeId="0">
      <text>
        <r>
          <rPr>
            <b/>
            <sz val="9"/>
            <color indexed="81"/>
            <rFont val="Tahoma"/>
            <charset val="1"/>
          </rPr>
          <t>Opialla, Tobias:</t>
        </r>
        <r>
          <rPr>
            <sz val="9"/>
            <color indexed="81"/>
            <rFont val="Tahoma"/>
            <charset val="1"/>
          </rPr>
          <t xml:space="preserve">
Erroneously thought, the spreadsheet would not automatically correct for supplement. But it does. That's why for the main experiment, I took the other (final concentration) values.</t>
        </r>
      </text>
    </comment>
  </commentList>
</comments>
</file>

<file path=xl/sharedStrings.xml><?xml version="1.0" encoding="utf-8"?>
<sst xmlns="http://schemas.openxmlformats.org/spreadsheetml/2006/main" count="620" uniqueCount="112">
  <si>
    <t>medium Type</t>
  </si>
  <si>
    <r>
      <rPr>
        <i/>
        <sz val="11"/>
        <color theme="1"/>
        <rFont val="Calibri"/>
        <family val="2"/>
        <scheme val="minor"/>
      </rPr>
      <t>V</t>
    </r>
    <r>
      <rPr>
        <vertAlign val="subscript"/>
        <sz val="11"/>
        <color theme="1"/>
        <rFont val="Calibri"/>
        <family val="2"/>
        <scheme val="minor"/>
      </rPr>
      <t>needed</t>
    </r>
  </si>
  <si>
    <t>12C</t>
  </si>
  <si>
    <t>13C Pal</t>
  </si>
  <si>
    <t>13C Pyr</t>
  </si>
  <si>
    <t>13C Gln</t>
  </si>
  <si>
    <r>
      <rPr>
        <i/>
        <sz val="11"/>
        <color theme="1"/>
        <rFont val="Calibri"/>
        <family val="2"/>
        <scheme val="minor"/>
      </rPr>
      <t>n</t>
    </r>
    <r>
      <rPr>
        <vertAlign val="subscript"/>
        <sz val="11"/>
        <color theme="1"/>
        <rFont val="Calibri"/>
        <family val="2"/>
        <scheme val="minor"/>
      </rPr>
      <t>used</t>
    </r>
  </si>
  <si>
    <r>
      <rPr>
        <i/>
        <sz val="11"/>
        <color theme="1"/>
        <rFont val="Calibri"/>
        <family val="2"/>
        <scheme val="minor"/>
      </rPr>
      <t>n</t>
    </r>
    <r>
      <rPr>
        <vertAlign val="subscript"/>
        <sz val="11"/>
        <color theme="1"/>
        <rFont val="Calibri"/>
        <family val="2"/>
        <scheme val="minor"/>
      </rPr>
      <t>Plates</t>
    </r>
  </si>
  <si>
    <t>12C*</t>
  </si>
  <si>
    <t>12C label**</t>
  </si>
  <si>
    <t>13C Gluc**</t>
  </si>
  <si>
    <r>
      <rPr>
        <i/>
        <sz val="11"/>
        <color theme="1"/>
        <rFont val="Calibri"/>
        <family val="2"/>
        <scheme val="minor"/>
      </rPr>
      <t>V</t>
    </r>
    <r>
      <rPr>
        <vertAlign val="subscript"/>
        <sz val="11"/>
        <color theme="1"/>
        <rFont val="Calibri"/>
        <family val="2"/>
        <scheme val="minor"/>
      </rPr>
      <t>prepare</t>
    </r>
  </si>
  <si>
    <t>12C-Gln</t>
  </si>
  <si>
    <t>12C-Glc</t>
  </si>
  <si>
    <t>12C-Pal</t>
  </si>
  <si>
    <t>12C-Pyr</t>
  </si>
  <si>
    <t>13C-Gln</t>
  </si>
  <si>
    <t>13C-Glc</t>
  </si>
  <si>
    <t>13C-Pal</t>
  </si>
  <si>
    <t>13C-Pyr</t>
  </si>
  <si>
    <t>12C-Arg</t>
  </si>
  <si>
    <t>Ø</t>
  </si>
  <si>
    <t>Supplement</t>
  </si>
  <si>
    <t>Except if noted all Volumes in mL!!!</t>
  </si>
  <si>
    <t>c soll mg/L</t>
  </si>
  <si>
    <t>c stock mg/mL</t>
  </si>
  <si>
    <t>Medium</t>
  </si>
  <si>
    <t>PBS</t>
  </si>
  <si>
    <r>
      <rPr>
        <i/>
        <sz val="11"/>
        <color theme="1"/>
        <rFont val="Calibri"/>
        <family val="2"/>
        <scheme val="minor"/>
      </rPr>
      <t>n</t>
    </r>
    <r>
      <rPr>
        <vertAlign val="subscript"/>
        <sz val="11"/>
        <color theme="1"/>
        <rFont val="Calibri"/>
        <family val="2"/>
        <scheme val="minor"/>
      </rPr>
      <t>Media</t>
    </r>
  </si>
  <si>
    <r>
      <rPr>
        <i/>
        <sz val="11"/>
        <color theme="1"/>
        <rFont val="Calibri"/>
        <family val="2"/>
        <scheme val="minor"/>
      </rPr>
      <t>n</t>
    </r>
    <r>
      <rPr>
        <vertAlign val="subscript"/>
        <sz val="11"/>
        <color theme="1"/>
        <rFont val="Calibri"/>
        <family val="2"/>
        <scheme val="minor"/>
      </rPr>
      <t>Media,sum</t>
    </r>
  </si>
  <si>
    <r>
      <rPr>
        <i/>
        <sz val="11"/>
        <color theme="1"/>
        <rFont val="Calibri"/>
        <family val="2"/>
        <scheme val="minor"/>
      </rPr>
      <t>V</t>
    </r>
    <r>
      <rPr>
        <vertAlign val="subscript"/>
        <sz val="11"/>
        <color theme="1"/>
        <rFont val="Calibri"/>
        <family val="2"/>
        <scheme val="minor"/>
      </rPr>
      <t>Media</t>
    </r>
    <r>
      <rPr>
        <sz val="11"/>
        <color theme="1"/>
        <rFont val="Calibri"/>
        <family val="2"/>
        <scheme val="minor"/>
      </rPr>
      <t>/plate</t>
    </r>
  </si>
  <si>
    <t>mL</t>
  </si>
  <si>
    <r>
      <rPr>
        <i/>
        <sz val="11"/>
        <color theme="1"/>
        <rFont val="Calibri"/>
        <family val="2"/>
        <scheme val="minor"/>
      </rPr>
      <t>n</t>
    </r>
    <r>
      <rPr>
        <vertAlign val="subscript"/>
        <sz val="11"/>
        <color theme="1"/>
        <rFont val="Calibri"/>
        <family val="2"/>
        <scheme val="minor"/>
      </rPr>
      <t>Extra</t>
    </r>
  </si>
  <si>
    <t>Fetuin</t>
  </si>
  <si>
    <t>EGF</t>
  </si>
  <si>
    <t>bFGF</t>
  </si>
  <si>
    <t>Insulin</t>
  </si>
  <si>
    <t>Dexamethasone</t>
  </si>
  <si>
    <t>Antibiotics</t>
  </si>
  <si>
    <r>
      <rPr>
        <i/>
        <sz val="11"/>
        <color rgb="FF000000"/>
        <rFont val="Calibri"/>
        <family val="2"/>
      </rPr>
      <t>V</t>
    </r>
    <r>
      <rPr>
        <vertAlign val="subscript"/>
        <sz val="11"/>
        <color rgb="FF000000"/>
        <rFont val="Calibri"/>
        <family val="2"/>
      </rPr>
      <t>Stock</t>
    </r>
  </si>
  <si>
    <r>
      <rPr>
        <i/>
        <sz val="11"/>
        <color rgb="FF000000"/>
        <rFont val="Calibri"/>
        <family val="2"/>
      </rPr>
      <t>V</t>
    </r>
    <r>
      <rPr>
        <vertAlign val="subscript"/>
        <sz val="11"/>
        <color rgb="FF000000"/>
        <rFont val="Calibri"/>
        <family val="2"/>
      </rPr>
      <t>soll</t>
    </r>
    <r>
      <rPr>
        <sz val="11"/>
        <color rgb="FF000000"/>
        <rFont val="Calibri"/>
        <family val="2"/>
        <charset val="1"/>
      </rPr>
      <t>/1000mL</t>
    </r>
  </si>
  <si>
    <t>Gluc</t>
  </si>
  <si>
    <t>factor</t>
  </si>
  <si>
    <r>
      <rPr>
        <i/>
        <sz val="11"/>
        <color theme="1"/>
        <rFont val="Calibri"/>
        <family val="2"/>
        <scheme val="minor"/>
      </rPr>
      <t>M</t>
    </r>
    <r>
      <rPr>
        <vertAlign val="subscript"/>
        <sz val="11"/>
        <color theme="1"/>
        <rFont val="Calibri"/>
        <family val="2"/>
        <scheme val="minor"/>
      </rPr>
      <t>R</t>
    </r>
    <r>
      <rPr>
        <vertAlign val="superscript"/>
        <sz val="11"/>
        <color theme="1"/>
        <rFont val="Calibri"/>
        <family val="2"/>
        <scheme val="minor"/>
      </rPr>
      <t>12</t>
    </r>
    <r>
      <rPr>
        <sz val="11"/>
        <color theme="1"/>
        <rFont val="Calibri"/>
        <family val="2"/>
        <scheme val="minor"/>
      </rPr>
      <t>C</t>
    </r>
  </si>
  <si>
    <r>
      <rPr>
        <i/>
        <sz val="11"/>
        <color theme="1"/>
        <rFont val="Calibri"/>
        <family val="2"/>
        <scheme val="minor"/>
      </rPr>
      <t>M</t>
    </r>
    <r>
      <rPr>
        <vertAlign val="subscript"/>
        <sz val="11"/>
        <color theme="1"/>
        <rFont val="Calibri"/>
        <family val="2"/>
        <scheme val="minor"/>
      </rPr>
      <t>R</t>
    </r>
    <r>
      <rPr>
        <vertAlign val="superscript"/>
        <sz val="11"/>
        <color theme="1"/>
        <rFont val="Calibri"/>
        <family val="2"/>
        <scheme val="minor"/>
      </rPr>
      <t>13</t>
    </r>
    <r>
      <rPr>
        <sz val="11"/>
        <color theme="1"/>
        <rFont val="Calibri"/>
        <family val="2"/>
        <scheme val="minor"/>
      </rPr>
      <t>C</t>
    </r>
  </si>
  <si>
    <r>
      <rPr>
        <i/>
        <sz val="11"/>
        <color theme="1"/>
        <rFont val="Calibri"/>
        <family val="2"/>
        <scheme val="minor"/>
      </rPr>
      <t>c</t>
    </r>
    <r>
      <rPr>
        <vertAlign val="superscript"/>
        <sz val="11"/>
        <color theme="1"/>
        <rFont val="Calibri"/>
        <family val="2"/>
        <scheme val="minor"/>
      </rPr>
      <t>12</t>
    </r>
    <r>
      <rPr>
        <sz val="11"/>
        <color theme="1"/>
        <rFont val="Calibri"/>
        <family val="2"/>
        <scheme val="minor"/>
      </rPr>
      <t>C; mg/L</t>
    </r>
  </si>
  <si>
    <r>
      <rPr>
        <i/>
        <sz val="11"/>
        <color theme="1"/>
        <rFont val="Calibri"/>
        <family val="2"/>
        <scheme val="minor"/>
      </rPr>
      <t>c</t>
    </r>
    <r>
      <rPr>
        <vertAlign val="superscript"/>
        <sz val="11"/>
        <color theme="1"/>
        <rFont val="Calibri"/>
        <family val="2"/>
        <scheme val="minor"/>
      </rPr>
      <t>13</t>
    </r>
    <r>
      <rPr>
        <sz val="11"/>
        <color theme="1"/>
        <rFont val="Calibri"/>
        <family val="2"/>
        <scheme val="minor"/>
      </rPr>
      <t>C; mg/L</t>
    </r>
  </si>
  <si>
    <t>Gln</t>
  </si>
  <si>
    <t>Pal</t>
  </si>
  <si>
    <r>
      <rPr>
        <i/>
        <sz val="11"/>
        <color theme="1"/>
        <rFont val="Calibri"/>
        <family val="2"/>
        <scheme val="minor"/>
      </rPr>
      <t>V</t>
    </r>
    <r>
      <rPr>
        <vertAlign val="subscript"/>
        <sz val="11"/>
        <color theme="1"/>
        <rFont val="Calibri"/>
        <family val="2"/>
        <scheme val="minor"/>
      </rPr>
      <t>supp</t>
    </r>
  </si>
  <si>
    <r>
      <rPr>
        <i/>
        <sz val="11"/>
        <color theme="1"/>
        <rFont val="Calibri"/>
        <family val="2"/>
        <scheme val="minor"/>
      </rPr>
      <t>V</t>
    </r>
    <r>
      <rPr>
        <vertAlign val="subscript"/>
        <sz val="11"/>
        <color theme="1"/>
        <rFont val="Calibri"/>
        <family val="2"/>
        <scheme val="minor"/>
      </rPr>
      <t>stock,needed</t>
    </r>
  </si>
  <si>
    <r>
      <rPr>
        <i/>
        <sz val="11"/>
        <color theme="1"/>
        <rFont val="Calibri"/>
        <family val="2"/>
        <scheme val="minor"/>
      </rPr>
      <t>V</t>
    </r>
    <r>
      <rPr>
        <vertAlign val="subscript"/>
        <sz val="11"/>
        <color theme="1"/>
        <rFont val="Calibri"/>
        <family val="2"/>
        <scheme val="minor"/>
      </rPr>
      <t>stock,prepare</t>
    </r>
  </si>
  <si>
    <r>
      <rPr>
        <i/>
        <sz val="11"/>
        <color theme="1"/>
        <rFont val="Calibri"/>
        <family val="2"/>
        <scheme val="minor"/>
      </rPr>
      <t>V</t>
    </r>
    <r>
      <rPr>
        <vertAlign val="subscript"/>
        <sz val="11"/>
        <color theme="1"/>
        <rFont val="Calibri"/>
        <family val="2"/>
        <scheme val="minor"/>
      </rPr>
      <t>nosupp</t>
    </r>
  </si>
  <si>
    <t>filter into sterile vial</t>
  </si>
  <si>
    <r>
      <rPr>
        <i/>
        <sz val="11"/>
        <color theme="1"/>
        <rFont val="Calibri"/>
        <family val="2"/>
        <scheme val="minor"/>
      </rPr>
      <t>m</t>
    </r>
    <r>
      <rPr>
        <vertAlign val="subscript"/>
        <sz val="11"/>
        <color theme="1"/>
        <rFont val="Calibri"/>
        <family val="2"/>
        <scheme val="minor"/>
      </rPr>
      <t>Einwaage</t>
    </r>
    <r>
      <rPr>
        <sz val="11"/>
        <color theme="1"/>
        <rFont val="Calibri"/>
        <family val="2"/>
        <scheme val="minor"/>
      </rPr>
      <t xml:space="preserve"> (mg)</t>
    </r>
  </si>
  <si>
    <r>
      <rPr>
        <i/>
        <sz val="11"/>
        <color theme="1"/>
        <rFont val="Calibri"/>
        <family val="2"/>
        <scheme val="minor"/>
      </rPr>
      <t>m</t>
    </r>
    <r>
      <rPr>
        <vertAlign val="subscript"/>
        <sz val="11"/>
        <color theme="1"/>
        <rFont val="Calibri"/>
        <family val="2"/>
        <scheme val="minor"/>
      </rPr>
      <t>ist</t>
    </r>
    <r>
      <rPr>
        <sz val="11"/>
        <color theme="1"/>
        <rFont val="Calibri"/>
        <family val="2"/>
        <scheme val="minor"/>
      </rPr>
      <t xml:space="preserve"> (mg)</t>
    </r>
  </si>
  <si>
    <r>
      <rPr>
        <i/>
        <sz val="11"/>
        <color theme="1"/>
        <rFont val="Calibri"/>
        <family val="2"/>
        <scheme val="minor"/>
      </rPr>
      <t>V</t>
    </r>
    <r>
      <rPr>
        <vertAlign val="subscript"/>
        <sz val="11"/>
        <color theme="1"/>
        <rFont val="Calibri"/>
        <family val="2"/>
        <scheme val="minor"/>
      </rPr>
      <t>soll/muss</t>
    </r>
  </si>
  <si>
    <r>
      <rPr>
        <i/>
        <sz val="11"/>
        <color rgb="FF000000"/>
        <rFont val="Calibri"/>
        <family val="2"/>
      </rPr>
      <t>V</t>
    </r>
    <r>
      <rPr>
        <vertAlign val="subscript"/>
        <sz val="11"/>
        <color rgb="FF000000"/>
        <rFont val="Calibri"/>
        <family val="2"/>
      </rPr>
      <t>soll</t>
    </r>
    <r>
      <rPr>
        <sz val="11"/>
        <color rgb="FF000000"/>
        <rFont val="Calibri"/>
        <family val="2"/>
        <charset val="1"/>
      </rPr>
      <t>/500mL</t>
    </r>
  </si>
  <si>
    <t>mix all supplements into 75mL dialysed FCS</t>
  </si>
  <si>
    <t>12C-Lys (xHCl)</t>
  </si>
  <si>
    <t>Pyr (Nasalt)</t>
  </si>
  <si>
    <r>
      <rPr>
        <i/>
        <sz val="11"/>
        <color theme="1"/>
        <rFont val="Calibri"/>
        <family val="2"/>
        <scheme val="minor"/>
      </rPr>
      <t>V</t>
    </r>
    <r>
      <rPr>
        <vertAlign val="subscript"/>
        <sz val="11"/>
        <color theme="1"/>
        <rFont val="Calibri"/>
        <family val="2"/>
        <scheme val="minor"/>
      </rPr>
      <t>PBS</t>
    </r>
    <r>
      <rPr>
        <sz val="11"/>
        <color theme="1"/>
        <rFont val="Calibri"/>
        <family val="2"/>
        <scheme val="minor"/>
      </rPr>
      <t>/plate</t>
    </r>
  </si>
  <si>
    <t>changed afterwards because forgotten about Pal, washed with 12C</t>
  </si>
  <si>
    <t>place everything in Erlenmeyer flask, sterile filtered, add Supplement, add to plates, keep rest in falcons for media change 4h before labelstart</t>
  </si>
  <si>
    <t>sterile</t>
  </si>
  <si>
    <t>unsterile</t>
  </si>
  <si>
    <t>*48h, 24h, 4h before</t>
  </si>
  <si>
    <t>Lys</t>
  </si>
  <si>
    <t>Glc</t>
  </si>
  <si>
    <t>NaPyr</t>
  </si>
  <si>
    <t>CHECKFINALCONCENTRATIONS!!! VS SHOULDBE</t>
  </si>
  <si>
    <t>HEPES</t>
  </si>
  <si>
    <r>
      <rPr>
        <i/>
        <sz val="11"/>
        <color theme="1"/>
        <rFont val="Calibri"/>
        <family val="2"/>
        <scheme val="minor"/>
      </rPr>
      <t>n</t>
    </r>
    <r>
      <rPr>
        <vertAlign val="subscript"/>
        <sz val="11"/>
        <color theme="1"/>
        <rFont val="Calibri"/>
        <family val="2"/>
        <scheme val="minor"/>
      </rPr>
      <t>HEPES,sum</t>
    </r>
  </si>
  <si>
    <t>HEPES blank</t>
  </si>
  <si>
    <r>
      <rPr>
        <i/>
        <sz val="11"/>
        <color theme="1"/>
        <rFont val="Calibri"/>
        <family val="2"/>
        <scheme val="minor"/>
      </rPr>
      <t>V</t>
    </r>
    <r>
      <rPr>
        <vertAlign val="subscript"/>
        <sz val="11"/>
        <color theme="1"/>
        <rFont val="Calibri"/>
        <family val="2"/>
        <scheme val="minor"/>
      </rPr>
      <t>HEPES</t>
    </r>
    <r>
      <rPr>
        <sz val="11"/>
        <color theme="1"/>
        <rFont val="Calibri"/>
        <family val="2"/>
        <scheme val="minor"/>
      </rPr>
      <t>/plate</t>
    </r>
  </si>
  <si>
    <t>Sum blank media:</t>
  </si>
  <si>
    <t>Sum blank HEPES:</t>
  </si>
  <si>
    <r>
      <rPr>
        <i/>
        <sz val="11"/>
        <color theme="1"/>
        <rFont val="Calibri"/>
        <family val="2"/>
        <scheme val="minor"/>
      </rPr>
      <t>m</t>
    </r>
    <r>
      <rPr>
        <sz val="11"/>
        <color theme="1"/>
        <rFont val="Calibri"/>
        <family val="2"/>
        <scheme val="minor"/>
      </rPr>
      <t xml:space="preserve"> (NaCl)</t>
    </r>
  </si>
  <si>
    <t>g</t>
  </si>
  <si>
    <r>
      <rPr>
        <i/>
        <sz val="11"/>
        <color theme="1"/>
        <rFont val="Calibri"/>
        <family val="2"/>
        <scheme val="minor"/>
      </rPr>
      <t>m</t>
    </r>
    <r>
      <rPr>
        <sz val="11"/>
        <color theme="1"/>
        <rFont val="Calibri"/>
        <family val="2"/>
        <scheme val="minor"/>
      </rPr>
      <t xml:space="preserve"> (HEPES)</t>
    </r>
  </si>
  <si>
    <t>soll V</t>
  </si>
  <si>
    <t>is V</t>
  </si>
  <si>
    <t>is c</t>
  </si>
  <si>
    <t>should be C</t>
  </si>
  <si>
    <t>is</t>
  </si>
  <si>
    <t>250+150+150</t>
  </si>
  <si>
    <t>mg</t>
  </si>
  <si>
    <t>* 24h, 4h before</t>
  </si>
  <si>
    <t>need more 12C because of setupchange with new labelling times</t>
  </si>
  <si>
    <t>make new 12C HEPES, mix, filter sterile (with flask filter, 0.22 µm)</t>
  </si>
  <si>
    <r>
      <t>Pyr (Na</t>
    </r>
    <r>
      <rPr>
        <vertAlign val="subscript"/>
        <sz val="11"/>
        <color theme="1"/>
        <rFont val="Calibri"/>
        <family val="2"/>
        <scheme val="minor"/>
      </rPr>
      <t>salt</t>
    </r>
    <r>
      <rPr>
        <sz val="11"/>
        <color theme="1"/>
        <rFont val="Calibri"/>
        <family val="2"/>
        <scheme val="minor"/>
      </rPr>
      <t>)</t>
    </r>
  </si>
  <si>
    <t>mshould (mg)</t>
  </si>
  <si>
    <r>
      <rPr>
        <i/>
        <sz val="11"/>
        <color theme="1"/>
        <rFont val="Calibri"/>
        <family val="2"/>
        <scheme val="minor"/>
      </rPr>
      <t>m</t>
    </r>
    <r>
      <rPr>
        <vertAlign val="subscript"/>
        <sz val="11"/>
        <color theme="1"/>
        <rFont val="Calibri"/>
        <family val="2"/>
        <scheme val="minor"/>
      </rPr>
      <t>should</t>
    </r>
    <r>
      <rPr>
        <sz val="11"/>
        <color theme="1"/>
        <rFont val="Calibri"/>
        <family val="2"/>
        <scheme val="minor"/>
      </rPr>
      <t xml:space="preserve"> (mg)</t>
    </r>
  </si>
  <si>
    <r>
      <rPr>
        <i/>
        <sz val="11"/>
        <color theme="1"/>
        <rFont val="Calibri"/>
        <family val="2"/>
        <scheme val="minor"/>
      </rPr>
      <t>m</t>
    </r>
    <r>
      <rPr>
        <vertAlign val="subscript"/>
        <sz val="11"/>
        <color theme="1"/>
        <rFont val="Calibri"/>
        <family val="2"/>
        <scheme val="minor"/>
      </rPr>
      <t>is</t>
    </r>
    <r>
      <rPr>
        <sz val="11"/>
        <color theme="1"/>
        <rFont val="Calibri"/>
        <family val="2"/>
        <scheme val="minor"/>
      </rPr>
      <t xml:space="preserve"> (mg)</t>
    </r>
  </si>
  <si>
    <r>
      <rPr>
        <i/>
        <sz val="11"/>
        <color theme="1"/>
        <rFont val="Calibri"/>
        <family val="2"/>
        <scheme val="minor"/>
      </rPr>
      <t>V</t>
    </r>
    <r>
      <rPr>
        <vertAlign val="subscript"/>
        <sz val="11"/>
        <color theme="1"/>
        <rFont val="Calibri"/>
        <family val="2"/>
        <scheme val="minor"/>
      </rPr>
      <t>dissolve</t>
    </r>
  </si>
  <si>
    <r>
      <rPr>
        <i/>
        <sz val="11"/>
        <color theme="1"/>
        <rFont val="Calibri"/>
        <family val="2"/>
        <scheme val="minor"/>
      </rPr>
      <t>c</t>
    </r>
    <r>
      <rPr>
        <vertAlign val="subscript"/>
        <sz val="11"/>
        <color theme="1"/>
        <rFont val="Calibri"/>
        <family val="2"/>
        <scheme val="minor"/>
      </rPr>
      <t>should be entered</t>
    </r>
  </si>
  <si>
    <r>
      <rPr>
        <i/>
        <sz val="11"/>
        <color theme="1"/>
        <rFont val="Calibri"/>
        <family val="2"/>
        <scheme val="minor"/>
      </rPr>
      <t>c</t>
    </r>
    <r>
      <rPr>
        <vertAlign val="subscript"/>
        <sz val="11"/>
        <color theme="1"/>
        <rFont val="Calibri"/>
        <family val="2"/>
        <scheme val="minor"/>
      </rPr>
      <t>current in column C</t>
    </r>
  </si>
  <si>
    <r>
      <rPr>
        <i/>
        <sz val="11"/>
        <color theme="1"/>
        <rFont val="Calibri"/>
        <family val="2"/>
        <scheme val="minor"/>
      </rPr>
      <t>V</t>
    </r>
    <r>
      <rPr>
        <vertAlign val="subscript"/>
        <sz val="11"/>
        <color theme="1"/>
        <rFont val="Calibri"/>
        <family val="2"/>
        <scheme val="minor"/>
      </rPr>
      <t>current in Column M</t>
    </r>
  </si>
  <si>
    <r>
      <rPr>
        <i/>
        <sz val="11"/>
        <color theme="1"/>
        <rFont val="Calibri"/>
        <family val="2"/>
        <scheme val="minor"/>
      </rPr>
      <t>V</t>
    </r>
    <r>
      <rPr>
        <vertAlign val="subscript"/>
        <sz val="11"/>
        <color theme="1"/>
        <rFont val="Calibri"/>
        <family val="2"/>
        <scheme val="minor"/>
      </rPr>
      <t>convenient</t>
    </r>
  </si>
  <si>
    <t>enter/copy values (as values)</t>
  </si>
  <si>
    <t>enter convenient volume</t>
  </si>
  <si>
    <t>gives concentration to be entered in column C, so everything matches again</t>
  </si>
  <si>
    <t>FCS</t>
  </si>
  <si>
    <t>KO-Media</t>
  </si>
  <si>
    <t>13C-Glc+MG</t>
  </si>
  <si>
    <t>12 Glc+MG</t>
  </si>
  <si>
    <t>12C-MG</t>
  </si>
  <si>
    <t>13C-Glc-MG</t>
  </si>
  <si>
    <t>MG</t>
  </si>
  <si>
    <r>
      <rPr>
        <i/>
        <sz val="11"/>
        <color theme="1"/>
        <rFont val="Calibri"/>
        <family val="2"/>
        <scheme val="minor"/>
      </rPr>
      <t>c</t>
    </r>
    <r>
      <rPr>
        <vertAlign val="subscript"/>
        <sz val="11"/>
        <color theme="1"/>
        <rFont val="Calibri"/>
        <family val="2"/>
        <scheme val="minor"/>
      </rPr>
      <t>shall</t>
    </r>
    <r>
      <rPr>
        <sz val="11"/>
        <color theme="1"/>
        <rFont val="Calibri"/>
        <family val="2"/>
        <scheme val="minor"/>
      </rPr>
      <t xml:space="preserve"> mg/L</t>
    </r>
  </si>
  <si>
    <r>
      <rPr>
        <i/>
        <sz val="11"/>
        <color rgb="FF000000"/>
        <rFont val="Calibri"/>
        <family val="2"/>
      </rPr>
      <t>c</t>
    </r>
    <r>
      <rPr>
        <vertAlign val="subscript"/>
        <sz val="11"/>
        <color rgb="FF000000"/>
        <rFont val="Calibri"/>
        <family val="2"/>
      </rPr>
      <t>stock</t>
    </r>
    <r>
      <rPr>
        <sz val="11"/>
        <color rgb="FF000000"/>
        <rFont val="Calibri"/>
        <family val="2"/>
        <charset val="1"/>
      </rPr>
      <t xml:space="preserve"> mg/mL</t>
    </r>
  </si>
  <si>
    <r>
      <rPr>
        <i/>
        <sz val="11"/>
        <color rgb="FF000000"/>
        <rFont val="Calibri"/>
        <family val="2"/>
      </rPr>
      <t>V</t>
    </r>
    <r>
      <rPr>
        <vertAlign val="subscript"/>
        <sz val="11"/>
        <color rgb="FF000000"/>
        <rFont val="Calibri"/>
        <family val="2"/>
      </rPr>
      <t>stock</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</si>
</sst>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000"/>
    <numFmt numFmtId="165" formatCode="0.00000"/>
    <numFmt numFmtId="166" formatCode="0.000"/>
  </numFmts>
  <fonts count="17" x14ac:knownFonts="1">
    <font>
      <sz val="11"/>
      <color theme="1"/>
      <name val="Calibri"/>
      <family val="2"/>
      <scheme val="minor"/>
    </font>
    <font>
      <vertAlign val="subscript"/>
      <sz val="11"/>
      <color theme="1"/>
      <name val="Calibri"/>
      <family val="2"/>
      <scheme val="minor"/>
    </font>
    <font>
      <i/>
      <sz val="11"/>
      <color theme="1"/>
      <name val="Calibri"/>
      <family val="2"/>
      <scheme val="minor"/>
    </font>
    <font>
      <sz val="11"/>
      <color rgb="FF000000"/>
      <name val="Calibri"/>
      <family val="2"/>
      <charset val="1"/>
    </font>
    <font>
      <i/>
      <sz val="11"/>
      <color rgb="FF000000"/>
      <name val="Calibri"/>
      <family val="2"/>
    </font>
    <font>
      <sz val="11"/>
      <color rgb="FF000000"/>
      <name val="Calibri"/>
      <family val="2"/>
    </font>
    <font>
      <vertAlign val="subscript"/>
      <sz val="11"/>
      <color rgb="FF000000"/>
      <name val="Calibri"/>
      <family val="2"/>
    </font>
    <font>
      <vertAlign val="superscript"/>
      <sz val="11"/>
      <color theme="1"/>
      <name val="Calibri"/>
      <family val="2"/>
      <scheme val="minor"/>
    </font>
    <font>
      <sz val="11"/>
      <color theme="0" tint="-0.499984740745262"/>
      <name val="Calibri"/>
      <family val="2"/>
      <scheme val="minor"/>
    </font>
    <font>
      <sz val="22"/>
      <color theme="1"/>
      <name val="Calibri"/>
      <family val="2"/>
      <scheme val="minor"/>
    </font>
    <font>
      <sz val="14"/>
      <color theme="1"/>
      <name val="Calibri"/>
      <family val="2"/>
      <scheme val="minor"/>
    </font>
    <font>
      <sz val="9"/>
      <color indexed="81"/>
      <name val="Tahoma"/>
      <charset val="1"/>
    </font>
    <font>
      <b/>
      <sz val="9"/>
      <color indexed="81"/>
      <name val="Tahoma"/>
      <charset val="1"/>
    </font>
    <font>
      <b/>
      <i/>
      <u/>
      <sz val="11"/>
      <color theme="1"/>
      <name val="Calibri"/>
      <family val="2"/>
      <scheme val="minor"/>
    </font>
    <font>
      <b/>
      <i/>
      <u/>
      <sz val="11"/>
      <color rgb="FF000000"/>
      <name val="Calibri"/>
      <family val="2"/>
    </font>
    <font>
      <sz val="9"/>
      <color indexed="81"/>
      <name val="Tahoma"/>
      <family val="2"/>
    </font>
    <font>
      <b/>
      <sz val="9"/>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rgb="FFCCC1DA"/>
      </patternFill>
    </fill>
    <fill>
      <patternFill patternType="solid">
        <fgColor theme="0" tint="-0.14999847407452621"/>
        <bgColor indexed="64"/>
      </patternFill>
    </fill>
  </fills>
  <borders count="27">
    <border>
      <left/>
      <right/>
      <top/>
      <bottom/>
      <diagonal/>
    </border>
    <border>
      <left style="thin">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style="medium">
        <color auto="1"/>
      </left>
      <right style="thin">
        <color auto="1"/>
      </right>
      <top/>
      <bottom/>
      <diagonal/>
    </border>
    <border>
      <left style="thin">
        <color auto="1"/>
      </left>
      <right/>
      <top style="medium">
        <color indexed="64"/>
      </top>
      <bottom style="thin">
        <color auto="1"/>
      </bottom>
      <diagonal/>
    </border>
    <border>
      <left style="medium">
        <color indexed="64"/>
      </left>
      <right style="thin">
        <color auto="1"/>
      </right>
      <top/>
      <bottom style="medium">
        <color indexed="64"/>
      </bottom>
      <diagonal/>
    </border>
    <border>
      <left/>
      <right/>
      <top/>
      <bottom style="medium">
        <color indexed="64"/>
      </bottom>
      <diagonal/>
    </border>
    <border>
      <left style="thin">
        <color auto="1"/>
      </left>
      <right/>
      <top style="thin">
        <color auto="1"/>
      </top>
      <bottom style="medium">
        <color indexed="64"/>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medium">
        <color auto="1"/>
      </right>
      <top/>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medium">
        <color indexed="64"/>
      </left>
      <right style="thin">
        <color auto="1"/>
      </right>
      <top style="medium">
        <color indexed="64"/>
      </top>
      <bottom/>
      <diagonal/>
    </border>
    <border>
      <left style="thin">
        <color auto="1"/>
      </left>
      <right style="medium">
        <color indexed="64"/>
      </right>
      <top style="medium">
        <color indexed="64"/>
      </top>
      <bottom/>
      <diagonal/>
    </border>
    <border>
      <left/>
      <right style="thin">
        <color auto="1"/>
      </right>
      <top style="thin">
        <color auto="1"/>
      </top>
      <bottom style="thin">
        <color indexed="64"/>
      </bottom>
      <diagonal/>
    </border>
    <border>
      <left style="medium">
        <color auto="1"/>
      </left>
      <right style="medium">
        <color auto="1"/>
      </right>
      <top style="medium">
        <color auto="1"/>
      </top>
      <bottom style="thin">
        <color auto="1"/>
      </bottom>
      <diagonal/>
    </border>
  </borders>
  <cellStyleXfs count="2">
    <xf numFmtId="0" fontId="0" fillId="0" borderId="0"/>
    <xf numFmtId="0" fontId="3" fillId="0" borderId="0"/>
  </cellStyleXfs>
  <cellXfs count="107">
    <xf numFmtId="0" fontId="0" fillId="0" borderId="0" xfId="0"/>
    <xf numFmtId="0" fontId="0" fillId="0" borderId="0" xfId="1" applyFont="1" applyBorder="1" applyAlignment="1">
      <alignment horizontal="left" wrapText="1"/>
    </xf>
    <xf numFmtId="0" fontId="0" fillId="0" borderId="0" xfId="1" applyFont="1"/>
    <xf numFmtId="0" fontId="3" fillId="0" borderId="0" xfId="1"/>
    <xf numFmtId="0" fontId="3" fillId="0" borderId="2" xfId="1" applyBorder="1"/>
    <xf numFmtId="0" fontId="3" fillId="0" borderId="5" xfId="1" applyBorder="1"/>
    <xf numFmtId="0" fontId="0" fillId="0" borderId="6" xfId="1" applyFont="1" applyBorder="1"/>
    <xf numFmtId="0" fontId="0" fillId="0" borderId="5" xfId="1" applyFont="1" applyBorder="1"/>
    <xf numFmtId="0" fontId="3" fillId="0" borderId="6" xfId="1" applyBorder="1"/>
    <xf numFmtId="0" fontId="3" fillId="0" borderId="7" xfId="1" applyBorder="1"/>
    <xf numFmtId="0" fontId="0" fillId="0" borderId="3" xfId="1" applyFont="1" applyBorder="1"/>
    <xf numFmtId="0" fontId="0" fillId="0" borderId="4" xfId="1" applyFont="1" applyBorder="1"/>
    <xf numFmtId="0" fontId="0" fillId="0" borderId="0" xfId="1" applyFont="1" applyAlignment="1">
      <alignment horizontal="right"/>
    </xf>
    <xf numFmtId="0" fontId="0" fillId="0" borderId="0" xfId="1" applyFont="1" applyAlignment="1">
      <alignment wrapText="1"/>
    </xf>
    <xf numFmtId="0" fontId="3" fillId="0" borderId="0" xfId="1" applyBorder="1"/>
    <xf numFmtId="0" fontId="0" fillId="0" borderId="2" xfId="1" applyFont="1" applyBorder="1"/>
    <xf numFmtId="0" fontId="0" fillId="0" borderId="6" xfId="0" applyBorder="1"/>
    <xf numFmtId="0" fontId="3" fillId="0" borderId="11" xfId="1" applyBorder="1"/>
    <xf numFmtId="0" fontId="0" fillId="0" borderId="0" xfId="0" applyBorder="1"/>
    <xf numFmtId="0" fontId="0" fillId="0" borderId="0" xfId="0" applyFill="1" applyBorder="1"/>
    <xf numFmtId="0" fontId="3" fillId="0" borderId="0" xfId="1" applyFill="1" applyBorder="1"/>
    <xf numFmtId="0" fontId="0" fillId="0" borderId="0" xfId="1" applyFont="1" applyFill="1" applyBorder="1"/>
    <xf numFmtId="0" fontId="0" fillId="0" borderId="0" xfId="1" applyFont="1" applyBorder="1" applyAlignment="1">
      <alignment horizontal="left"/>
    </xf>
    <xf numFmtId="2" fontId="0" fillId="0" borderId="6" xfId="0" applyNumberFormat="1" applyBorder="1"/>
    <xf numFmtId="0" fontId="0" fillId="0" borderId="6" xfId="0" applyFill="1" applyBorder="1"/>
    <xf numFmtId="164" fontId="0" fillId="0" borderId="6" xfId="0" applyNumberFormat="1" applyBorder="1"/>
    <xf numFmtId="0" fontId="0" fillId="0" borderId="12" xfId="1" applyFont="1" applyFill="1" applyBorder="1"/>
    <xf numFmtId="0" fontId="0" fillId="0" borderId="1" xfId="1" applyFont="1" applyFill="1" applyBorder="1"/>
    <xf numFmtId="165" fontId="3" fillId="0" borderId="0" xfId="1" applyNumberFormat="1" applyBorder="1"/>
    <xf numFmtId="0" fontId="8" fillId="0" borderId="6" xfId="0" applyFont="1" applyBorder="1"/>
    <xf numFmtId="0" fontId="9" fillId="0" borderId="0" xfId="0" applyFont="1" applyAlignment="1">
      <alignment vertical="center" textRotation="90"/>
    </xf>
    <xf numFmtId="0" fontId="5" fillId="0" borderId="13" xfId="1" applyFont="1" applyBorder="1"/>
    <xf numFmtId="0" fontId="0" fillId="0" borderId="3" xfId="1" applyFont="1" applyFill="1" applyBorder="1" applyAlignment="1">
      <alignment horizontal="center"/>
    </xf>
    <xf numFmtId="0" fontId="0" fillId="0" borderId="3" xfId="1" applyFont="1" applyFill="1" applyBorder="1"/>
    <xf numFmtId="0" fontId="0" fillId="0" borderId="4" xfId="1" applyFont="1" applyFill="1" applyBorder="1"/>
    <xf numFmtId="0" fontId="8" fillId="0" borderId="7" xfId="0" applyFont="1" applyBorder="1"/>
    <xf numFmtId="0" fontId="0" fillId="0" borderId="14" xfId="1" applyFont="1" applyFill="1" applyBorder="1"/>
    <xf numFmtId="0" fontId="0" fillId="0" borderId="15" xfId="0" applyBorder="1"/>
    <xf numFmtId="0" fontId="3" fillId="0" borderId="16" xfId="1" applyBorder="1"/>
    <xf numFmtId="0" fontId="0" fillId="2" borderId="9" xfId="0" applyFill="1" applyBorder="1"/>
    <xf numFmtId="0" fontId="0" fillId="2" borderId="10" xfId="0" applyFill="1" applyBorder="1"/>
    <xf numFmtId="0" fontId="0" fillId="0" borderId="5" xfId="1" applyFont="1" applyFill="1" applyBorder="1"/>
    <xf numFmtId="0" fontId="0" fillId="3" borderId="5" xfId="1" applyFont="1" applyFill="1" applyBorder="1"/>
    <xf numFmtId="0" fontId="3" fillId="4" borderId="7" xfId="1" applyFill="1" applyBorder="1"/>
    <xf numFmtId="0" fontId="3" fillId="4" borderId="5" xfId="1" applyFill="1" applyBorder="1"/>
    <xf numFmtId="0" fontId="3" fillId="4" borderId="6" xfId="1" applyFill="1" applyBorder="1"/>
    <xf numFmtId="0" fontId="0" fillId="3" borderId="8" xfId="1" applyFont="1" applyFill="1" applyBorder="1"/>
    <xf numFmtId="0" fontId="3" fillId="4" borderId="9" xfId="1" applyFill="1" applyBorder="1"/>
    <xf numFmtId="0" fontId="3" fillId="4" borderId="10" xfId="1" applyFill="1" applyBorder="1"/>
    <xf numFmtId="0" fontId="3" fillId="4" borderId="11" xfId="1" applyFill="1" applyBorder="1"/>
    <xf numFmtId="0" fontId="3" fillId="4" borderId="16" xfId="1" applyFill="1" applyBorder="1"/>
    <xf numFmtId="0" fontId="3" fillId="4" borderId="8" xfId="1" applyFill="1" applyBorder="1"/>
    <xf numFmtId="0" fontId="3" fillId="4" borderId="0" xfId="1" applyFill="1" applyBorder="1"/>
    <xf numFmtId="0" fontId="3" fillId="4" borderId="0" xfId="1" applyFill="1"/>
    <xf numFmtId="0" fontId="0" fillId="4" borderId="0" xfId="0" applyFill="1"/>
    <xf numFmtId="0" fontId="0" fillId="0" borderId="5" xfId="0" applyBorder="1"/>
    <xf numFmtId="0" fontId="0" fillId="0" borderId="7" xfId="1" applyFont="1" applyBorder="1"/>
    <xf numFmtId="0" fontId="0" fillId="0" borderId="7" xfId="0" applyBorder="1"/>
    <xf numFmtId="0" fontId="3" fillId="0" borderId="17" xfId="1" applyBorder="1"/>
    <xf numFmtId="0" fontId="5" fillId="0" borderId="18" xfId="1" applyFont="1" applyBorder="1"/>
    <xf numFmtId="0" fontId="3" fillId="0" borderId="18" xfId="1" applyBorder="1"/>
    <xf numFmtId="0" fontId="3" fillId="0" borderId="19" xfId="1" applyBorder="1"/>
    <xf numFmtId="0" fontId="0" fillId="0" borderId="8" xfId="0" applyBorder="1"/>
    <xf numFmtId="0" fontId="0" fillId="0" borderId="9" xfId="0" applyBorder="1"/>
    <xf numFmtId="0" fontId="0" fillId="0" borderId="10" xfId="0" applyBorder="1"/>
    <xf numFmtId="2" fontId="3" fillId="0" borderId="6" xfId="1" applyNumberFormat="1" applyBorder="1"/>
    <xf numFmtId="0" fontId="3" fillId="4" borderId="6" xfId="1" applyFill="1" applyBorder="1" applyAlignment="1">
      <alignment horizontal="right"/>
    </xf>
    <xf numFmtId="0" fontId="3" fillId="4" borderId="11" xfId="1" applyFill="1" applyBorder="1" applyAlignment="1">
      <alignment horizontal="right"/>
    </xf>
    <xf numFmtId="0" fontId="3" fillId="4" borderId="5" xfId="1" applyFill="1" applyBorder="1" applyAlignment="1">
      <alignment horizontal="right"/>
    </xf>
    <xf numFmtId="0" fontId="3" fillId="4" borderId="7" xfId="1" applyFill="1" applyBorder="1" applyAlignment="1">
      <alignment horizontal="right"/>
    </xf>
    <xf numFmtId="0" fontId="3" fillId="4" borderId="0" xfId="1" applyFill="1" applyBorder="1" applyAlignment="1">
      <alignment horizontal="right"/>
    </xf>
    <xf numFmtId="0" fontId="3" fillId="4" borderId="0" xfId="1" applyFill="1" applyAlignment="1">
      <alignment horizontal="right"/>
    </xf>
    <xf numFmtId="0" fontId="0" fillId="4" borderId="0" xfId="0" applyFill="1" applyAlignment="1">
      <alignment horizontal="right"/>
    </xf>
    <xf numFmtId="0" fontId="3" fillId="0" borderId="6" xfId="1" applyBorder="1" applyAlignment="1">
      <alignment horizontal="right"/>
    </xf>
    <xf numFmtId="0" fontId="3" fillId="0" borderId="11" xfId="1" applyBorder="1" applyAlignment="1">
      <alignment horizontal="right"/>
    </xf>
    <xf numFmtId="0" fontId="3" fillId="0" borderId="5" xfId="1" applyBorder="1" applyAlignment="1">
      <alignment horizontal="right"/>
    </xf>
    <xf numFmtId="0" fontId="3" fillId="0" borderId="7" xfId="1" applyBorder="1" applyAlignment="1">
      <alignment horizontal="right"/>
    </xf>
    <xf numFmtId="0" fontId="3" fillId="0" borderId="0" xfId="1" applyFill="1" applyBorder="1" applyAlignment="1">
      <alignment horizontal="right"/>
    </xf>
    <xf numFmtId="0" fontId="3" fillId="0" borderId="0" xfId="1" applyAlignment="1">
      <alignment horizontal="right"/>
    </xf>
    <xf numFmtId="0" fontId="0" fillId="0" borderId="0" xfId="0" applyAlignment="1">
      <alignment horizontal="right"/>
    </xf>
    <xf numFmtId="2" fontId="3" fillId="0" borderId="6" xfId="1" applyNumberFormat="1" applyBorder="1" applyAlignment="1">
      <alignment horizontal="right"/>
    </xf>
    <xf numFmtId="0" fontId="3" fillId="4" borderId="9" xfId="1" applyFill="1" applyBorder="1" applyAlignment="1">
      <alignment horizontal="right"/>
    </xf>
    <xf numFmtId="0" fontId="3" fillId="4" borderId="16" xfId="1" applyFill="1" applyBorder="1" applyAlignment="1">
      <alignment horizontal="right"/>
    </xf>
    <xf numFmtId="0" fontId="3" fillId="4" borderId="8" xfId="1" applyFill="1" applyBorder="1" applyAlignment="1">
      <alignment horizontal="right"/>
    </xf>
    <xf numFmtId="0" fontId="3" fillId="4" borderId="10" xfId="1" applyFill="1" applyBorder="1" applyAlignment="1">
      <alignment horizontal="right"/>
    </xf>
    <xf numFmtId="0" fontId="3" fillId="0" borderId="20" xfId="1" applyBorder="1"/>
    <xf numFmtId="0" fontId="0" fillId="0" borderId="21" xfId="0" applyBorder="1"/>
    <xf numFmtId="0" fontId="0" fillId="0" borderId="22" xfId="0" applyBorder="1"/>
    <xf numFmtId="0" fontId="5" fillId="0" borderId="2" xfId="1" applyFont="1" applyBorder="1"/>
    <xf numFmtId="0" fontId="3" fillId="0" borderId="3" xfId="1" applyBorder="1"/>
    <xf numFmtId="0" fontId="3" fillId="0" borderId="4" xfId="1" applyBorder="1"/>
    <xf numFmtId="0" fontId="5" fillId="0" borderId="23" xfId="1" applyFont="1" applyBorder="1"/>
    <xf numFmtId="0" fontId="3" fillId="0" borderId="24" xfId="1" applyBorder="1"/>
    <xf numFmtId="0" fontId="3" fillId="0" borderId="13" xfId="1" applyBorder="1"/>
    <xf numFmtId="0" fontId="0" fillId="0" borderId="25" xfId="0" applyBorder="1"/>
    <xf numFmtId="0" fontId="3" fillId="4" borderId="2" xfId="1" applyFill="1" applyBorder="1" applyAlignment="1">
      <alignment horizontal="right"/>
    </xf>
    <xf numFmtId="0" fontId="3" fillId="4" borderId="26" xfId="1" applyFill="1" applyBorder="1" applyAlignment="1">
      <alignment horizontal="right"/>
    </xf>
    <xf numFmtId="166" fontId="0" fillId="0" borderId="0" xfId="0" applyNumberFormat="1"/>
    <xf numFmtId="0" fontId="0" fillId="0" borderId="0" xfId="0" quotePrefix="1" applyAlignment="1">
      <alignment horizontal="right"/>
    </xf>
    <xf numFmtId="2" fontId="0" fillId="0" borderId="0" xfId="0" quotePrefix="1" applyNumberFormat="1" applyAlignment="1">
      <alignment horizontal="right"/>
    </xf>
    <xf numFmtId="2" fontId="0" fillId="0" borderId="0" xfId="0" applyNumberFormat="1" applyAlignment="1">
      <alignment horizontal="right"/>
    </xf>
    <xf numFmtId="0" fontId="13" fillId="0" borderId="0" xfId="0" applyFont="1"/>
    <xf numFmtId="0" fontId="14" fillId="0" borderId="0" xfId="1" applyFont="1"/>
    <xf numFmtId="0" fontId="9" fillId="0" borderId="0" xfId="0" applyFont="1" applyAlignment="1">
      <alignment horizontal="center" vertical="center" textRotation="90"/>
    </xf>
    <xf numFmtId="0" fontId="10" fillId="0" borderId="0" xfId="0" applyFont="1" applyAlignment="1">
      <alignment horizontal="center" vertical="center" textRotation="90"/>
    </xf>
    <xf numFmtId="0" fontId="5" fillId="0" borderId="20" xfId="1" applyFont="1" applyBorder="1"/>
    <xf numFmtId="0" fontId="5" fillId="0" borderId="17" xfId="1" applyFont="1" applyBorder="1"/>
  </cellXfs>
  <cellStyles count="2">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S91"/>
  <sheetViews>
    <sheetView tabSelected="1" topLeftCell="A7" zoomScale="85" zoomScaleNormal="85" workbookViewId="0">
      <selection activeCell="D22" sqref="D22"/>
    </sheetView>
  </sheetViews>
  <sheetFormatPr defaultRowHeight="15" x14ac:dyDescent="0.25"/>
  <cols>
    <col min="1" max="1" width="13.28515625" bestFit="1" customWidth="1"/>
    <col min="2" max="2" width="11" customWidth="1"/>
    <col min="3" max="3" width="13.85546875" bestFit="1" customWidth="1"/>
    <col min="4" max="4" width="12" bestFit="1" customWidth="1"/>
    <col min="5" max="5" width="10.28515625" customWidth="1"/>
    <col min="6" max="6" width="11.28515625" customWidth="1"/>
    <col min="7" max="7" width="11.5703125" bestFit="1" customWidth="1"/>
    <col min="8" max="8" width="12" bestFit="1" customWidth="1"/>
    <col min="9" max="9" width="11.5703125" bestFit="1" customWidth="1"/>
    <col min="10" max="10" width="12" bestFit="1" customWidth="1"/>
    <col min="11" max="11" width="13.28515625" bestFit="1" customWidth="1"/>
    <col min="13" max="13" width="9.85546875" customWidth="1"/>
    <col min="16" max="16" width="16" customWidth="1"/>
  </cols>
  <sheetData>
    <row r="1" spans="1:13" ht="18" x14ac:dyDescent="0.35">
      <c r="A1" t="s">
        <v>0</v>
      </c>
      <c r="B1" t="s">
        <v>6</v>
      </c>
      <c r="C1" t="s">
        <v>7</v>
      </c>
      <c r="D1" t="s">
        <v>28</v>
      </c>
      <c r="K1" s="18"/>
    </row>
    <row r="2" spans="1:13" ht="18" x14ac:dyDescent="0.35">
      <c r="A2" t="s">
        <v>8</v>
      </c>
      <c r="B2">
        <v>2</v>
      </c>
      <c r="C2">
        <v>90</v>
      </c>
      <c r="D2">
        <f>B2*C2</f>
        <v>180</v>
      </c>
      <c r="E2" t="s">
        <v>29</v>
      </c>
      <c r="K2" s="18"/>
    </row>
    <row r="3" spans="1:13" ht="18.75" x14ac:dyDescent="0.35">
      <c r="A3" t="s">
        <v>9</v>
      </c>
      <c r="B3">
        <v>0</v>
      </c>
      <c r="C3">
        <v>0</v>
      </c>
      <c r="D3">
        <f t="shared" ref="D3:D7" si="0">B3*C3</f>
        <v>0</v>
      </c>
      <c r="E3">
        <f>D2+D3</f>
        <v>180</v>
      </c>
      <c r="H3" s="16"/>
      <c r="I3" s="16" t="s">
        <v>43</v>
      </c>
      <c r="J3" s="16" t="s">
        <v>44</v>
      </c>
      <c r="K3" s="16" t="s">
        <v>42</v>
      </c>
      <c r="L3" s="16" t="s">
        <v>45</v>
      </c>
      <c r="M3" s="16" t="s">
        <v>46</v>
      </c>
    </row>
    <row r="4" spans="1:13" x14ac:dyDescent="0.25">
      <c r="A4" t="s">
        <v>5</v>
      </c>
      <c r="B4">
        <v>0</v>
      </c>
      <c r="C4">
        <v>0</v>
      </c>
      <c r="D4">
        <f t="shared" si="0"/>
        <v>0</v>
      </c>
      <c r="E4">
        <f>D4</f>
        <v>0</v>
      </c>
      <c r="H4" s="16" t="s">
        <v>47</v>
      </c>
      <c r="I4" s="16">
        <v>146.15</v>
      </c>
      <c r="J4" s="16">
        <v>151.11000000000001</v>
      </c>
      <c r="K4" s="25">
        <f>J4/I4</f>
        <v>1.0339377352035581</v>
      </c>
      <c r="L4" s="23">
        <v>580</v>
      </c>
      <c r="M4" s="23">
        <f>L4*K4</f>
        <v>599.68388641806371</v>
      </c>
    </row>
    <row r="5" spans="1:13" x14ac:dyDescent="0.25">
      <c r="A5" t="s">
        <v>10</v>
      </c>
      <c r="B5">
        <v>1</v>
      </c>
      <c r="C5">
        <v>54</v>
      </c>
      <c r="D5">
        <f t="shared" si="0"/>
        <v>54</v>
      </c>
      <c r="E5">
        <f t="shared" ref="E5:E7" si="1">D5</f>
        <v>54</v>
      </c>
      <c r="H5" s="16" t="s">
        <v>41</v>
      </c>
      <c r="I5" s="16">
        <v>180.16</v>
      </c>
      <c r="J5" s="16">
        <v>186.11</v>
      </c>
      <c r="K5" s="25">
        <f>J5/I5</f>
        <v>1.0330261989342808</v>
      </c>
      <c r="L5" s="23">
        <v>4500</v>
      </c>
      <c r="M5" s="23">
        <f>L5*K5</f>
        <v>4648.6178952042637</v>
      </c>
    </row>
    <row r="6" spans="1:13" x14ac:dyDescent="0.25">
      <c r="A6" t="s">
        <v>3</v>
      </c>
      <c r="B6">
        <v>0</v>
      </c>
      <c r="C6">
        <v>0</v>
      </c>
      <c r="D6">
        <f t="shared" si="0"/>
        <v>0</v>
      </c>
      <c r="E6">
        <f t="shared" si="1"/>
        <v>0</v>
      </c>
      <c r="H6" s="16" t="s">
        <v>48</v>
      </c>
      <c r="I6" s="16">
        <v>256.43</v>
      </c>
      <c r="J6" s="16">
        <v>272.31</v>
      </c>
      <c r="K6" s="25">
        <f>J6/I6</f>
        <v>1.0619272316031665</v>
      </c>
      <c r="L6" s="23">
        <v>0</v>
      </c>
      <c r="M6" s="23">
        <f>L6*K6</f>
        <v>0</v>
      </c>
    </row>
    <row r="7" spans="1:13" ht="18" x14ac:dyDescent="0.35">
      <c r="A7" t="s">
        <v>4</v>
      </c>
      <c r="B7">
        <v>0</v>
      </c>
      <c r="C7">
        <v>0</v>
      </c>
      <c r="D7">
        <f t="shared" si="0"/>
        <v>0</v>
      </c>
      <c r="E7">
        <f t="shared" si="1"/>
        <v>0</v>
      </c>
      <c r="H7" s="16" t="s">
        <v>90</v>
      </c>
      <c r="I7" s="24">
        <v>110.04</v>
      </c>
      <c r="J7" s="16">
        <v>113.02</v>
      </c>
      <c r="K7" s="16">
        <f>J7/I7</f>
        <v>1.0270810614322063</v>
      </c>
      <c r="L7" s="16">
        <v>44</v>
      </c>
      <c r="M7" s="23">
        <f>L7*K7</f>
        <v>45.191566703017081</v>
      </c>
    </row>
    <row r="8" spans="1:13" x14ac:dyDescent="0.25">
      <c r="H8" s="24" t="s">
        <v>67</v>
      </c>
      <c r="I8" s="24">
        <v>146.19</v>
      </c>
      <c r="J8" s="94">
        <v>182.65</v>
      </c>
      <c r="K8" s="25">
        <f>J8/I8</f>
        <v>1.2494014638484165</v>
      </c>
      <c r="L8" s="23">
        <v>0</v>
      </c>
      <c r="M8" s="23">
        <f>L8*K8</f>
        <v>0</v>
      </c>
    </row>
    <row r="9" spans="1:13" x14ac:dyDescent="0.25">
      <c r="A9" t="s">
        <v>87</v>
      </c>
    </row>
    <row r="11" spans="1:13" ht="18" x14ac:dyDescent="0.35">
      <c r="C11" s="2" t="s">
        <v>32</v>
      </c>
      <c r="D11" s="3">
        <v>1.2</v>
      </c>
      <c r="E11" s="3"/>
      <c r="F11" s="3"/>
      <c r="G11" s="3"/>
      <c r="H11" s="3"/>
      <c r="I11" s="20"/>
    </row>
    <row r="12" spans="1:13" ht="18" x14ac:dyDescent="0.35">
      <c r="C12" s="2" t="s">
        <v>30</v>
      </c>
      <c r="D12" s="3">
        <v>10</v>
      </c>
      <c r="E12" s="3" t="s">
        <v>31</v>
      </c>
      <c r="F12" s="3"/>
      <c r="G12" s="3"/>
      <c r="H12" s="3"/>
      <c r="I12" s="20"/>
    </row>
    <row r="13" spans="1:13" ht="18" x14ac:dyDescent="0.35">
      <c r="C13" s="2" t="s">
        <v>74</v>
      </c>
      <c r="D13">
        <v>5</v>
      </c>
      <c r="E13" t="s">
        <v>31</v>
      </c>
      <c r="I13" s="20"/>
    </row>
    <row r="14" spans="1:13" ht="15.75" thickBot="1" x14ac:dyDescent="0.3">
      <c r="C14" s="2"/>
      <c r="I14" s="20"/>
    </row>
    <row r="15" spans="1:13" x14ac:dyDescent="0.25">
      <c r="A15" s="3" t="s">
        <v>23</v>
      </c>
      <c r="C15" s="4"/>
      <c r="D15" s="10" t="s">
        <v>106</v>
      </c>
      <c r="E15" s="10" t="s">
        <v>105</v>
      </c>
      <c r="F15" s="10" t="s">
        <v>107</v>
      </c>
      <c r="G15" s="10" t="s">
        <v>104</v>
      </c>
      <c r="H15" s="11"/>
    </row>
    <row r="16" spans="1:13" ht="18" x14ac:dyDescent="0.35">
      <c r="A16" s="3"/>
      <c r="C16" s="55" t="s">
        <v>29</v>
      </c>
      <c r="D16" s="6">
        <f t="array" ref="D16:H16">TRANSPOSE(E3:E7)</f>
        <v>180</v>
      </c>
      <c r="E16" s="6">
        <v>0</v>
      </c>
      <c r="F16" s="6">
        <v>54</v>
      </c>
      <c r="G16" s="6">
        <v>0</v>
      </c>
      <c r="H16" s="56">
        <v>0</v>
      </c>
      <c r="I16" s="19"/>
    </row>
    <row r="17" spans="1:19" ht="18" x14ac:dyDescent="0.35">
      <c r="A17" s="3"/>
      <c r="C17" s="55" t="s">
        <v>1</v>
      </c>
      <c r="D17" s="16">
        <f>D16*$D$12</f>
        <v>1800</v>
      </c>
      <c r="E17" s="16">
        <f>E16*$D$12</f>
        <v>0</v>
      </c>
      <c r="F17" s="16">
        <f>F16*$D$12</f>
        <v>540</v>
      </c>
      <c r="G17" s="16">
        <f>G16*$D$12</f>
        <v>0</v>
      </c>
      <c r="H17" s="57">
        <f>H16*$D$12</f>
        <v>0</v>
      </c>
      <c r="I17" s="19"/>
    </row>
    <row r="18" spans="1:19" ht="18" x14ac:dyDescent="0.35">
      <c r="C18" s="55" t="s">
        <v>11</v>
      </c>
      <c r="D18" s="16">
        <v>2000</v>
      </c>
      <c r="E18" s="16">
        <f>ROUNDUP(E17*$D$11,0)</f>
        <v>0</v>
      </c>
      <c r="F18" s="16">
        <v>650</v>
      </c>
      <c r="G18" s="16">
        <f>ROUNDUP(G17*$D$11,0)</f>
        <v>0</v>
      </c>
      <c r="H18" s="57">
        <f>ROUNDUP(H17*$D$11,0)</f>
        <v>0</v>
      </c>
      <c r="I18" s="19"/>
    </row>
    <row r="19" spans="1:19" ht="15.75" thickBot="1" x14ac:dyDescent="0.3">
      <c r="C19" s="62"/>
      <c r="D19" s="63"/>
      <c r="E19" s="63"/>
      <c r="F19" s="63"/>
      <c r="G19" s="63"/>
      <c r="H19" s="64"/>
    </row>
    <row r="20" spans="1:19" ht="18" x14ac:dyDescent="0.35">
      <c r="A20" s="4"/>
      <c r="B20" s="10" t="s">
        <v>109</v>
      </c>
      <c r="C20" s="106" t="s">
        <v>110</v>
      </c>
      <c r="D20" s="59" t="s">
        <v>111</v>
      </c>
      <c r="E20" s="60"/>
      <c r="F20" s="60"/>
      <c r="G20" s="60"/>
      <c r="H20" s="61"/>
      <c r="I20" s="21" t="s">
        <v>50</v>
      </c>
      <c r="J20" s="27" t="s">
        <v>51</v>
      </c>
      <c r="K20" s="27" t="s">
        <v>92</v>
      </c>
      <c r="L20" s="27" t="s">
        <v>93</v>
      </c>
      <c r="M20" s="27" t="s">
        <v>94</v>
      </c>
    </row>
    <row r="21" spans="1:19" ht="18" x14ac:dyDescent="0.35">
      <c r="A21" s="41" t="s">
        <v>108</v>
      </c>
      <c r="B21" s="65">
        <f>M8</f>
        <v>0</v>
      </c>
      <c r="C21" s="17">
        <v>0</v>
      </c>
      <c r="D21" s="5" t="str">
        <f t="shared" ref="D21:D25" si="2">IF($B21&gt;0,D$18/($C21*1000/$B21),"Ø")</f>
        <v>Ø</v>
      </c>
      <c r="E21" s="8" t="str">
        <f t="shared" ref="E21:H28" si="3">IF($B21&gt;0,E$18/($C21*1000/$B21),"Ø")</f>
        <v>Ø</v>
      </c>
      <c r="F21" s="8" t="str">
        <f t="shared" si="3"/>
        <v>Ø</v>
      </c>
      <c r="G21" s="8" t="str">
        <f t="shared" si="3"/>
        <v>Ø</v>
      </c>
      <c r="H21" s="9" t="str">
        <f t="shared" si="3"/>
        <v>Ø</v>
      </c>
      <c r="I21" s="20">
        <f t="shared" ref="I21:I29" si="4">SUM(D21:H21)</f>
        <v>0</v>
      </c>
      <c r="J21" s="3">
        <v>0</v>
      </c>
      <c r="K21" s="3">
        <f t="shared" ref="K21:K29" si="5">J21*C21</f>
        <v>0</v>
      </c>
      <c r="M21" t="str">
        <f t="shared" ref="M21:M28" si="6">IF(I21&gt;0,L21/K21*J21,"")</f>
        <v/>
      </c>
      <c r="N21" s="103"/>
      <c r="P21" t="s">
        <v>97</v>
      </c>
      <c r="Q21">
        <v>41.208749999999995</v>
      </c>
      <c r="S21" t="s">
        <v>99</v>
      </c>
    </row>
    <row r="22" spans="1:19" ht="18" x14ac:dyDescent="0.35">
      <c r="A22" s="42" t="s">
        <v>12</v>
      </c>
      <c r="B22" s="45">
        <f>L4</f>
        <v>580</v>
      </c>
      <c r="C22" s="49">
        <v>7.8238095238095244</v>
      </c>
      <c r="D22" s="44">
        <f t="shared" si="2"/>
        <v>148.26536822884967</v>
      </c>
      <c r="E22" s="45">
        <f t="shared" si="3"/>
        <v>0</v>
      </c>
      <c r="F22" s="45">
        <f t="shared" si="3"/>
        <v>48.186244674376141</v>
      </c>
      <c r="G22" s="45">
        <f t="shared" si="3"/>
        <v>0</v>
      </c>
      <c r="H22" s="43">
        <f t="shared" si="3"/>
        <v>0</v>
      </c>
      <c r="I22" s="52">
        <f t="shared" si="4"/>
        <v>196.45161290322579</v>
      </c>
      <c r="J22" s="53">
        <v>110</v>
      </c>
      <c r="K22" s="53">
        <f t="shared" si="5"/>
        <v>860.61904761904771</v>
      </c>
      <c r="L22" s="54">
        <f>K22</f>
        <v>860.61904761904771</v>
      </c>
      <c r="M22">
        <f t="shared" si="6"/>
        <v>110</v>
      </c>
      <c r="N22" s="103"/>
      <c r="P22" t="s">
        <v>96</v>
      </c>
      <c r="Q22">
        <v>48</v>
      </c>
      <c r="S22" t="s">
        <v>99</v>
      </c>
    </row>
    <row r="23" spans="1:19" x14ac:dyDescent="0.25">
      <c r="A23" s="41" t="s">
        <v>13</v>
      </c>
      <c r="B23" s="8">
        <f>L5</f>
        <v>4500</v>
      </c>
      <c r="C23" s="17">
        <v>53.805</v>
      </c>
      <c r="D23" s="5">
        <f t="shared" si="2"/>
        <v>167.27069974909395</v>
      </c>
      <c r="E23" s="8">
        <f t="shared" si="3"/>
        <v>0</v>
      </c>
      <c r="F23" s="8">
        <v>0</v>
      </c>
      <c r="G23" s="8">
        <f t="shared" si="3"/>
        <v>0</v>
      </c>
      <c r="H23" s="9">
        <f t="shared" si="3"/>
        <v>0</v>
      </c>
      <c r="I23" s="20">
        <f t="shared" si="4"/>
        <v>167.27069974909395</v>
      </c>
      <c r="J23" s="3">
        <v>110</v>
      </c>
      <c r="K23" s="3">
        <f t="shared" si="5"/>
        <v>5918.55</v>
      </c>
      <c r="L23">
        <f>K23</f>
        <v>5918.55</v>
      </c>
      <c r="M23">
        <f t="shared" si="6"/>
        <v>110</v>
      </c>
      <c r="N23" s="103"/>
    </row>
    <row r="24" spans="1:19" ht="18" x14ac:dyDescent="0.35">
      <c r="A24" s="42" t="s">
        <v>14</v>
      </c>
      <c r="B24" s="45">
        <f>L6</f>
        <v>0</v>
      </c>
      <c r="C24" s="49">
        <f>B24*6.25/1000</f>
        <v>0</v>
      </c>
      <c r="D24" s="44" t="str">
        <f t="shared" si="2"/>
        <v>Ø</v>
      </c>
      <c r="E24" s="45" t="str">
        <f t="shared" si="3"/>
        <v>Ø</v>
      </c>
      <c r="F24" s="45" t="str">
        <f t="shared" si="3"/>
        <v>Ø</v>
      </c>
      <c r="G24" s="45" t="str">
        <f t="shared" si="3"/>
        <v>Ø</v>
      </c>
      <c r="H24" s="43" t="str">
        <f t="shared" si="3"/>
        <v>Ø</v>
      </c>
      <c r="I24" s="52">
        <f t="shared" si="4"/>
        <v>0</v>
      </c>
      <c r="J24" s="53"/>
      <c r="K24" s="53">
        <f t="shared" si="5"/>
        <v>0</v>
      </c>
      <c r="L24" s="54"/>
      <c r="M24" t="str">
        <f t="shared" si="6"/>
        <v/>
      </c>
      <c r="N24" s="103"/>
      <c r="P24" t="s">
        <v>98</v>
      </c>
      <c r="Q24">
        <v>40</v>
      </c>
      <c r="S24" t="s">
        <v>100</v>
      </c>
    </row>
    <row r="25" spans="1:19" ht="18" x14ac:dyDescent="0.35">
      <c r="A25" s="41" t="s">
        <v>15</v>
      </c>
      <c r="B25" s="8">
        <v>0</v>
      </c>
      <c r="C25" s="17">
        <v>6.7670731707317069</v>
      </c>
      <c r="D25" s="5" t="str">
        <f t="shared" si="2"/>
        <v>Ø</v>
      </c>
      <c r="E25" s="8" t="str">
        <f t="shared" si="3"/>
        <v>Ø</v>
      </c>
      <c r="F25" s="8" t="str">
        <f t="shared" si="3"/>
        <v>Ø</v>
      </c>
      <c r="G25" s="8" t="str">
        <f t="shared" si="3"/>
        <v>Ø</v>
      </c>
      <c r="H25" s="9" t="str">
        <f t="shared" si="3"/>
        <v>Ø</v>
      </c>
      <c r="I25" s="20">
        <f t="shared" si="4"/>
        <v>0</v>
      </c>
      <c r="J25" s="3">
        <v>30</v>
      </c>
      <c r="K25" s="3">
        <f t="shared" si="5"/>
        <v>203.01219512195121</v>
      </c>
      <c r="L25">
        <f>K25</f>
        <v>203.01219512195121</v>
      </c>
      <c r="M25" t="str">
        <f t="shared" si="6"/>
        <v/>
      </c>
      <c r="N25" s="103"/>
      <c r="P25" t="s">
        <v>95</v>
      </c>
      <c r="Q25">
        <f>Q21/Q24*Q22</f>
        <v>49.450499999999998</v>
      </c>
      <c r="S25" t="s">
        <v>101</v>
      </c>
    </row>
    <row r="26" spans="1:19" x14ac:dyDescent="0.25">
      <c r="A26" s="41" t="s">
        <v>17</v>
      </c>
      <c r="B26" s="8">
        <f>M5</f>
        <v>4648.6178952042637</v>
      </c>
      <c r="C26" s="17">
        <v>49.450499999999998</v>
      </c>
      <c r="D26" s="5" t="s">
        <v>21</v>
      </c>
      <c r="E26" s="8" t="s">
        <v>21</v>
      </c>
      <c r="F26" s="8">
        <f>F$18/($C26*1000/$B26)</f>
        <v>61.103560770523487</v>
      </c>
      <c r="G26" s="8" t="s">
        <v>21</v>
      </c>
      <c r="H26" s="9">
        <f t="shared" si="3"/>
        <v>0</v>
      </c>
      <c r="I26" s="20">
        <f t="shared" si="4"/>
        <v>61.103560770523487</v>
      </c>
      <c r="J26" s="3">
        <v>40</v>
      </c>
      <c r="K26" s="3">
        <f t="shared" si="5"/>
        <v>1978.02</v>
      </c>
      <c r="L26">
        <v>1978.02</v>
      </c>
      <c r="M26" s="97">
        <f t="shared" si="6"/>
        <v>40</v>
      </c>
      <c r="N26" s="103"/>
    </row>
    <row r="27" spans="1:19" x14ac:dyDescent="0.25">
      <c r="A27" s="42" t="s">
        <v>18</v>
      </c>
      <c r="B27" s="45">
        <f>M6</f>
        <v>0</v>
      </c>
      <c r="C27" s="49">
        <f>B27*6.25/1000</f>
        <v>0</v>
      </c>
      <c r="D27" s="44" t="s">
        <v>21</v>
      </c>
      <c r="E27" s="45" t="s">
        <v>21</v>
      </c>
      <c r="F27" s="45" t="s">
        <v>21</v>
      </c>
      <c r="G27" s="45">
        <f>IF(B27&gt;0,G$18/($C27*1000/$B27),0)</f>
        <v>0</v>
      </c>
      <c r="H27" s="43" t="s">
        <v>21</v>
      </c>
      <c r="I27" s="52">
        <f t="shared" si="4"/>
        <v>0</v>
      </c>
      <c r="J27" s="53"/>
      <c r="K27" s="53">
        <f t="shared" si="5"/>
        <v>0</v>
      </c>
      <c r="L27" s="54"/>
      <c r="M27" t="str">
        <f t="shared" si="6"/>
        <v/>
      </c>
      <c r="N27" s="103"/>
    </row>
    <row r="28" spans="1:19" x14ac:dyDescent="0.25">
      <c r="A28" s="41" t="s">
        <v>19</v>
      </c>
      <c r="B28" s="65">
        <v>0</v>
      </c>
      <c r="C28" s="17">
        <v>5</v>
      </c>
      <c r="D28" s="5" t="s">
        <v>21</v>
      </c>
      <c r="E28" s="8" t="s">
        <v>21</v>
      </c>
      <c r="F28" s="8" t="s">
        <v>21</v>
      </c>
      <c r="G28" s="8" t="s">
        <v>21</v>
      </c>
      <c r="H28" s="9" t="str">
        <f t="shared" si="3"/>
        <v>Ø</v>
      </c>
      <c r="I28" s="20">
        <f t="shared" si="4"/>
        <v>0</v>
      </c>
      <c r="J28" s="3"/>
      <c r="K28" s="3">
        <f t="shared" si="5"/>
        <v>0</v>
      </c>
      <c r="M28" t="str">
        <f t="shared" si="6"/>
        <v/>
      </c>
      <c r="N28" s="103"/>
    </row>
    <row r="29" spans="1:19" ht="15.75" thickBot="1" x14ac:dyDescent="0.3">
      <c r="A29" s="46" t="s">
        <v>103</v>
      </c>
      <c r="B29" s="47"/>
      <c r="C29" s="50"/>
      <c r="D29" s="51">
        <f>D18-SUM(D35,D21:D28)</f>
        <v>1264.4639320220563</v>
      </c>
      <c r="E29" s="47">
        <f>E18-SUM(E35,E21:E28)</f>
        <v>0</v>
      </c>
      <c r="F29" s="47">
        <f>F18-SUM(F35,F21:F28)</f>
        <v>404.21019455510037</v>
      </c>
      <c r="G29" s="47">
        <f>G18-SUM(G35,G21:G28)</f>
        <v>0</v>
      </c>
      <c r="H29" s="48">
        <f>H18-SUM(H35,H21:H28)</f>
        <v>0</v>
      </c>
      <c r="I29" s="52">
        <f t="shared" si="4"/>
        <v>1668.6741265771566</v>
      </c>
      <c r="J29" s="53">
        <f>SUM(J21:J28)</f>
        <v>290</v>
      </c>
      <c r="K29" s="53">
        <f t="shared" si="5"/>
        <v>0</v>
      </c>
      <c r="L29" s="54"/>
    </row>
    <row r="30" spans="1:19" ht="18" x14ac:dyDescent="0.35">
      <c r="A30" s="26" t="s">
        <v>52</v>
      </c>
      <c r="B30" s="14"/>
      <c r="C30" s="14"/>
      <c r="D30" s="28">
        <f>SUM(D21:D29)</f>
        <v>1580</v>
      </c>
      <c r="E30" s="28">
        <f>SUM(E21:E29)</f>
        <v>0</v>
      </c>
      <c r="F30" s="28">
        <f>SUM(F21:F29)</f>
        <v>513.5</v>
      </c>
      <c r="G30" s="28">
        <f>SUM(G21:G29)</f>
        <v>0</v>
      </c>
      <c r="H30" s="28">
        <f>SUM(H21:H29)</f>
        <v>0</v>
      </c>
      <c r="I30" s="20" t="s">
        <v>53</v>
      </c>
      <c r="J30" s="3"/>
      <c r="K30" s="3"/>
    </row>
    <row r="31" spans="1:19" ht="15.75" thickBot="1" x14ac:dyDescent="0.3">
      <c r="E31" s="12"/>
      <c r="F31" s="3"/>
      <c r="J31" s="2"/>
      <c r="K31" s="20"/>
    </row>
    <row r="32" spans="1:19" ht="18" x14ac:dyDescent="0.35">
      <c r="A32" s="15" t="s">
        <v>22</v>
      </c>
      <c r="B32" s="31" t="s">
        <v>57</v>
      </c>
      <c r="C32" s="31" t="s">
        <v>40</v>
      </c>
      <c r="D32" s="32"/>
      <c r="E32" s="33"/>
      <c r="F32" s="33"/>
      <c r="G32" s="33"/>
      <c r="H32" s="34"/>
      <c r="I32" s="20"/>
      <c r="J32" s="79" t="s">
        <v>75</v>
      </c>
      <c r="K32" s="97">
        <f>SUM(D29:H29,M21:M28)</f>
        <v>1928.6741265771566</v>
      </c>
      <c r="L32" t="s">
        <v>31</v>
      </c>
    </row>
    <row r="33" spans="1:17" x14ac:dyDescent="0.25">
      <c r="A33" s="7" t="s">
        <v>102</v>
      </c>
      <c r="B33" s="105">
        <v>100</v>
      </c>
      <c r="C33" s="17">
        <f>B33*2</f>
        <v>200</v>
      </c>
      <c r="D33" s="29">
        <f t="shared" ref="D33:H34" si="7">D$18/1000*$C33</f>
        <v>400</v>
      </c>
      <c r="E33" s="29">
        <f t="shared" si="7"/>
        <v>0</v>
      </c>
      <c r="F33" s="29">
        <f t="shared" si="7"/>
        <v>130</v>
      </c>
      <c r="G33" s="29">
        <f t="shared" si="7"/>
        <v>0</v>
      </c>
      <c r="H33" s="35">
        <f t="shared" si="7"/>
        <v>0</v>
      </c>
      <c r="I33" s="20"/>
      <c r="J33" s="79"/>
      <c r="K33" s="97"/>
    </row>
    <row r="34" spans="1:17" x14ac:dyDescent="0.25">
      <c r="A34" s="7" t="s">
        <v>22</v>
      </c>
      <c r="B34" s="17">
        <v>5</v>
      </c>
      <c r="C34" s="17">
        <f>B34*2</f>
        <v>10</v>
      </c>
      <c r="D34" s="29">
        <f t="shared" si="7"/>
        <v>20</v>
      </c>
      <c r="E34" s="29">
        <f t="shared" si="7"/>
        <v>0</v>
      </c>
      <c r="F34" s="29">
        <f t="shared" si="7"/>
        <v>6.5</v>
      </c>
      <c r="G34" s="29">
        <f t="shared" si="7"/>
        <v>0</v>
      </c>
      <c r="H34" s="35">
        <f t="shared" si="7"/>
        <v>0</v>
      </c>
      <c r="I34" s="20"/>
      <c r="K34" s="3"/>
      <c r="N34" s="103" t="s">
        <v>64</v>
      </c>
    </row>
    <row r="35" spans="1:17" ht="18.75" thickBot="1" x14ac:dyDescent="0.4">
      <c r="A35" s="36" t="s">
        <v>49</v>
      </c>
      <c r="B35" s="37"/>
      <c r="C35" s="38"/>
      <c r="D35" s="39">
        <f>SUM(D33:D34)</f>
        <v>420</v>
      </c>
      <c r="E35" s="39">
        <f t="shared" ref="E35:H35" si="8">SUM(E33:E34)</f>
        <v>0</v>
      </c>
      <c r="F35" s="39">
        <f t="shared" si="8"/>
        <v>136.5</v>
      </c>
      <c r="G35" s="39">
        <f t="shared" si="8"/>
        <v>0</v>
      </c>
      <c r="H35" s="40">
        <f t="shared" si="8"/>
        <v>0</v>
      </c>
      <c r="I35" s="20"/>
      <c r="N35" s="103"/>
    </row>
    <row r="36" spans="1:17" x14ac:dyDescent="0.25">
      <c r="K36" s="18"/>
      <c r="N36" s="103"/>
    </row>
    <row r="37" spans="1:17" x14ac:dyDescent="0.25">
      <c r="B37" s="22" t="s">
        <v>63</v>
      </c>
      <c r="C37" s="1"/>
      <c r="D37" s="1"/>
      <c r="E37" s="1"/>
      <c r="F37" s="1"/>
      <c r="J37" s="3"/>
    </row>
    <row r="38" spans="1:17" x14ac:dyDescent="0.25">
      <c r="A38" s="13"/>
      <c r="B38" s="1"/>
      <c r="C38" s="1"/>
      <c r="D38" s="1"/>
      <c r="E38" s="1"/>
      <c r="F38" s="1"/>
    </row>
    <row r="39" spans="1:17" ht="15.75" thickBot="1" x14ac:dyDescent="0.3">
      <c r="A39" s="102" t="s">
        <v>71</v>
      </c>
      <c r="N39" s="30"/>
    </row>
    <row r="40" spans="1:17" ht="18" customHeight="1" x14ac:dyDescent="0.25">
      <c r="A40" s="3" t="s">
        <v>23</v>
      </c>
      <c r="C40" s="4"/>
      <c r="D40" s="10" t="s">
        <v>2</v>
      </c>
      <c r="E40" s="10" t="s">
        <v>16</v>
      </c>
      <c r="F40" s="10" t="s">
        <v>17</v>
      </c>
      <c r="G40" s="10" t="s">
        <v>18</v>
      </c>
      <c r="H40" s="11" t="s">
        <v>73</v>
      </c>
    </row>
    <row r="41" spans="1:17" ht="18" x14ac:dyDescent="0.35">
      <c r="A41" s="3"/>
      <c r="C41" s="55" t="s">
        <v>72</v>
      </c>
      <c r="D41" s="6">
        <v>81</v>
      </c>
      <c r="E41" s="6">
        <f>E16</f>
        <v>0</v>
      </c>
      <c r="F41" s="6">
        <v>54</v>
      </c>
      <c r="G41" s="6">
        <f>G16</f>
        <v>0</v>
      </c>
      <c r="H41" s="56">
        <v>81</v>
      </c>
      <c r="I41" s="19"/>
    </row>
    <row r="42" spans="1:17" ht="18" x14ac:dyDescent="0.35">
      <c r="A42" s="3"/>
      <c r="C42" s="55" t="s">
        <v>1</v>
      </c>
      <c r="D42" s="16">
        <f>D41*$D$13</f>
        <v>405</v>
      </c>
      <c r="E42" s="16">
        <f t="shared" ref="E42:H42" si="9">E41*$D$13</f>
        <v>0</v>
      </c>
      <c r="F42" s="16">
        <f t="shared" si="9"/>
        <v>270</v>
      </c>
      <c r="G42" s="16">
        <f t="shared" si="9"/>
        <v>0</v>
      </c>
      <c r="H42" s="56">
        <f t="shared" si="9"/>
        <v>405</v>
      </c>
      <c r="I42" s="19"/>
    </row>
    <row r="43" spans="1:17" ht="18" x14ac:dyDescent="0.35">
      <c r="C43" s="55" t="s">
        <v>11</v>
      </c>
      <c r="D43" s="16">
        <v>180</v>
      </c>
      <c r="E43" s="16">
        <f t="shared" ref="E43:G43" si="10">ROUNDUP(E42*$D$11,0)</f>
        <v>0</v>
      </c>
      <c r="F43" s="16">
        <v>300</v>
      </c>
      <c r="G43" s="16">
        <f t="shared" si="10"/>
        <v>0</v>
      </c>
      <c r="H43" s="56">
        <v>0</v>
      </c>
      <c r="I43" s="19"/>
    </row>
    <row r="44" spans="1:17" ht="15.75" thickBot="1" x14ac:dyDescent="0.3">
      <c r="C44" s="62"/>
      <c r="D44" s="86"/>
      <c r="E44" s="86"/>
      <c r="F44" s="86"/>
      <c r="G44" s="86"/>
      <c r="H44" s="87"/>
    </row>
    <row r="45" spans="1:17" ht="18" x14ac:dyDescent="0.35">
      <c r="A45" s="4"/>
      <c r="B45" s="10" t="s">
        <v>24</v>
      </c>
      <c r="C45" s="85" t="s">
        <v>25</v>
      </c>
      <c r="D45" s="88" t="s">
        <v>39</v>
      </c>
      <c r="E45" s="89"/>
      <c r="F45" s="89"/>
      <c r="G45" s="89"/>
      <c r="H45" s="90"/>
      <c r="I45" s="21" t="s">
        <v>50</v>
      </c>
      <c r="J45" s="27" t="s">
        <v>51</v>
      </c>
      <c r="K45" s="27" t="s">
        <v>92</v>
      </c>
      <c r="L45" s="27" t="s">
        <v>93</v>
      </c>
      <c r="M45" s="27" t="s">
        <v>94</v>
      </c>
    </row>
    <row r="46" spans="1:17" x14ac:dyDescent="0.25">
      <c r="A46" s="42" t="s">
        <v>12</v>
      </c>
      <c r="B46" s="66">
        <f>B22</f>
        <v>580</v>
      </c>
      <c r="C46" s="67">
        <v>7.333181818181818</v>
      </c>
      <c r="D46" s="68">
        <f>D$43/($C46*1000/$B46)</f>
        <v>14.236657782185583</v>
      </c>
      <c r="E46" s="66" t="s">
        <v>21</v>
      </c>
      <c r="F46" s="66">
        <f>F$43/($C46*1000/$B46)</f>
        <v>23.727762970309303</v>
      </c>
      <c r="G46" s="66">
        <f>G$43/($C46*1000/$B46)</f>
        <v>0</v>
      </c>
      <c r="H46" s="69" t="s">
        <v>21</v>
      </c>
      <c r="I46" s="70">
        <f>SUM(D46:H46)</f>
        <v>37.964420752494888</v>
      </c>
      <c r="J46" s="71">
        <f t="shared" ref="J46:J54" si="11">ROUNDUP(I46*1.1,0)</f>
        <v>42</v>
      </c>
      <c r="K46" s="71">
        <f>J46*C46</f>
        <v>307.99363636363637</v>
      </c>
      <c r="L46" s="72">
        <v>161.33000000000001</v>
      </c>
      <c r="M46" s="70">
        <f t="shared" ref="M46:M51" si="12">L46/K46*J46</f>
        <v>22</v>
      </c>
      <c r="N46" s="103" t="s">
        <v>64</v>
      </c>
    </row>
    <row r="47" spans="1:17" x14ac:dyDescent="0.25">
      <c r="A47" s="41" t="s">
        <v>13</v>
      </c>
      <c r="B47" s="73">
        <f>B23</f>
        <v>4500</v>
      </c>
      <c r="C47" s="74">
        <v>37.486666666666665</v>
      </c>
      <c r="D47" s="75">
        <f>D$43/($C47*1000/$B47)</f>
        <v>21.607682731637919</v>
      </c>
      <c r="E47" s="73">
        <f>E$43/($C47*1000/$B47)</f>
        <v>0</v>
      </c>
      <c r="F47" s="73" t="s">
        <v>21</v>
      </c>
      <c r="G47" s="73">
        <f>G$43/($C47*1000/$B47)</f>
        <v>0</v>
      </c>
      <c r="H47" s="76" t="s">
        <v>21</v>
      </c>
      <c r="I47" s="77">
        <f>SUM(D47:H47)</f>
        <v>21.607682731637919</v>
      </c>
      <c r="J47" s="78">
        <v>14</v>
      </c>
      <c r="K47" s="78">
        <f>J47*C47</f>
        <v>524.81333333333328</v>
      </c>
      <c r="L47" s="100">
        <v>562.29999999999995</v>
      </c>
      <c r="M47" s="77">
        <f t="shared" si="12"/>
        <v>15</v>
      </c>
      <c r="N47" s="103"/>
    </row>
    <row r="48" spans="1:17" x14ac:dyDescent="0.25">
      <c r="A48" s="42" t="s">
        <v>14</v>
      </c>
      <c r="B48" s="66">
        <v>0</v>
      </c>
      <c r="C48" s="67" t="s">
        <v>21</v>
      </c>
      <c r="D48" s="68" t="s">
        <v>21</v>
      </c>
      <c r="E48" s="66" t="s">
        <v>21</v>
      </c>
      <c r="F48" s="66" t="s">
        <v>21</v>
      </c>
      <c r="G48" s="66" t="s">
        <v>21</v>
      </c>
      <c r="H48" s="69" t="s">
        <v>21</v>
      </c>
      <c r="I48" s="70" t="s">
        <v>21</v>
      </c>
      <c r="J48" s="70" t="s">
        <v>21</v>
      </c>
      <c r="K48" s="71" t="s">
        <v>21</v>
      </c>
      <c r="L48" s="70" t="s">
        <v>21</v>
      </c>
      <c r="M48" s="70" t="s">
        <v>21</v>
      </c>
      <c r="N48" s="103"/>
      <c r="P48" t="s">
        <v>80</v>
      </c>
      <c r="Q48">
        <v>18</v>
      </c>
    </row>
    <row r="49" spans="1:17" x14ac:dyDescent="0.25">
      <c r="A49" s="41" t="s">
        <v>15</v>
      </c>
      <c r="B49" s="73">
        <f>B25</f>
        <v>0</v>
      </c>
      <c r="C49" s="74">
        <v>4.335</v>
      </c>
      <c r="D49" s="75" t="e">
        <f>D$43/($C49*1000/$B49)</f>
        <v>#DIV/0!</v>
      </c>
      <c r="E49" s="73" t="e">
        <f>E$43/($C49*1000/$B49)</f>
        <v>#DIV/0!</v>
      </c>
      <c r="F49" s="73" t="e">
        <f>F$43/($C49*1000/$B49)</f>
        <v>#DIV/0!</v>
      </c>
      <c r="G49" s="73" t="e">
        <f>G$43/($C49*1000/$B49)</f>
        <v>#DIV/0!</v>
      </c>
      <c r="H49" s="76" t="s">
        <v>21</v>
      </c>
      <c r="I49" s="77" t="e">
        <f>SUM(D49:H49)</f>
        <v>#DIV/0!</v>
      </c>
      <c r="J49" s="78" t="e">
        <f t="shared" ref="J49" si="13">ROUNDUP(I49*1.1,0)</f>
        <v>#DIV/0!</v>
      </c>
      <c r="K49" s="78" t="e">
        <f>J49*C49</f>
        <v>#DIV/0!</v>
      </c>
      <c r="L49" s="79">
        <v>26.01</v>
      </c>
      <c r="M49" s="77" t="e">
        <f t="shared" si="12"/>
        <v>#DIV/0!</v>
      </c>
      <c r="N49" s="103"/>
      <c r="P49" t="s">
        <v>81</v>
      </c>
      <c r="Q49">
        <v>17.756875000000001</v>
      </c>
    </row>
    <row r="50" spans="1:17" x14ac:dyDescent="0.25">
      <c r="A50" s="42" t="s">
        <v>16</v>
      </c>
      <c r="B50" s="66" t="e">
        <f>#REF!</f>
        <v>#REF!</v>
      </c>
      <c r="C50" s="67">
        <f>C46</f>
        <v>7.333181818181818</v>
      </c>
      <c r="D50" s="68" t="s">
        <v>21</v>
      </c>
      <c r="E50" s="66" t="e">
        <f>E$43/($C50*1000/$B50)</f>
        <v>#REF!</v>
      </c>
      <c r="F50" s="66" t="s">
        <v>21</v>
      </c>
      <c r="G50" s="66" t="s">
        <v>21</v>
      </c>
      <c r="H50" s="69" t="s">
        <v>21</v>
      </c>
      <c r="I50" s="70" t="e">
        <f>SUM(D50:H50)</f>
        <v>#REF!</v>
      </c>
      <c r="J50" s="71"/>
      <c r="K50" s="71">
        <f>J50*C50</f>
        <v>0</v>
      </c>
      <c r="L50" s="72">
        <v>0</v>
      </c>
      <c r="M50" s="70"/>
      <c r="N50" s="103"/>
      <c r="P50" t="s">
        <v>82</v>
      </c>
      <c r="Q50">
        <v>48</v>
      </c>
    </row>
    <row r="51" spans="1:17" x14ac:dyDescent="0.25">
      <c r="A51" s="41" t="s">
        <v>17</v>
      </c>
      <c r="B51" s="73">
        <f>B26</f>
        <v>4648.6178952042637</v>
      </c>
      <c r="C51" s="74">
        <v>47.351666666666667</v>
      </c>
      <c r="D51" s="75" t="s">
        <v>21</v>
      </c>
      <c r="E51" s="73" t="s">
        <v>21</v>
      </c>
      <c r="F51" s="73">
        <f>F$43/($C51*1000/$B51)</f>
        <v>29.451663832204691</v>
      </c>
      <c r="G51" s="73" t="s">
        <v>21</v>
      </c>
      <c r="H51" s="76" t="s">
        <v>21</v>
      </c>
      <c r="I51" s="77">
        <f>SUM(D51:H51)</f>
        <v>29.451663832204691</v>
      </c>
      <c r="J51" s="78">
        <v>18</v>
      </c>
      <c r="K51" s="78">
        <f>J51*C51</f>
        <v>852.33</v>
      </c>
      <c r="L51" s="79">
        <v>852.33</v>
      </c>
      <c r="M51" s="77">
        <f t="shared" si="12"/>
        <v>18</v>
      </c>
      <c r="N51" s="103"/>
      <c r="P51" t="s">
        <v>83</v>
      </c>
      <c r="Q51">
        <f>Q49/Q48*Q50</f>
        <v>47.351666666666667</v>
      </c>
    </row>
    <row r="52" spans="1:17" x14ac:dyDescent="0.25">
      <c r="A52" s="42" t="s">
        <v>18</v>
      </c>
      <c r="B52" s="66">
        <v>0</v>
      </c>
      <c r="C52" s="67" t="s">
        <v>21</v>
      </c>
      <c r="D52" s="68" t="s">
        <v>21</v>
      </c>
      <c r="E52" s="66" t="s">
        <v>21</v>
      </c>
      <c r="F52" s="66" t="s">
        <v>21</v>
      </c>
      <c r="G52" s="66" t="s">
        <v>21</v>
      </c>
      <c r="H52" s="69" t="s">
        <v>21</v>
      </c>
      <c r="I52" s="70" t="s">
        <v>21</v>
      </c>
      <c r="J52" s="70" t="s">
        <v>21</v>
      </c>
      <c r="K52" s="71" t="s">
        <v>21</v>
      </c>
      <c r="L52" s="70" t="s">
        <v>21</v>
      </c>
      <c r="M52" s="70" t="s">
        <v>21</v>
      </c>
      <c r="N52" s="103"/>
    </row>
    <row r="53" spans="1:17" x14ac:dyDescent="0.25">
      <c r="A53" s="41" t="s">
        <v>19</v>
      </c>
      <c r="B53" s="80">
        <f>B28</f>
        <v>0</v>
      </c>
      <c r="C53" s="74">
        <v>5</v>
      </c>
      <c r="D53" s="75" t="s">
        <v>21</v>
      </c>
      <c r="E53" s="73" t="s">
        <v>21</v>
      </c>
      <c r="F53" s="73" t="s">
        <v>21</v>
      </c>
      <c r="G53" s="73" t="s">
        <v>21</v>
      </c>
      <c r="H53" s="76" t="s">
        <v>21</v>
      </c>
      <c r="I53" s="77">
        <f>SUM(D53:H53)</f>
        <v>0</v>
      </c>
      <c r="J53" s="78"/>
      <c r="K53" s="78">
        <f>J53*C53</f>
        <v>0</v>
      </c>
      <c r="L53" s="79">
        <v>0</v>
      </c>
      <c r="M53" s="77"/>
      <c r="N53" s="103"/>
    </row>
    <row r="54" spans="1:17" ht="15.75" thickBot="1" x14ac:dyDescent="0.3">
      <c r="A54" s="46" t="s">
        <v>71</v>
      </c>
      <c r="B54" s="81"/>
      <c r="C54" s="82"/>
      <c r="D54" s="83" t="e">
        <f>D43-SUM(D46:D53)</f>
        <v>#DIV/0!</v>
      </c>
      <c r="E54" s="81" t="e">
        <f t="shared" ref="E54:H54" si="14">E43-SUM(E46:E53)</f>
        <v>#DIV/0!</v>
      </c>
      <c r="F54" s="81" t="e">
        <f t="shared" si="14"/>
        <v>#DIV/0!</v>
      </c>
      <c r="G54" s="81" t="e">
        <f t="shared" si="14"/>
        <v>#DIV/0!</v>
      </c>
      <c r="H54" s="84">
        <f t="shared" si="14"/>
        <v>0</v>
      </c>
      <c r="I54" s="70" t="e">
        <f>SUM(D54:H54)</f>
        <v>#DIV/0!</v>
      </c>
      <c r="J54" s="71" t="e">
        <f t="shared" si="11"/>
        <v>#DIV/0!</v>
      </c>
      <c r="K54" s="71" t="e">
        <f>J54*C54</f>
        <v>#DIV/0!</v>
      </c>
      <c r="L54" s="72">
        <v>0</v>
      </c>
      <c r="M54" s="70"/>
    </row>
    <row r="57" spans="1:17" x14ac:dyDescent="0.25">
      <c r="F57" t="s">
        <v>84</v>
      </c>
    </row>
    <row r="58" spans="1:17" x14ac:dyDescent="0.25">
      <c r="B58" s="20"/>
      <c r="C58" s="79" t="s">
        <v>76</v>
      </c>
      <c r="D58" s="97" t="e">
        <f>SUM(D54:H54,M45:M54)</f>
        <v>#DIV/0!</v>
      </c>
      <c r="E58" t="s">
        <v>31</v>
      </c>
    </row>
    <row r="59" spans="1:17" ht="18" x14ac:dyDescent="0.35">
      <c r="C59" s="55" t="s">
        <v>11</v>
      </c>
      <c r="D59">
        <v>550</v>
      </c>
      <c r="E59" t="s">
        <v>31</v>
      </c>
      <c r="F59" s="98" t="s">
        <v>85</v>
      </c>
      <c r="G59" t="s">
        <v>31</v>
      </c>
    </row>
    <row r="60" spans="1:17" x14ac:dyDescent="0.25">
      <c r="C60" t="s">
        <v>77</v>
      </c>
      <c r="D60">
        <f>4.1*D$59/500</f>
        <v>4.51</v>
      </c>
      <c r="E60" t="s">
        <v>78</v>
      </c>
      <c r="F60">
        <v>4510.8100000000004</v>
      </c>
      <c r="G60" t="s">
        <v>86</v>
      </c>
    </row>
    <row r="61" spans="1:17" x14ac:dyDescent="0.25">
      <c r="C61" t="s">
        <v>79</v>
      </c>
      <c r="D61">
        <f>0.569*D$59/500</f>
        <v>0.62590000000000001</v>
      </c>
      <c r="E61" t="s">
        <v>78</v>
      </c>
      <c r="F61" s="99">
        <v>625.5</v>
      </c>
      <c r="G61" t="s">
        <v>86</v>
      </c>
    </row>
    <row r="66" spans="1:17" x14ac:dyDescent="0.25">
      <c r="A66" s="101" t="s">
        <v>88</v>
      </c>
    </row>
    <row r="67" spans="1:17" x14ac:dyDescent="0.25">
      <c r="A67" s="101"/>
    </row>
    <row r="68" spans="1:17" ht="15.75" thickBot="1" x14ac:dyDescent="0.3">
      <c r="A68" s="102" t="s">
        <v>71</v>
      </c>
      <c r="N68" s="30"/>
    </row>
    <row r="69" spans="1:17" x14ac:dyDescent="0.25">
      <c r="A69" s="3" t="s">
        <v>23</v>
      </c>
      <c r="C69" s="4"/>
      <c r="D69" s="10" t="s">
        <v>2</v>
      </c>
      <c r="E69" s="10" t="s">
        <v>16</v>
      </c>
      <c r="F69" s="10" t="s">
        <v>17</v>
      </c>
      <c r="G69" s="10" t="s">
        <v>18</v>
      </c>
      <c r="H69" s="11" t="s">
        <v>73</v>
      </c>
    </row>
    <row r="70" spans="1:17" ht="18" x14ac:dyDescent="0.35">
      <c r="A70" s="3"/>
      <c r="C70" s="55" t="s">
        <v>72</v>
      </c>
      <c r="D70" s="6">
        <v>81</v>
      </c>
      <c r="E70" s="6">
        <f>E44</f>
        <v>0</v>
      </c>
      <c r="F70" s="6">
        <v>54</v>
      </c>
      <c r="G70" s="6">
        <f>G44</f>
        <v>0</v>
      </c>
      <c r="H70" s="56">
        <v>81</v>
      </c>
      <c r="I70" s="19"/>
    </row>
    <row r="71" spans="1:17" ht="18" x14ac:dyDescent="0.35">
      <c r="A71" s="3"/>
      <c r="C71" s="55" t="s">
        <v>1</v>
      </c>
      <c r="D71" s="16">
        <f>D70*$D$13</f>
        <v>405</v>
      </c>
      <c r="E71" s="16">
        <f t="shared" ref="E71:H71" si="15">E70*$D$13</f>
        <v>0</v>
      </c>
      <c r="F71" s="16">
        <f t="shared" si="15"/>
        <v>270</v>
      </c>
      <c r="G71" s="16">
        <f t="shared" si="15"/>
        <v>0</v>
      </c>
      <c r="H71" s="56">
        <f t="shared" si="15"/>
        <v>405</v>
      </c>
      <c r="I71" s="19"/>
    </row>
    <row r="72" spans="1:17" ht="18" x14ac:dyDescent="0.35">
      <c r="C72" s="55" t="s">
        <v>11</v>
      </c>
      <c r="D72" s="16">
        <v>250</v>
      </c>
      <c r="E72" s="16">
        <f t="shared" ref="E72" si="16">ROUNDUP(E71*$D$11,0)</f>
        <v>0</v>
      </c>
      <c r="F72" s="16">
        <v>0</v>
      </c>
      <c r="G72" s="16">
        <f t="shared" ref="G72" si="17">ROUNDUP(G71*$D$11,0)</f>
        <v>0</v>
      </c>
      <c r="H72" s="56">
        <v>0</v>
      </c>
      <c r="I72" s="19"/>
    </row>
    <row r="73" spans="1:17" ht="15.75" thickBot="1" x14ac:dyDescent="0.3">
      <c r="C73" s="62"/>
      <c r="D73" s="86" t="str">
        <f>"accounts for 180 mL already prepared ("&amp;D71&amp;"-"&amp;D72&amp;"="&amp;D71-D72&amp;")"</f>
        <v>accounts for 180 mL already prepared (405-250=155)</v>
      </c>
      <c r="E73" s="86"/>
      <c r="F73" s="86"/>
      <c r="G73" s="86"/>
      <c r="H73" s="87"/>
      <c r="P73" t="s">
        <v>89</v>
      </c>
    </row>
    <row r="74" spans="1:17" ht="18" x14ac:dyDescent="0.35">
      <c r="A74" s="4"/>
      <c r="B74" s="10" t="s">
        <v>24</v>
      </c>
      <c r="C74" s="85" t="s">
        <v>25</v>
      </c>
      <c r="D74" s="88" t="s">
        <v>39</v>
      </c>
      <c r="E74" s="89"/>
      <c r="F74" s="89"/>
      <c r="G74" s="89"/>
      <c r="H74" s="90"/>
      <c r="I74" s="21" t="s">
        <v>50</v>
      </c>
      <c r="J74" s="27" t="s">
        <v>51</v>
      </c>
      <c r="K74" s="27" t="s">
        <v>91</v>
      </c>
      <c r="L74" s="27" t="s">
        <v>55</v>
      </c>
      <c r="M74" s="27" t="s">
        <v>56</v>
      </c>
    </row>
    <row r="75" spans="1:17" x14ac:dyDescent="0.25">
      <c r="A75" s="42" t="s">
        <v>12</v>
      </c>
      <c r="B75" s="66">
        <f>B46</f>
        <v>580</v>
      </c>
      <c r="C75" s="67">
        <v>7.5773913043478256</v>
      </c>
      <c r="D75" s="68">
        <f>D$72/($C75*1000/$B75)</f>
        <v>19.135873307321553</v>
      </c>
      <c r="E75" s="66" t="s">
        <v>21</v>
      </c>
      <c r="F75" s="66">
        <f>F$72/($C75*1000/$B75)</f>
        <v>0</v>
      </c>
      <c r="G75" s="66">
        <f>G$43/($C75*1000/$B75)</f>
        <v>0</v>
      </c>
      <c r="H75" s="69" t="s">
        <v>21</v>
      </c>
      <c r="I75" s="70">
        <f>SUM(D75:H75)</f>
        <v>19.135873307321553</v>
      </c>
      <c r="J75" s="71">
        <v>12</v>
      </c>
      <c r="K75" s="71">
        <f>J75*C75</f>
        <v>90.9286956521739</v>
      </c>
      <c r="L75" s="72">
        <v>87.14</v>
      </c>
      <c r="M75" s="70">
        <f t="shared" ref="M75:M76" si="18">L75/K75*J75</f>
        <v>11.500000000000002</v>
      </c>
      <c r="N75" s="103" t="s">
        <v>64</v>
      </c>
    </row>
    <row r="76" spans="1:17" x14ac:dyDescent="0.25">
      <c r="A76" s="41" t="s">
        <v>13</v>
      </c>
      <c r="B76" s="73">
        <f>B47</f>
        <v>4500</v>
      </c>
      <c r="C76" s="74">
        <v>50.281428571428577</v>
      </c>
      <c r="D76" s="75">
        <f>D$72/($C76*1000/$B76)</f>
        <v>22.37406597153166</v>
      </c>
      <c r="E76" s="73">
        <f>E$43/($C76*1000/$B76)</f>
        <v>0</v>
      </c>
      <c r="F76" s="73" t="s">
        <v>21</v>
      </c>
      <c r="G76" s="73">
        <f>G$43/($C76*1000/$B76)</f>
        <v>0</v>
      </c>
      <c r="H76" s="76" t="s">
        <v>21</v>
      </c>
      <c r="I76" s="77">
        <f>SUM(D76:H76)</f>
        <v>22.37406597153166</v>
      </c>
      <c r="J76" s="78">
        <v>14</v>
      </c>
      <c r="K76" s="78">
        <f>J76*C76</f>
        <v>703.94</v>
      </c>
      <c r="L76" s="100">
        <v>703.94</v>
      </c>
      <c r="M76" s="77">
        <f t="shared" si="18"/>
        <v>14</v>
      </c>
      <c r="N76" s="103"/>
    </row>
    <row r="77" spans="1:17" x14ac:dyDescent="0.25">
      <c r="A77" s="42" t="s">
        <v>14</v>
      </c>
      <c r="B77" s="66">
        <f t="shared" ref="B77:B82" si="19">B48</f>
        <v>0</v>
      </c>
      <c r="C77" s="67" t="s">
        <v>21</v>
      </c>
      <c r="D77" s="68" t="s">
        <v>21</v>
      </c>
      <c r="E77" s="66" t="s">
        <v>21</v>
      </c>
      <c r="F77" s="66" t="s">
        <v>21</v>
      </c>
      <c r="G77" s="66" t="s">
        <v>21</v>
      </c>
      <c r="H77" s="69" t="s">
        <v>21</v>
      </c>
      <c r="I77" s="70" t="s">
        <v>21</v>
      </c>
      <c r="J77" s="70" t="s">
        <v>21</v>
      </c>
      <c r="K77" s="71" t="s">
        <v>21</v>
      </c>
      <c r="L77" s="70" t="s">
        <v>21</v>
      </c>
      <c r="M77" s="70" t="s">
        <v>21</v>
      </c>
      <c r="N77" s="103"/>
      <c r="P77" t="s">
        <v>80</v>
      </c>
      <c r="Q77">
        <v>14</v>
      </c>
    </row>
    <row r="78" spans="1:17" x14ac:dyDescent="0.25">
      <c r="A78" s="41" t="s">
        <v>15</v>
      </c>
      <c r="B78" s="73">
        <f t="shared" si="19"/>
        <v>0</v>
      </c>
      <c r="C78" s="74">
        <v>4.9325000000000001</v>
      </c>
      <c r="D78" s="75" t="e">
        <f>D$72/($C78*1000/$B78)</f>
        <v>#DIV/0!</v>
      </c>
      <c r="E78" s="73" t="e">
        <f>E$43/($C78*1000/$B78)</f>
        <v>#DIV/0!</v>
      </c>
      <c r="F78" s="73" t="e">
        <f>F$72/($C78*1000/$B78)</f>
        <v>#DIV/0!</v>
      </c>
      <c r="G78" s="73" t="e">
        <f>G$43/($C78*1000/$B78)</f>
        <v>#DIV/0!</v>
      </c>
      <c r="H78" s="76" t="s">
        <v>21</v>
      </c>
      <c r="I78" s="77" t="e">
        <f>SUM(D78:H78)</f>
        <v>#DIV/0!</v>
      </c>
      <c r="J78" s="78">
        <v>4</v>
      </c>
      <c r="K78" s="78">
        <f>J78*C78</f>
        <v>19.73</v>
      </c>
      <c r="L78" s="79">
        <v>19.73</v>
      </c>
      <c r="M78" s="77">
        <f t="shared" ref="M78" si="20">L78/K78*J78</f>
        <v>4</v>
      </c>
      <c r="N78" s="103"/>
      <c r="P78" t="s">
        <v>81</v>
      </c>
      <c r="Q78">
        <v>14.078800000000001</v>
      </c>
    </row>
    <row r="79" spans="1:17" x14ac:dyDescent="0.25">
      <c r="A79" s="42" t="s">
        <v>16</v>
      </c>
      <c r="B79" s="66" t="e">
        <f t="shared" si="19"/>
        <v>#REF!</v>
      </c>
      <c r="C79" s="67">
        <f>C75</f>
        <v>7.5773913043478256</v>
      </c>
      <c r="D79" s="68" t="s">
        <v>21</v>
      </c>
      <c r="E79" s="66" t="e">
        <f>E$43/($C79*1000/$B79)</f>
        <v>#REF!</v>
      </c>
      <c r="F79" s="66" t="s">
        <v>21</v>
      </c>
      <c r="G79" s="66" t="s">
        <v>21</v>
      </c>
      <c r="H79" s="69" t="s">
        <v>21</v>
      </c>
      <c r="I79" s="70" t="e">
        <f>SUM(D79:H79)</f>
        <v>#REF!</v>
      </c>
      <c r="J79" s="71"/>
      <c r="K79" s="71">
        <f>J79*C79</f>
        <v>0</v>
      </c>
      <c r="L79" s="72">
        <v>0</v>
      </c>
      <c r="M79" s="70"/>
      <c r="N79" s="103"/>
      <c r="P79" t="s">
        <v>82</v>
      </c>
      <c r="Q79">
        <v>50</v>
      </c>
    </row>
    <row r="80" spans="1:17" x14ac:dyDescent="0.25">
      <c r="A80" s="41" t="s">
        <v>17</v>
      </c>
      <c r="B80" s="73">
        <f t="shared" si="19"/>
        <v>4648.6178952042637</v>
      </c>
      <c r="C80" s="74">
        <v>48</v>
      </c>
      <c r="D80" s="75" t="s">
        <v>21</v>
      </c>
      <c r="E80" s="73" t="s">
        <v>21</v>
      </c>
      <c r="F80" s="73">
        <f>F$72/($C80*1000/$B80)</f>
        <v>0</v>
      </c>
      <c r="G80" s="73" t="s">
        <v>21</v>
      </c>
      <c r="H80" s="76" t="s">
        <v>21</v>
      </c>
      <c r="I80" s="77">
        <f>SUM(D80:H80)</f>
        <v>0</v>
      </c>
      <c r="J80" s="78">
        <v>0</v>
      </c>
      <c r="K80" s="78">
        <f>J80*C80</f>
        <v>0</v>
      </c>
      <c r="L80" s="79">
        <v>0</v>
      </c>
      <c r="M80" s="77" t="s">
        <v>21</v>
      </c>
      <c r="N80" s="103"/>
      <c r="P80" t="s">
        <v>83</v>
      </c>
      <c r="Q80">
        <f>Q78/Q77*Q79</f>
        <v>50.281428571428577</v>
      </c>
    </row>
    <row r="81" spans="1:14" x14ac:dyDescent="0.25">
      <c r="A81" s="42" t="s">
        <v>18</v>
      </c>
      <c r="B81" s="66">
        <f t="shared" si="19"/>
        <v>0</v>
      </c>
      <c r="C81" s="67" t="s">
        <v>21</v>
      </c>
      <c r="D81" s="68" t="s">
        <v>21</v>
      </c>
      <c r="E81" s="66" t="s">
        <v>21</v>
      </c>
      <c r="F81" s="66" t="s">
        <v>21</v>
      </c>
      <c r="G81" s="66" t="s">
        <v>21</v>
      </c>
      <c r="H81" s="69" t="s">
        <v>21</v>
      </c>
      <c r="I81" s="70" t="s">
        <v>21</v>
      </c>
      <c r="J81" s="70" t="s">
        <v>21</v>
      </c>
      <c r="K81" s="71" t="s">
        <v>21</v>
      </c>
      <c r="L81" s="70" t="s">
        <v>21</v>
      </c>
      <c r="M81" s="70" t="s">
        <v>21</v>
      </c>
      <c r="N81" s="103"/>
    </row>
    <row r="82" spans="1:14" x14ac:dyDescent="0.25">
      <c r="A82" s="41" t="s">
        <v>19</v>
      </c>
      <c r="B82" s="80">
        <f t="shared" si="19"/>
        <v>0</v>
      </c>
      <c r="C82" s="74">
        <v>5</v>
      </c>
      <c r="D82" s="75" t="s">
        <v>21</v>
      </c>
      <c r="E82" s="73" t="s">
        <v>21</v>
      </c>
      <c r="F82" s="73" t="s">
        <v>21</v>
      </c>
      <c r="G82" s="73" t="s">
        <v>21</v>
      </c>
      <c r="H82" s="76" t="s">
        <v>21</v>
      </c>
      <c r="I82" s="77">
        <f>SUM(D82:H82)</f>
        <v>0</v>
      </c>
      <c r="J82" s="78"/>
      <c r="K82" s="78">
        <f>J82*C82</f>
        <v>0</v>
      </c>
      <c r="L82" s="79">
        <v>0</v>
      </c>
      <c r="M82" s="77"/>
      <c r="N82" s="103"/>
    </row>
    <row r="83" spans="1:14" ht="15.75" thickBot="1" x14ac:dyDescent="0.3">
      <c r="A83" s="46" t="s">
        <v>71</v>
      </c>
      <c r="B83" s="81"/>
      <c r="C83" s="82"/>
      <c r="D83" s="83" t="e">
        <f>D72-SUM(D75:D82)</f>
        <v>#DIV/0!</v>
      </c>
      <c r="E83" s="81" t="e">
        <f t="shared" ref="E83:H83" si="21">E72-SUM(E75:E82)</f>
        <v>#DIV/0!</v>
      </c>
      <c r="F83" s="81" t="e">
        <f t="shared" si="21"/>
        <v>#DIV/0!</v>
      </c>
      <c r="G83" s="81" t="e">
        <f t="shared" si="21"/>
        <v>#DIV/0!</v>
      </c>
      <c r="H83" s="84">
        <f t="shared" si="21"/>
        <v>0</v>
      </c>
      <c r="I83" s="70" t="e">
        <f>SUM(D83:H83)</f>
        <v>#DIV/0!</v>
      </c>
      <c r="J83" s="71" t="e">
        <f t="shared" ref="J83" si="22">ROUNDUP(I83*1.1,0)</f>
        <v>#DIV/0!</v>
      </c>
      <c r="K83" s="71" t="e">
        <f>J83*C83</f>
        <v>#DIV/0!</v>
      </c>
      <c r="L83" s="72">
        <v>0</v>
      </c>
      <c r="M83" s="70"/>
    </row>
    <row r="88" spans="1:14" x14ac:dyDescent="0.25">
      <c r="D88" s="20"/>
      <c r="E88" s="79" t="s">
        <v>76</v>
      </c>
      <c r="F88" s="97" t="e">
        <f>SUM(D83:H83,M74:M83)</f>
        <v>#DIV/0!</v>
      </c>
      <c r="G88" t="s">
        <v>31</v>
      </c>
    </row>
    <row r="89" spans="1:14" ht="18" x14ac:dyDescent="0.35">
      <c r="E89" s="55" t="s">
        <v>11</v>
      </c>
      <c r="F89">
        <v>300</v>
      </c>
      <c r="G89" t="s">
        <v>31</v>
      </c>
      <c r="H89" s="98">
        <v>300</v>
      </c>
    </row>
    <row r="90" spans="1:14" x14ac:dyDescent="0.25">
      <c r="E90" t="s">
        <v>77</v>
      </c>
      <c r="F90">
        <f>4.1*F$89/500</f>
        <v>2.46</v>
      </c>
      <c r="G90" t="s">
        <v>78</v>
      </c>
      <c r="I90">
        <v>2460.6999999999998</v>
      </c>
    </row>
    <row r="91" spans="1:14" x14ac:dyDescent="0.25">
      <c r="E91" t="s">
        <v>79</v>
      </c>
      <c r="F91">
        <f>0.569*F$89/500</f>
        <v>0.34139999999999998</v>
      </c>
      <c r="G91" t="s">
        <v>78</v>
      </c>
      <c r="H91" s="99"/>
      <c r="I91">
        <v>341.5</v>
      </c>
    </row>
  </sheetData>
  <mergeCells count="4">
    <mergeCell ref="N21:N28"/>
    <mergeCell ref="N34:N36"/>
    <mergeCell ref="N46:N53"/>
    <mergeCell ref="N75:N82"/>
  </mergeCells>
  <pageMargins left="0.23622047244094491" right="0.23622047244094491" top="0.74803149606299213" bottom="0.74803149606299213" header="0.31496062992125984" footer="0.31496062992125984"/>
  <pageSetup paperSize="9" scale="34" orientation="landscape" r:id="rId1"/>
  <headerFooter>
    <oddHeader>&amp;L&amp;D, &amp;T&amp;C&amp;Z&amp;F&amp;R&amp;A</oddHead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R76"/>
  <sheetViews>
    <sheetView zoomScale="85" zoomScaleNormal="85" workbookViewId="0">
      <selection activeCell="C6" sqref="C6"/>
    </sheetView>
  </sheetViews>
  <sheetFormatPr defaultRowHeight="15" x14ac:dyDescent="0.25"/>
  <cols>
    <col min="1" max="1" width="13.28515625" bestFit="1" customWidth="1"/>
    <col min="2" max="2" width="11" customWidth="1"/>
    <col min="3" max="3" width="13.85546875" bestFit="1" customWidth="1"/>
    <col min="4" max="4" width="12" bestFit="1" customWidth="1"/>
    <col min="6" max="6" width="11.28515625" customWidth="1"/>
    <col min="7" max="7" width="11.5703125" bestFit="1" customWidth="1"/>
    <col min="8" max="8" width="12" bestFit="1" customWidth="1"/>
    <col min="9" max="9" width="11.5703125" bestFit="1" customWidth="1"/>
    <col min="10" max="10" width="12" bestFit="1" customWidth="1"/>
    <col min="11" max="11" width="13.28515625" bestFit="1" customWidth="1"/>
    <col min="13" max="13" width="9.85546875" customWidth="1"/>
  </cols>
  <sheetData>
    <row r="1" spans="1:13" ht="18" x14ac:dyDescent="0.35">
      <c r="A1" t="s">
        <v>0</v>
      </c>
      <c r="B1" t="s">
        <v>6</v>
      </c>
      <c r="C1" t="s">
        <v>7</v>
      </c>
      <c r="D1" t="s">
        <v>28</v>
      </c>
      <c r="K1" s="18"/>
    </row>
    <row r="2" spans="1:13" ht="18" x14ac:dyDescent="0.35">
      <c r="A2" t="s">
        <v>8</v>
      </c>
      <c r="B2">
        <v>10</v>
      </c>
      <c r="C2">
        <v>1</v>
      </c>
      <c r="D2">
        <f>B2*C2</f>
        <v>10</v>
      </c>
      <c r="E2" t="s">
        <v>29</v>
      </c>
      <c r="K2" s="18"/>
    </row>
    <row r="3" spans="1:13" ht="18.75" x14ac:dyDescent="0.35">
      <c r="A3" t="s">
        <v>9</v>
      </c>
      <c r="B3">
        <v>0</v>
      </c>
      <c r="C3">
        <v>0</v>
      </c>
      <c r="D3">
        <f t="shared" ref="D3:D7" si="0">B3*C3</f>
        <v>0</v>
      </c>
      <c r="E3">
        <f>D2+D3</f>
        <v>10</v>
      </c>
      <c r="H3" s="16"/>
      <c r="I3" s="16" t="s">
        <v>43</v>
      </c>
      <c r="J3" s="16" t="s">
        <v>44</v>
      </c>
      <c r="K3" s="16" t="s">
        <v>42</v>
      </c>
      <c r="L3" s="16" t="s">
        <v>45</v>
      </c>
      <c r="M3" s="16" t="s">
        <v>46</v>
      </c>
    </row>
    <row r="4" spans="1:13" x14ac:dyDescent="0.25">
      <c r="A4" t="s">
        <v>5</v>
      </c>
      <c r="B4">
        <v>0</v>
      </c>
      <c r="C4">
        <v>0</v>
      </c>
      <c r="D4">
        <f t="shared" si="0"/>
        <v>0</v>
      </c>
      <c r="E4">
        <f>D4</f>
        <v>0</v>
      </c>
      <c r="H4" s="16" t="s">
        <v>47</v>
      </c>
      <c r="I4" s="16">
        <v>146.15</v>
      </c>
      <c r="J4" s="16">
        <v>151.11000000000001</v>
      </c>
      <c r="K4" s="25">
        <f>J4/I4</f>
        <v>1.0339377352035581</v>
      </c>
      <c r="L4" s="23">
        <v>365</v>
      </c>
      <c r="M4" s="23">
        <f>L4*K4</f>
        <v>377.38727334929871</v>
      </c>
    </row>
    <row r="5" spans="1:13" x14ac:dyDescent="0.25">
      <c r="A5" t="s">
        <v>10</v>
      </c>
      <c r="B5">
        <v>0</v>
      </c>
      <c r="C5">
        <v>0</v>
      </c>
      <c r="D5">
        <f t="shared" si="0"/>
        <v>0</v>
      </c>
      <c r="E5">
        <f t="shared" ref="E5:E7" si="1">D5</f>
        <v>0</v>
      </c>
      <c r="H5" s="16" t="s">
        <v>41</v>
      </c>
      <c r="I5" s="16">
        <v>180.16</v>
      </c>
      <c r="J5" s="16">
        <v>186.11</v>
      </c>
      <c r="K5" s="25">
        <f>J5/I5</f>
        <v>1.0330261989342808</v>
      </c>
      <c r="L5" s="23">
        <v>3150</v>
      </c>
      <c r="M5" s="23">
        <f>L5*K5</f>
        <v>3254.0325266429845</v>
      </c>
    </row>
    <row r="6" spans="1:13" x14ac:dyDescent="0.25">
      <c r="A6" t="s">
        <v>3</v>
      </c>
      <c r="B6">
        <v>0</v>
      </c>
      <c r="C6">
        <v>0</v>
      </c>
      <c r="D6">
        <f t="shared" si="0"/>
        <v>0</v>
      </c>
      <c r="E6">
        <f t="shared" si="1"/>
        <v>0</v>
      </c>
      <c r="H6" s="16" t="s">
        <v>48</v>
      </c>
      <c r="I6" s="16">
        <v>256.43</v>
      </c>
      <c r="J6" s="16">
        <v>272.31</v>
      </c>
      <c r="K6" s="25">
        <f>J6/I6</f>
        <v>1.0619272316031665</v>
      </c>
      <c r="L6" s="23">
        <v>0</v>
      </c>
      <c r="M6" s="23">
        <f>L6*K6</f>
        <v>0</v>
      </c>
    </row>
    <row r="7" spans="1:13" x14ac:dyDescent="0.25">
      <c r="A7" t="s">
        <v>4</v>
      </c>
      <c r="B7">
        <v>0</v>
      </c>
      <c r="C7">
        <v>0</v>
      </c>
      <c r="D7">
        <f t="shared" si="0"/>
        <v>0</v>
      </c>
      <c r="E7">
        <f t="shared" si="1"/>
        <v>0</v>
      </c>
      <c r="H7" s="16" t="s">
        <v>60</v>
      </c>
      <c r="I7" s="24">
        <v>110.04</v>
      </c>
      <c r="J7" s="16">
        <v>113.02</v>
      </c>
      <c r="K7" s="16">
        <f>J7/I7</f>
        <v>1.0270810614322063</v>
      </c>
      <c r="L7" s="16">
        <v>55</v>
      </c>
      <c r="M7" s="23">
        <f>L7*K7</f>
        <v>56.489458378771346</v>
      </c>
    </row>
    <row r="8" spans="1:13" x14ac:dyDescent="0.25">
      <c r="H8" s="24" t="s">
        <v>67</v>
      </c>
      <c r="I8" s="24">
        <v>146.19</v>
      </c>
      <c r="J8" s="94">
        <v>182.65</v>
      </c>
      <c r="K8" s="25">
        <f>J8/I8</f>
        <v>1.2494014638484165</v>
      </c>
      <c r="L8" s="23">
        <v>0</v>
      </c>
      <c r="M8" s="23">
        <f>L8*K8</f>
        <v>0</v>
      </c>
    </row>
    <row r="9" spans="1:13" x14ac:dyDescent="0.25">
      <c r="A9" t="s">
        <v>66</v>
      </c>
    </row>
    <row r="11" spans="1:13" ht="18" x14ac:dyDescent="0.35">
      <c r="C11" s="2" t="s">
        <v>32</v>
      </c>
      <c r="D11" s="3">
        <v>1.2</v>
      </c>
      <c r="E11" s="3"/>
      <c r="F11" s="3"/>
      <c r="G11" s="3"/>
      <c r="H11" s="3"/>
      <c r="I11" s="20"/>
    </row>
    <row r="12" spans="1:13" ht="18" x14ac:dyDescent="0.35">
      <c r="C12" s="2" t="s">
        <v>30</v>
      </c>
      <c r="D12" s="3">
        <v>10</v>
      </c>
      <c r="E12" s="3" t="s">
        <v>31</v>
      </c>
      <c r="F12" s="3"/>
      <c r="G12" s="3"/>
      <c r="H12" s="3"/>
      <c r="I12" s="20"/>
    </row>
    <row r="13" spans="1:13" ht="18" x14ac:dyDescent="0.35">
      <c r="C13" s="2" t="s">
        <v>61</v>
      </c>
      <c r="D13">
        <v>5</v>
      </c>
      <c r="E13" t="s">
        <v>31</v>
      </c>
      <c r="I13" s="20"/>
    </row>
    <row r="14" spans="1:13" ht="15.75" thickBot="1" x14ac:dyDescent="0.3">
      <c r="C14" s="2"/>
      <c r="I14" s="20"/>
    </row>
    <row r="15" spans="1:13" x14ac:dyDescent="0.25">
      <c r="A15" s="3" t="s">
        <v>23</v>
      </c>
      <c r="C15" s="4"/>
      <c r="D15" s="10" t="s">
        <v>2</v>
      </c>
      <c r="E15" s="10" t="s">
        <v>16</v>
      </c>
      <c r="F15" s="10" t="s">
        <v>17</v>
      </c>
      <c r="G15" s="10" t="s">
        <v>18</v>
      </c>
      <c r="H15" s="11" t="s">
        <v>19</v>
      </c>
    </row>
    <row r="16" spans="1:13" ht="18" x14ac:dyDescent="0.35">
      <c r="A16" s="3"/>
      <c r="C16" s="55" t="s">
        <v>29</v>
      </c>
      <c r="D16" s="6">
        <f t="array" ref="D16:H16">TRANSPOSE(E3:E7)</f>
        <v>10</v>
      </c>
      <c r="E16" s="6">
        <v>0</v>
      </c>
      <c r="F16" s="6">
        <v>0</v>
      </c>
      <c r="G16" s="6">
        <v>0</v>
      </c>
      <c r="H16" s="56">
        <v>0</v>
      </c>
      <c r="I16" s="19"/>
      <c r="L16" t="s">
        <v>70</v>
      </c>
    </row>
    <row r="17" spans="1:18" ht="18" x14ac:dyDescent="0.35">
      <c r="A17" s="3"/>
      <c r="C17" s="55" t="s">
        <v>1</v>
      </c>
      <c r="D17" s="16">
        <f>D16*$D$12</f>
        <v>100</v>
      </c>
      <c r="E17" s="16">
        <f>E16*$D$12</f>
        <v>0</v>
      </c>
      <c r="F17" s="16">
        <f>F16*$D$12</f>
        <v>0</v>
      </c>
      <c r="G17" s="16">
        <f>G16*$D$12</f>
        <v>0</v>
      </c>
      <c r="H17" s="57">
        <f>H16*$D$12</f>
        <v>0</v>
      </c>
      <c r="I17" s="19"/>
    </row>
    <row r="18" spans="1:18" ht="18" x14ac:dyDescent="0.35">
      <c r="C18" s="55" t="s">
        <v>11</v>
      </c>
      <c r="D18" s="16">
        <v>100</v>
      </c>
      <c r="E18" s="16">
        <f>ROUNDUP(E17*$D$11,0)</f>
        <v>0</v>
      </c>
      <c r="F18" s="16">
        <v>0</v>
      </c>
      <c r="G18" s="16">
        <f>ROUNDUP(G17*$D$11,0)</f>
        <v>0</v>
      </c>
      <c r="H18" s="57">
        <f>ROUNDUP(H17*$D$11,0)</f>
        <v>0</v>
      </c>
      <c r="I18" s="19"/>
    </row>
    <row r="19" spans="1:18" ht="15.75" thickBot="1" x14ac:dyDescent="0.3">
      <c r="C19" s="62"/>
      <c r="D19" s="63"/>
      <c r="E19" s="63"/>
      <c r="F19" s="63"/>
      <c r="G19" s="63"/>
      <c r="H19" s="64"/>
    </row>
    <row r="20" spans="1:18" ht="18.75" thickBot="1" x14ac:dyDescent="0.4">
      <c r="A20" s="4"/>
      <c r="B20" s="10" t="s">
        <v>24</v>
      </c>
      <c r="C20" s="58" t="s">
        <v>25</v>
      </c>
      <c r="D20" s="59" t="s">
        <v>39</v>
      </c>
      <c r="E20" s="60"/>
      <c r="F20" s="60"/>
      <c r="G20" s="60"/>
      <c r="H20" s="61"/>
      <c r="I20" s="21" t="s">
        <v>50</v>
      </c>
      <c r="J20" s="27" t="s">
        <v>51</v>
      </c>
      <c r="K20" s="27" t="s">
        <v>54</v>
      </c>
      <c r="L20" s="27" t="s">
        <v>55</v>
      </c>
      <c r="M20" s="27" t="s">
        <v>56</v>
      </c>
    </row>
    <row r="21" spans="1:18" ht="15.75" thickBot="1" x14ac:dyDescent="0.3">
      <c r="A21" s="42" t="s">
        <v>20</v>
      </c>
      <c r="B21" s="45">
        <v>0</v>
      </c>
      <c r="C21" s="49">
        <v>15</v>
      </c>
      <c r="D21" s="95" t="str">
        <f t="shared" ref="D21:D26" si="2">IF($B21&gt;0,D$18/($C21*1000/$B21),"Ø")</f>
        <v>Ø</v>
      </c>
      <c r="E21" s="95" t="str">
        <f t="shared" ref="E21:H26" si="3">IF($B21&gt;0,E$18/($C21*1000/$B21),"Ø")</f>
        <v>Ø</v>
      </c>
      <c r="F21" s="95" t="str">
        <f t="shared" si="3"/>
        <v>Ø</v>
      </c>
      <c r="G21" s="95" t="str">
        <f t="shared" si="3"/>
        <v>Ø</v>
      </c>
      <c r="H21" s="96" t="str">
        <f t="shared" si="3"/>
        <v>Ø</v>
      </c>
      <c r="I21" s="52">
        <f>SUM(D21:H21)</f>
        <v>0</v>
      </c>
      <c r="J21" s="53"/>
      <c r="K21" s="53">
        <f>J21*C21</f>
        <v>0</v>
      </c>
      <c r="L21" s="54"/>
      <c r="M21" s="54" t="e">
        <f>L21/K21*J21</f>
        <v>#DIV/0!</v>
      </c>
      <c r="N21" s="103" t="s">
        <v>65</v>
      </c>
    </row>
    <row r="22" spans="1:18" ht="15.75" thickBot="1" x14ac:dyDescent="0.3">
      <c r="A22" s="41" t="s">
        <v>59</v>
      </c>
      <c r="B22" s="65">
        <f>M8</f>
        <v>0</v>
      </c>
      <c r="C22" s="17">
        <v>0</v>
      </c>
      <c r="D22" s="95" t="str">
        <f t="shared" si="2"/>
        <v>Ø</v>
      </c>
      <c r="E22" s="95" t="str">
        <f t="shared" si="3"/>
        <v>Ø</v>
      </c>
      <c r="F22" s="95" t="str">
        <f t="shared" si="3"/>
        <v>Ø</v>
      </c>
      <c r="G22" s="95" t="str">
        <f t="shared" si="3"/>
        <v>Ø</v>
      </c>
      <c r="H22" s="96" t="str">
        <f t="shared" si="3"/>
        <v>Ø</v>
      </c>
      <c r="I22" s="20">
        <f t="shared" ref="I22:I31" si="4">SUM(D22:H22)</f>
        <v>0</v>
      </c>
      <c r="J22" s="3"/>
      <c r="K22" s="3">
        <f t="shared" ref="K22:K31" si="5">J22*C22</f>
        <v>0</v>
      </c>
      <c r="M22" t="str">
        <f>IF(B22&gt;0,L22/K22*J22,"")</f>
        <v/>
      </c>
      <c r="N22" s="103"/>
      <c r="R22">
        <f>2.6/2.652</f>
        <v>0.98039215686274506</v>
      </c>
    </row>
    <row r="23" spans="1:18" ht="15.75" thickBot="1" x14ac:dyDescent="0.3">
      <c r="A23" s="42" t="s">
        <v>12</v>
      </c>
      <c r="B23" s="45">
        <f>L4</f>
        <v>365</v>
      </c>
      <c r="C23" s="49">
        <v>7.45</v>
      </c>
      <c r="D23" s="95">
        <f t="shared" si="2"/>
        <v>4.8993288590604029</v>
      </c>
      <c r="E23" s="95">
        <f t="shared" si="3"/>
        <v>0</v>
      </c>
      <c r="F23" s="95">
        <f t="shared" si="3"/>
        <v>0</v>
      </c>
      <c r="G23" s="95">
        <f t="shared" si="3"/>
        <v>0</v>
      </c>
      <c r="H23" s="96">
        <f t="shared" si="3"/>
        <v>0</v>
      </c>
      <c r="I23" s="52">
        <f t="shared" si="4"/>
        <v>4.8993288590604029</v>
      </c>
      <c r="J23" s="53">
        <v>10</v>
      </c>
      <c r="K23" s="53">
        <f t="shared" si="5"/>
        <v>74.5</v>
      </c>
      <c r="L23" s="54">
        <v>74.5</v>
      </c>
      <c r="M23" s="52">
        <f t="shared" ref="M23:M30" si="6">L23/K23*J23</f>
        <v>10</v>
      </c>
      <c r="N23" s="103"/>
      <c r="O23" t="s">
        <v>47</v>
      </c>
      <c r="R23">
        <f>5/R22</f>
        <v>5.1000000000000005</v>
      </c>
    </row>
    <row r="24" spans="1:18" ht="15.75" thickBot="1" x14ac:dyDescent="0.3">
      <c r="A24" s="41" t="s">
        <v>13</v>
      </c>
      <c r="B24" s="8">
        <f>L5</f>
        <v>3150</v>
      </c>
      <c r="C24" s="17">
        <v>42.34</v>
      </c>
      <c r="D24" s="95">
        <f t="shared" si="2"/>
        <v>7.4397732640529046</v>
      </c>
      <c r="E24" s="95">
        <f t="shared" si="3"/>
        <v>0</v>
      </c>
      <c r="F24" s="95">
        <f t="shared" si="3"/>
        <v>0</v>
      </c>
      <c r="G24" s="95">
        <f t="shared" si="3"/>
        <v>0</v>
      </c>
      <c r="H24" s="96">
        <f t="shared" si="3"/>
        <v>0</v>
      </c>
      <c r="I24" s="20">
        <f t="shared" si="4"/>
        <v>7.4397732640529046</v>
      </c>
      <c r="J24" s="3">
        <v>15</v>
      </c>
      <c r="K24" s="3">
        <f t="shared" si="5"/>
        <v>635.1</v>
      </c>
      <c r="L24">
        <v>550.41999999999996</v>
      </c>
      <c r="M24" s="20">
        <f t="shared" si="6"/>
        <v>12.999999999999998</v>
      </c>
      <c r="N24" s="103"/>
      <c r="O24" t="s">
        <v>68</v>
      </c>
    </row>
    <row r="25" spans="1:18" ht="15.75" thickBot="1" x14ac:dyDescent="0.3">
      <c r="A25" s="42" t="s">
        <v>14</v>
      </c>
      <c r="B25" s="45">
        <f>L6</f>
        <v>0</v>
      </c>
      <c r="C25" s="49">
        <f>B25*6.25/1000</f>
        <v>0</v>
      </c>
      <c r="D25" s="95" t="str">
        <f t="shared" si="2"/>
        <v>Ø</v>
      </c>
      <c r="E25" s="95" t="str">
        <f t="shared" si="3"/>
        <v>Ø</v>
      </c>
      <c r="F25" s="95" t="str">
        <f t="shared" si="3"/>
        <v>Ø</v>
      </c>
      <c r="G25" s="95" t="str">
        <f t="shared" si="3"/>
        <v>Ø</v>
      </c>
      <c r="H25" s="96" t="str">
        <f t="shared" si="3"/>
        <v>Ø</v>
      </c>
      <c r="I25" s="52">
        <f t="shared" si="4"/>
        <v>0</v>
      </c>
      <c r="J25" s="53"/>
      <c r="K25" s="53">
        <f t="shared" si="5"/>
        <v>0</v>
      </c>
      <c r="L25" s="54"/>
      <c r="M25" s="52" t="str">
        <f>IF(B25&gt;0,L25/K25*J25,"")</f>
        <v/>
      </c>
      <c r="N25" s="103"/>
    </row>
    <row r="26" spans="1:18" x14ac:dyDescent="0.25">
      <c r="A26" s="41" t="s">
        <v>15</v>
      </c>
      <c r="B26" s="8">
        <f>L7</f>
        <v>55</v>
      </c>
      <c r="C26" s="17">
        <v>5.0999999999999996</v>
      </c>
      <c r="D26" s="95">
        <f t="shared" si="2"/>
        <v>1.0784313725490196</v>
      </c>
      <c r="E26" s="95">
        <f t="shared" si="3"/>
        <v>0</v>
      </c>
      <c r="F26" s="95">
        <f t="shared" si="3"/>
        <v>0</v>
      </c>
      <c r="G26" s="95">
        <f t="shared" si="3"/>
        <v>0</v>
      </c>
      <c r="H26" s="96">
        <f t="shared" si="3"/>
        <v>0</v>
      </c>
      <c r="I26" s="20">
        <f t="shared" si="4"/>
        <v>1.0784313725490196</v>
      </c>
      <c r="J26" s="3">
        <v>2</v>
      </c>
      <c r="K26" s="3">
        <f t="shared" si="5"/>
        <v>10.199999999999999</v>
      </c>
      <c r="L26">
        <v>13.26</v>
      </c>
      <c r="M26" s="20">
        <f t="shared" si="6"/>
        <v>2.6</v>
      </c>
      <c r="N26" s="103"/>
      <c r="O26" t="s">
        <v>69</v>
      </c>
    </row>
    <row r="27" spans="1:18" x14ac:dyDescent="0.25">
      <c r="A27" s="42" t="s">
        <v>16</v>
      </c>
      <c r="B27" s="45">
        <f>M4</f>
        <v>377.38727334929871</v>
      </c>
      <c r="C27" s="49">
        <f>C23</f>
        <v>7.45</v>
      </c>
      <c r="D27" s="44" t="s">
        <v>21</v>
      </c>
      <c r="E27" s="45">
        <f>E$18/($C27*1000/$B27)</f>
        <v>0</v>
      </c>
      <c r="F27" s="45" t="s">
        <v>21</v>
      </c>
      <c r="G27" s="45" t="s">
        <v>21</v>
      </c>
      <c r="H27" s="43" t="s">
        <v>21</v>
      </c>
      <c r="I27" s="52">
        <f t="shared" si="4"/>
        <v>0</v>
      </c>
      <c r="J27" s="53"/>
      <c r="K27" s="53">
        <f t="shared" si="5"/>
        <v>0</v>
      </c>
      <c r="L27" s="54"/>
      <c r="M27" s="52" t="e">
        <f t="shared" si="6"/>
        <v>#DIV/0!</v>
      </c>
      <c r="N27" s="103"/>
    </row>
    <row r="28" spans="1:18" x14ac:dyDescent="0.25">
      <c r="A28" s="41" t="s">
        <v>17</v>
      </c>
      <c r="B28" s="8">
        <f>M5</f>
        <v>3254.0325266429845</v>
      </c>
      <c r="C28" s="17">
        <v>48</v>
      </c>
      <c r="D28" s="5" t="s">
        <v>21</v>
      </c>
      <c r="E28" s="8" t="s">
        <v>21</v>
      </c>
      <c r="F28" s="8">
        <f>F$18/($C28*1000/$B28)</f>
        <v>0</v>
      </c>
      <c r="G28" s="8" t="s">
        <v>21</v>
      </c>
      <c r="H28" s="9" t="s">
        <v>21</v>
      </c>
      <c r="I28" s="20">
        <f t="shared" si="4"/>
        <v>0</v>
      </c>
      <c r="J28" s="3"/>
      <c r="K28" s="3">
        <f t="shared" si="5"/>
        <v>0</v>
      </c>
      <c r="M28" s="20" t="e">
        <f t="shared" si="6"/>
        <v>#DIV/0!</v>
      </c>
      <c r="N28" s="103"/>
    </row>
    <row r="29" spans="1:18" x14ac:dyDescent="0.25">
      <c r="A29" s="42" t="s">
        <v>18</v>
      </c>
      <c r="B29" s="45">
        <f>M6</f>
        <v>0</v>
      </c>
      <c r="C29" s="49">
        <f>B29*6.25/1000</f>
        <v>0</v>
      </c>
      <c r="D29" s="44" t="s">
        <v>21</v>
      </c>
      <c r="E29" s="45" t="s">
        <v>21</v>
      </c>
      <c r="F29" s="45" t="s">
        <v>21</v>
      </c>
      <c r="G29" s="45">
        <f>IF(B29&gt;0,G$18/($C29*1000/$B29),0)</f>
        <v>0</v>
      </c>
      <c r="H29" s="43" t="s">
        <v>21</v>
      </c>
      <c r="I29" s="52">
        <f t="shared" si="4"/>
        <v>0</v>
      </c>
      <c r="J29" s="53"/>
      <c r="K29" s="53">
        <f t="shared" si="5"/>
        <v>0</v>
      </c>
      <c r="L29" s="54"/>
      <c r="M29" s="52" t="str">
        <f>IF(B29&gt;0,L29/K29*J29,"")</f>
        <v/>
      </c>
      <c r="N29" s="103"/>
    </row>
    <row r="30" spans="1:18" x14ac:dyDescent="0.25">
      <c r="A30" s="41" t="s">
        <v>19</v>
      </c>
      <c r="B30" s="65">
        <f>M7</f>
        <v>56.489458378771346</v>
      </c>
      <c r="C30" s="17">
        <v>5</v>
      </c>
      <c r="D30" s="5" t="s">
        <v>21</v>
      </c>
      <c r="E30" s="8" t="s">
        <v>21</v>
      </c>
      <c r="F30" s="8" t="s">
        <v>21</v>
      </c>
      <c r="G30" s="8" t="s">
        <v>21</v>
      </c>
      <c r="H30" s="9">
        <f>H$18/($C30*1000/$B30)</f>
        <v>0</v>
      </c>
      <c r="I30" s="20">
        <f t="shared" si="4"/>
        <v>0</v>
      </c>
      <c r="J30" s="3"/>
      <c r="K30" s="3">
        <f t="shared" si="5"/>
        <v>0</v>
      </c>
      <c r="M30" s="20" t="e">
        <f t="shared" si="6"/>
        <v>#DIV/0!</v>
      </c>
      <c r="N30" s="103"/>
    </row>
    <row r="31" spans="1:18" ht="15.75" thickBot="1" x14ac:dyDescent="0.3">
      <c r="A31" s="46" t="s">
        <v>26</v>
      </c>
      <c r="B31" s="47"/>
      <c r="C31" s="50"/>
      <c r="D31" s="51">
        <f>D18-SUM(D42,D21:D30)</f>
        <v>66.582466504337674</v>
      </c>
      <c r="E31" s="47">
        <f t="shared" ref="E31:H31" si="7">E18-SUM(E42,E21:E30)</f>
        <v>0</v>
      </c>
      <c r="F31" s="47">
        <f t="shared" si="7"/>
        <v>0</v>
      </c>
      <c r="G31" s="47">
        <f t="shared" si="7"/>
        <v>0</v>
      </c>
      <c r="H31" s="48">
        <f t="shared" si="7"/>
        <v>0</v>
      </c>
      <c r="I31" s="52">
        <f t="shared" si="4"/>
        <v>66.582466504337674</v>
      </c>
      <c r="J31" s="53">
        <f>SUM(J21:J30)</f>
        <v>27</v>
      </c>
      <c r="K31" s="53">
        <f t="shared" si="5"/>
        <v>0</v>
      </c>
      <c r="L31" s="54"/>
      <c r="M31" s="52"/>
    </row>
    <row r="32" spans="1:18" ht="18" x14ac:dyDescent="0.35">
      <c r="A32" s="26" t="s">
        <v>52</v>
      </c>
      <c r="B32" s="14"/>
      <c r="C32" s="14"/>
      <c r="D32" s="28">
        <f>SUM(D21:D31)</f>
        <v>80</v>
      </c>
      <c r="E32" s="28">
        <f t="shared" ref="E32:H32" si="8">SUM(E21:E31)</f>
        <v>0</v>
      </c>
      <c r="F32" s="28">
        <f t="shared" si="8"/>
        <v>0</v>
      </c>
      <c r="G32" s="28">
        <f t="shared" si="8"/>
        <v>0</v>
      </c>
      <c r="H32" s="28">
        <f t="shared" si="8"/>
        <v>0</v>
      </c>
      <c r="I32" s="20" t="s">
        <v>53</v>
      </c>
      <c r="J32" s="3"/>
      <c r="K32" s="3"/>
    </row>
    <row r="33" spans="1:14" ht="15.75" thickBot="1" x14ac:dyDescent="0.3">
      <c r="E33" s="12"/>
      <c r="F33" s="3"/>
      <c r="J33" s="2"/>
      <c r="K33" s="20"/>
    </row>
    <row r="34" spans="1:14" ht="18" x14ac:dyDescent="0.35">
      <c r="A34" s="15" t="s">
        <v>22</v>
      </c>
      <c r="B34" s="31" t="s">
        <v>57</v>
      </c>
      <c r="C34" s="31" t="s">
        <v>40</v>
      </c>
      <c r="D34" s="32"/>
      <c r="E34" s="33"/>
      <c r="F34" s="33"/>
      <c r="G34" s="33"/>
      <c r="H34" s="34"/>
      <c r="I34" s="20"/>
    </row>
    <row r="35" spans="1:14" x14ac:dyDescent="0.25">
      <c r="A35" s="7" t="s">
        <v>22</v>
      </c>
      <c r="B35" s="17">
        <v>100</v>
      </c>
      <c r="C35" s="17">
        <f>B35*2</f>
        <v>200</v>
      </c>
      <c r="D35" s="29">
        <f t="shared" ref="D35:H42" si="9">D$18/1000*$C35</f>
        <v>20</v>
      </c>
      <c r="E35" s="29">
        <f t="shared" si="9"/>
        <v>0</v>
      </c>
      <c r="F35" s="29">
        <f t="shared" si="9"/>
        <v>0</v>
      </c>
      <c r="G35" s="29">
        <f t="shared" si="9"/>
        <v>0</v>
      </c>
      <c r="H35" s="35">
        <f t="shared" si="9"/>
        <v>0</v>
      </c>
      <c r="I35" s="20"/>
      <c r="K35" s="3"/>
      <c r="N35" s="103" t="s">
        <v>64</v>
      </c>
    </row>
    <row r="36" spans="1:14" x14ac:dyDescent="0.25">
      <c r="A36" s="7" t="s">
        <v>33</v>
      </c>
      <c r="B36" s="17">
        <v>0</v>
      </c>
      <c r="C36" s="17">
        <f t="shared" ref="C36:C42" si="10">B36*2</f>
        <v>0</v>
      </c>
      <c r="D36" s="29">
        <f t="shared" si="9"/>
        <v>0</v>
      </c>
      <c r="E36" s="29">
        <f t="shared" si="9"/>
        <v>0</v>
      </c>
      <c r="F36" s="29">
        <f t="shared" si="9"/>
        <v>0</v>
      </c>
      <c r="G36" s="29">
        <f t="shared" si="9"/>
        <v>0</v>
      </c>
      <c r="H36" s="35">
        <f t="shared" si="9"/>
        <v>0</v>
      </c>
      <c r="I36" s="20"/>
      <c r="J36" s="3"/>
      <c r="K36" s="3"/>
      <c r="N36" s="103"/>
    </row>
    <row r="37" spans="1:14" x14ac:dyDescent="0.25">
      <c r="A37" s="7" t="s">
        <v>34</v>
      </c>
      <c r="B37" s="17">
        <v>0</v>
      </c>
      <c r="C37" s="17">
        <f t="shared" si="10"/>
        <v>0</v>
      </c>
      <c r="D37" s="29">
        <f t="shared" si="9"/>
        <v>0</v>
      </c>
      <c r="E37" s="29">
        <f t="shared" si="9"/>
        <v>0</v>
      </c>
      <c r="F37" s="29">
        <f t="shared" si="9"/>
        <v>0</v>
      </c>
      <c r="G37" s="29">
        <f t="shared" si="9"/>
        <v>0</v>
      </c>
      <c r="H37" s="35">
        <f t="shared" si="9"/>
        <v>0</v>
      </c>
      <c r="I37" s="21"/>
      <c r="J37" s="3"/>
      <c r="K37" s="3"/>
      <c r="N37" s="103"/>
    </row>
    <row r="38" spans="1:14" x14ac:dyDescent="0.25">
      <c r="A38" s="7" t="s">
        <v>35</v>
      </c>
      <c r="B38" s="17">
        <v>0</v>
      </c>
      <c r="C38" s="17">
        <f t="shared" si="10"/>
        <v>0</v>
      </c>
      <c r="D38" s="29">
        <f t="shared" si="9"/>
        <v>0</v>
      </c>
      <c r="E38" s="29">
        <f t="shared" si="9"/>
        <v>0</v>
      </c>
      <c r="F38" s="29">
        <f t="shared" si="9"/>
        <v>0</v>
      </c>
      <c r="G38" s="29">
        <f t="shared" si="9"/>
        <v>0</v>
      </c>
      <c r="H38" s="35">
        <f t="shared" si="9"/>
        <v>0</v>
      </c>
      <c r="I38" s="20"/>
      <c r="J38" s="3"/>
      <c r="K38" s="3"/>
      <c r="N38" s="103"/>
    </row>
    <row r="39" spans="1:14" x14ac:dyDescent="0.25">
      <c r="A39" s="7" t="s">
        <v>36</v>
      </c>
      <c r="B39" s="17">
        <v>0</v>
      </c>
      <c r="C39" s="17">
        <f t="shared" si="10"/>
        <v>0</v>
      </c>
      <c r="D39" s="29">
        <f t="shared" si="9"/>
        <v>0</v>
      </c>
      <c r="E39" s="29">
        <f t="shared" si="9"/>
        <v>0</v>
      </c>
      <c r="F39" s="29">
        <f t="shared" si="9"/>
        <v>0</v>
      </c>
      <c r="G39" s="29">
        <f t="shared" si="9"/>
        <v>0</v>
      </c>
      <c r="H39" s="35">
        <f t="shared" si="9"/>
        <v>0</v>
      </c>
      <c r="I39" s="20"/>
      <c r="J39" s="3"/>
      <c r="K39" s="3"/>
      <c r="N39" s="103"/>
    </row>
    <row r="40" spans="1:14" x14ac:dyDescent="0.25">
      <c r="A40" s="7" t="s">
        <v>37</v>
      </c>
      <c r="B40" s="17">
        <v>0</v>
      </c>
      <c r="C40" s="17">
        <f t="shared" si="10"/>
        <v>0</v>
      </c>
      <c r="D40" s="29">
        <f t="shared" si="9"/>
        <v>0</v>
      </c>
      <c r="E40" s="29">
        <f t="shared" si="9"/>
        <v>0</v>
      </c>
      <c r="F40" s="29">
        <f t="shared" si="9"/>
        <v>0</v>
      </c>
      <c r="G40" s="29">
        <f t="shared" si="9"/>
        <v>0</v>
      </c>
      <c r="H40" s="35">
        <f t="shared" si="9"/>
        <v>0</v>
      </c>
      <c r="I40" s="20"/>
      <c r="J40" s="3"/>
      <c r="K40" s="3"/>
      <c r="N40" s="103"/>
    </row>
    <row r="41" spans="1:14" x14ac:dyDescent="0.25">
      <c r="A41" s="7" t="s">
        <v>38</v>
      </c>
      <c r="B41" s="17">
        <v>0</v>
      </c>
      <c r="C41" s="17">
        <f t="shared" si="10"/>
        <v>0</v>
      </c>
      <c r="D41" s="29">
        <f t="shared" si="9"/>
        <v>0</v>
      </c>
      <c r="E41" s="29">
        <f t="shared" si="9"/>
        <v>0</v>
      </c>
      <c r="F41" s="29">
        <f t="shared" si="9"/>
        <v>0</v>
      </c>
      <c r="G41" s="29">
        <f t="shared" si="9"/>
        <v>0</v>
      </c>
      <c r="H41" s="35">
        <f t="shared" si="9"/>
        <v>0</v>
      </c>
      <c r="I41" s="20" t="s">
        <v>58</v>
      </c>
      <c r="J41" s="3"/>
      <c r="K41" s="3"/>
      <c r="N41" s="103"/>
    </row>
    <row r="42" spans="1:14" ht="18.75" thickBot="1" x14ac:dyDescent="0.4">
      <c r="A42" s="36" t="s">
        <v>49</v>
      </c>
      <c r="B42" s="37">
        <f>SUM(B35:B41)</f>
        <v>100</v>
      </c>
      <c r="C42" s="38">
        <f t="shared" si="10"/>
        <v>200</v>
      </c>
      <c r="D42" s="39">
        <f>D$18/1000*$C42</f>
        <v>20</v>
      </c>
      <c r="E42" s="39">
        <f t="shared" si="9"/>
        <v>0</v>
      </c>
      <c r="F42" s="39">
        <f t="shared" si="9"/>
        <v>0</v>
      </c>
      <c r="G42" s="39">
        <f t="shared" si="9"/>
        <v>0</v>
      </c>
      <c r="H42" s="40">
        <f t="shared" si="9"/>
        <v>0</v>
      </c>
      <c r="I42" s="20"/>
      <c r="N42" s="103"/>
    </row>
    <row r="43" spans="1:14" x14ac:dyDescent="0.25">
      <c r="K43" s="18"/>
      <c r="N43" s="103"/>
    </row>
    <row r="44" spans="1:14" x14ac:dyDescent="0.25">
      <c r="B44" s="22" t="s">
        <v>63</v>
      </c>
      <c r="C44" s="1"/>
      <c r="D44" s="1"/>
      <c r="E44" s="1"/>
      <c r="F44" s="1"/>
      <c r="J44" s="3"/>
    </row>
    <row r="45" spans="1:14" x14ac:dyDescent="0.25">
      <c r="A45" s="13"/>
      <c r="B45" s="1"/>
      <c r="C45" s="1"/>
      <c r="D45" s="1"/>
      <c r="E45" s="1"/>
      <c r="F45" s="1"/>
    </row>
    <row r="46" spans="1:14" ht="15.75" thickBot="1" x14ac:dyDescent="0.3">
      <c r="A46" s="3" t="s">
        <v>27</v>
      </c>
      <c r="N46" s="30"/>
    </row>
    <row r="47" spans="1:14" ht="18" customHeight="1" x14ac:dyDescent="0.25">
      <c r="A47" s="3" t="s">
        <v>23</v>
      </c>
      <c r="C47" s="4"/>
      <c r="D47" s="10" t="s">
        <v>2</v>
      </c>
      <c r="E47" s="10" t="s">
        <v>16</v>
      </c>
      <c r="F47" s="10" t="s">
        <v>17</v>
      </c>
      <c r="G47" s="10" t="s">
        <v>18</v>
      </c>
      <c r="H47" s="11" t="s">
        <v>19</v>
      </c>
    </row>
    <row r="48" spans="1:14" ht="18" x14ac:dyDescent="0.35">
      <c r="A48" s="3"/>
      <c r="C48" s="55" t="s">
        <v>29</v>
      </c>
      <c r="D48" s="6">
        <f>D16</f>
        <v>10</v>
      </c>
      <c r="E48" s="6">
        <f t="shared" ref="E48:H48" si="11">E16</f>
        <v>0</v>
      </c>
      <c r="F48" s="6">
        <f t="shared" si="11"/>
        <v>0</v>
      </c>
      <c r="G48" s="6">
        <f t="shared" si="11"/>
        <v>0</v>
      </c>
      <c r="H48" s="6">
        <f t="shared" si="11"/>
        <v>0</v>
      </c>
      <c r="I48" s="19"/>
    </row>
    <row r="49" spans="1:14" ht="18" x14ac:dyDescent="0.35">
      <c r="A49" s="3"/>
      <c r="C49" s="55" t="s">
        <v>1</v>
      </c>
      <c r="D49" s="16">
        <f>D48*$D$13</f>
        <v>50</v>
      </c>
      <c r="E49" s="16">
        <f t="shared" ref="E49:H49" si="12">E48*$D$13</f>
        <v>0</v>
      </c>
      <c r="F49" s="16">
        <f t="shared" si="12"/>
        <v>0</v>
      </c>
      <c r="G49" s="16">
        <f t="shared" si="12"/>
        <v>0</v>
      </c>
      <c r="H49" s="56">
        <f t="shared" si="12"/>
        <v>0</v>
      </c>
      <c r="I49" s="19"/>
    </row>
    <row r="50" spans="1:14" ht="18" x14ac:dyDescent="0.35">
      <c r="C50" s="55" t="s">
        <v>11</v>
      </c>
      <c r="D50" s="16">
        <f>ROUNDUP(D49*$D$11,0)</f>
        <v>60</v>
      </c>
      <c r="E50" s="16">
        <f t="shared" ref="E50:H50" si="13">ROUNDUP(E49*$D$11,0)</f>
        <v>0</v>
      </c>
      <c r="F50" s="16">
        <f t="shared" si="13"/>
        <v>0</v>
      </c>
      <c r="G50" s="16">
        <f t="shared" si="13"/>
        <v>0</v>
      </c>
      <c r="H50" s="56">
        <f t="shared" si="13"/>
        <v>0</v>
      </c>
      <c r="I50" s="19"/>
    </row>
    <row r="51" spans="1:14" ht="15.75" thickBot="1" x14ac:dyDescent="0.3">
      <c r="C51" s="62"/>
      <c r="D51" s="86"/>
      <c r="E51" s="86"/>
      <c r="F51" s="86"/>
      <c r="G51" s="86"/>
      <c r="H51" s="87"/>
      <c r="J51" t="s">
        <v>62</v>
      </c>
    </row>
    <row r="52" spans="1:14" ht="18" x14ac:dyDescent="0.35">
      <c r="A52" s="4"/>
      <c r="B52" s="10" t="s">
        <v>24</v>
      </c>
      <c r="C52" s="85" t="s">
        <v>25</v>
      </c>
      <c r="D52" s="88" t="s">
        <v>39</v>
      </c>
      <c r="E52" s="89"/>
      <c r="F52" s="89"/>
      <c r="G52" s="89"/>
      <c r="H52" s="90"/>
      <c r="I52" s="21" t="s">
        <v>50</v>
      </c>
      <c r="J52" s="27" t="s">
        <v>51</v>
      </c>
      <c r="K52" s="27" t="s">
        <v>54</v>
      </c>
      <c r="L52" s="27" t="s">
        <v>55</v>
      </c>
      <c r="M52" s="27" t="s">
        <v>56</v>
      </c>
    </row>
    <row r="53" spans="1:14" x14ac:dyDescent="0.25">
      <c r="A53" s="42" t="s">
        <v>12</v>
      </c>
      <c r="B53" s="66">
        <f>B23</f>
        <v>365</v>
      </c>
      <c r="C53" s="67">
        <v>7.5</v>
      </c>
      <c r="D53" s="68">
        <f>D$50/($C53*1000/$B53)</f>
        <v>2.9200000000000004</v>
      </c>
      <c r="E53" s="66" t="s">
        <v>21</v>
      </c>
      <c r="F53" s="66">
        <f>F$50/($C53*1000/$B53)</f>
        <v>0</v>
      </c>
      <c r="G53" s="66">
        <f>G$50/($C53*1000/$B53)</f>
        <v>0</v>
      </c>
      <c r="H53" s="69">
        <f>H$50/($C53*1000/$B53)</f>
        <v>0</v>
      </c>
      <c r="I53" s="70">
        <f>SUM(D53:H53)</f>
        <v>2.9200000000000004</v>
      </c>
      <c r="J53" s="71">
        <f t="shared" ref="J53:J61" si="14">ROUNDUP(I53*1.1,0)</f>
        <v>4</v>
      </c>
      <c r="K53" s="71">
        <f>J53*C53</f>
        <v>30</v>
      </c>
      <c r="L53" s="72">
        <v>69.59</v>
      </c>
      <c r="M53" s="70">
        <f t="shared" ref="M53:M60" si="15">L53/K53*J53</f>
        <v>9.278666666666668</v>
      </c>
      <c r="N53" s="103" t="s">
        <v>65</v>
      </c>
    </row>
    <row r="54" spans="1:14" x14ac:dyDescent="0.25">
      <c r="A54" s="41" t="s">
        <v>13</v>
      </c>
      <c r="B54" s="73">
        <f>B24</f>
        <v>3150</v>
      </c>
      <c r="C54" s="74">
        <v>40</v>
      </c>
      <c r="D54" s="75">
        <f>D$50/($C54*1000/$B54)</f>
        <v>4.7250000000000005</v>
      </c>
      <c r="E54" s="73">
        <f>E$50/($C54*1000/$B54)</f>
        <v>0</v>
      </c>
      <c r="F54" s="73" t="s">
        <v>21</v>
      </c>
      <c r="G54" s="73">
        <f>G$50/($C54*1000/$B54)</f>
        <v>0</v>
      </c>
      <c r="H54" s="76">
        <f>H$50/($C54*1000/$B54)</f>
        <v>0</v>
      </c>
      <c r="I54" s="77">
        <f>SUM(D54:H54)</f>
        <v>4.7250000000000005</v>
      </c>
      <c r="J54" s="78">
        <f t="shared" si="14"/>
        <v>6</v>
      </c>
      <c r="K54" s="78">
        <f>J54*C54</f>
        <v>240</v>
      </c>
      <c r="L54" s="79">
        <v>124.01</v>
      </c>
      <c r="M54" s="77">
        <f t="shared" si="15"/>
        <v>3.10025</v>
      </c>
      <c r="N54" s="103"/>
    </row>
    <row r="55" spans="1:14" x14ac:dyDescent="0.25">
      <c r="A55" s="42" t="s">
        <v>14</v>
      </c>
      <c r="B55" s="66">
        <v>0</v>
      </c>
      <c r="C55" s="67" t="s">
        <v>21</v>
      </c>
      <c r="D55" s="68" t="s">
        <v>21</v>
      </c>
      <c r="E55" s="66" t="s">
        <v>21</v>
      </c>
      <c r="F55" s="66" t="s">
        <v>21</v>
      </c>
      <c r="G55" s="66" t="s">
        <v>21</v>
      </c>
      <c r="H55" s="69" t="s">
        <v>21</v>
      </c>
      <c r="I55" s="70" t="s">
        <v>21</v>
      </c>
      <c r="J55" s="70" t="s">
        <v>21</v>
      </c>
      <c r="K55" s="71" t="s">
        <v>21</v>
      </c>
      <c r="L55" s="70" t="s">
        <v>21</v>
      </c>
      <c r="M55" s="70" t="s">
        <v>21</v>
      </c>
      <c r="N55" s="103"/>
    </row>
    <row r="56" spans="1:14" x14ac:dyDescent="0.25">
      <c r="A56" s="41" t="s">
        <v>15</v>
      </c>
      <c r="B56" s="73">
        <f>B26</f>
        <v>55</v>
      </c>
      <c r="C56" s="74">
        <v>5</v>
      </c>
      <c r="D56" s="75">
        <f>D$50/($C56*1000/$B56)</f>
        <v>0.66</v>
      </c>
      <c r="E56" s="73">
        <f>E$50/($C56*1000/$B56)</f>
        <v>0</v>
      </c>
      <c r="F56" s="73">
        <f>F$50/($C56*1000/$B56)</f>
        <v>0</v>
      </c>
      <c r="G56" s="73">
        <f>G$50/($C56*1000/$B56)</f>
        <v>0</v>
      </c>
      <c r="H56" s="76" t="s">
        <v>21</v>
      </c>
      <c r="I56" s="77">
        <f>SUM(D56:H56)</f>
        <v>0.66</v>
      </c>
      <c r="J56" s="78">
        <f t="shared" ref="J56" si="16">ROUNDUP(I56*1.1,0)</f>
        <v>1</v>
      </c>
      <c r="K56" s="78">
        <f>J56*C56</f>
        <v>5</v>
      </c>
      <c r="L56" s="79">
        <v>22.49</v>
      </c>
      <c r="M56" s="77">
        <f t="shared" si="15"/>
        <v>4.4979999999999993</v>
      </c>
      <c r="N56" s="103"/>
    </row>
    <row r="57" spans="1:14" x14ac:dyDescent="0.25">
      <c r="A57" s="42" t="s">
        <v>16</v>
      </c>
      <c r="B57" s="66">
        <f>B27</f>
        <v>377.38727334929871</v>
      </c>
      <c r="C57" s="67">
        <f>C53</f>
        <v>7.5</v>
      </c>
      <c r="D57" s="68" t="s">
        <v>21</v>
      </c>
      <c r="E57" s="66">
        <f>E$50/($C57*1000/$B57)</f>
        <v>0</v>
      </c>
      <c r="F57" s="66" t="s">
        <v>21</v>
      </c>
      <c r="G57" s="66" t="s">
        <v>21</v>
      </c>
      <c r="H57" s="69" t="s">
        <v>21</v>
      </c>
      <c r="I57" s="70">
        <f>SUM(D57:H57)</f>
        <v>0</v>
      </c>
      <c r="J57" s="71">
        <v>1.6</v>
      </c>
      <c r="K57" s="71">
        <f>J57*C57</f>
        <v>12</v>
      </c>
      <c r="L57" s="72">
        <v>13.06</v>
      </c>
      <c r="M57" s="70">
        <f t="shared" si="15"/>
        <v>1.7413333333333334</v>
      </c>
      <c r="N57" s="103"/>
    </row>
    <row r="58" spans="1:14" x14ac:dyDescent="0.25">
      <c r="A58" s="41" t="s">
        <v>17</v>
      </c>
      <c r="B58" s="73">
        <f>B28</f>
        <v>3254.0325266429845</v>
      </c>
      <c r="C58" s="74">
        <v>48</v>
      </c>
      <c r="D58" s="75" t="s">
        <v>21</v>
      </c>
      <c r="E58" s="73" t="s">
        <v>21</v>
      </c>
      <c r="F58" s="73">
        <f>F$50/($C58*1000/$B58)</f>
        <v>0</v>
      </c>
      <c r="G58" s="73" t="s">
        <v>21</v>
      </c>
      <c r="H58" s="76" t="s">
        <v>21</v>
      </c>
      <c r="I58" s="77">
        <f>SUM(D58:H58)</f>
        <v>0</v>
      </c>
      <c r="J58" s="78">
        <v>0.75</v>
      </c>
      <c r="K58" s="78">
        <f>J58*C58</f>
        <v>36</v>
      </c>
      <c r="L58" s="79">
        <v>37.17</v>
      </c>
      <c r="M58" s="77">
        <f t="shared" si="15"/>
        <v>0.77437500000000004</v>
      </c>
      <c r="N58" s="103"/>
    </row>
    <row r="59" spans="1:14" x14ac:dyDescent="0.25">
      <c r="A59" s="42" t="s">
        <v>18</v>
      </c>
      <c r="B59" s="66">
        <v>0</v>
      </c>
      <c r="C59" s="67" t="s">
        <v>21</v>
      </c>
      <c r="D59" s="68" t="s">
        <v>21</v>
      </c>
      <c r="E59" s="66" t="s">
        <v>21</v>
      </c>
      <c r="F59" s="66" t="s">
        <v>21</v>
      </c>
      <c r="G59" s="66" t="s">
        <v>21</v>
      </c>
      <c r="H59" s="69" t="s">
        <v>21</v>
      </c>
      <c r="I59" s="70" t="s">
        <v>21</v>
      </c>
      <c r="J59" s="70" t="s">
        <v>21</v>
      </c>
      <c r="K59" s="71" t="s">
        <v>21</v>
      </c>
      <c r="L59" s="70" t="s">
        <v>21</v>
      </c>
      <c r="M59" s="70" t="s">
        <v>21</v>
      </c>
      <c r="N59" s="103"/>
    </row>
    <row r="60" spans="1:14" x14ac:dyDescent="0.25">
      <c r="A60" s="41" t="s">
        <v>19</v>
      </c>
      <c r="B60" s="80">
        <f>B30</f>
        <v>56.489458378771346</v>
      </c>
      <c r="C60" s="74">
        <v>5</v>
      </c>
      <c r="D60" s="75" t="s">
        <v>21</v>
      </c>
      <c r="E60" s="73" t="s">
        <v>21</v>
      </c>
      <c r="F60" s="73" t="s">
        <v>21</v>
      </c>
      <c r="G60" s="73" t="s">
        <v>21</v>
      </c>
      <c r="H60" s="76">
        <f>H$50/($C60*1000/$B60)</f>
        <v>0</v>
      </c>
      <c r="I60" s="77">
        <f>SUM(D60:H60)</f>
        <v>0</v>
      </c>
      <c r="J60" s="78">
        <v>0.5</v>
      </c>
      <c r="K60" s="78">
        <f>J60*C60</f>
        <v>2.5</v>
      </c>
      <c r="L60" s="79">
        <v>2.88</v>
      </c>
      <c r="M60" s="77">
        <f t="shared" si="15"/>
        <v>0.57599999999999996</v>
      </c>
      <c r="N60" s="103"/>
    </row>
    <row r="61" spans="1:14" ht="15.75" thickBot="1" x14ac:dyDescent="0.3">
      <c r="A61" s="46" t="s">
        <v>27</v>
      </c>
      <c r="B61" s="81"/>
      <c r="C61" s="82"/>
      <c r="D61" s="83">
        <f>D50-SUM(D53:D60)</f>
        <v>51.695</v>
      </c>
      <c r="E61" s="81">
        <f t="shared" ref="E61:H61" si="17">E50-SUM(E53:E60)</f>
        <v>0</v>
      </c>
      <c r="F61" s="81">
        <f t="shared" si="17"/>
        <v>0</v>
      </c>
      <c r="G61" s="81">
        <f t="shared" si="17"/>
        <v>0</v>
      </c>
      <c r="H61" s="84">
        <f t="shared" si="17"/>
        <v>0</v>
      </c>
      <c r="I61" s="70">
        <f>SUM(D61:H61)</f>
        <v>51.695</v>
      </c>
      <c r="J61" s="71">
        <f t="shared" si="14"/>
        <v>57</v>
      </c>
      <c r="K61" s="71">
        <f>J61*C61</f>
        <v>0</v>
      </c>
      <c r="L61" s="72"/>
      <c r="M61" s="70"/>
    </row>
    <row r="65" spans="1:14" ht="15.75" thickBot="1" x14ac:dyDescent="0.3">
      <c r="A65" s="3" t="s">
        <v>27</v>
      </c>
      <c r="N65" s="30"/>
    </row>
    <row r="66" spans="1:14" x14ac:dyDescent="0.25">
      <c r="A66" s="3" t="s">
        <v>23</v>
      </c>
      <c r="C66" s="4"/>
      <c r="D66" s="10" t="s">
        <v>2</v>
      </c>
      <c r="E66" s="10" t="s">
        <v>17</v>
      </c>
    </row>
    <row r="67" spans="1:14" ht="18" x14ac:dyDescent="0.35">
      <c r="A67" s="3"/>
      <c r="C67" s="55" t="s">
        <v>29</v>
      </c>
      <c r="D67" s="6">
        <v>2</v>
      </c>
      <c r="E67" s="6">
        <v>2</v>
      </c>
      <c r="F67" s="19"/>
    </row>
    <row r="68" spans="1:14" ht="18" x14ac:dyDescent="0.35">
      <c r="A68" s="3"/>
      <c r="C68" s="55" t="s">
        <v>1</v>
      </c>
      <c r="D68" s="16">
        <f>D67*$D$13</f>
        <v>10</v>
      </c>
      <c r="E68" s="16">
        <f t="shared" ref="E68" si="18">E67*$D$13</f>
        <v>10</v>
      </c>
      <c r="F68" s="19"/>
    </row>
    <row r="69" spans="1:14" ht="18" x14ac:dyDescent="0.35">
      <c r="C69" s="55" t="s">
        <v>11</v>
      </c>
      <c r="D69" s="16">
        <f>ROUNDUP(D68*$D$11,0)</f>
        <v>12</v>
      </c>
      <c r="E69" s="16">
        <f t="shared" ref="E69" si="19">ROUNDUP(E68*$D$11,0)</f>
        <v>12</v>
      </c>
      <c r="F69" s="19"/>
    </row>
    <row r="70" spans="1:14" ht="15.75" thickBot="1" x14ac:dyDescent="0.3">
      <c r="C70" s="62"/>
      <c r="D70" s="63"/>
      <c r="E70" s="63"/>
      <c r="G70" t="s">
        <v>62</v>
      </c>
    </row>
    <row r="71" spans="1:14" ht="18" x14ac:dyDescent="0.35">
      <c r="A71" s="4"/>
      <c r="B71" s="10" t="s">
        <v>24</v>
      </c>
      <c r="C71" s="93" t="s">
        <v>25</v>
      </c>
      <c r="D71" s="91" t="s">
        <v>39</v>
      </c>
      <c r="E71" s="92"/>
      <c r="F71" s="21" t="s">
        <v>50</v>
      </c>
      <c r="G71" s="27" t="s">
        <v>51</v>
      </c>
      <c r="H71" s="27" t="s">
        <v>54</v>
      </c>
      <c r="I71" s="27" t="s">
        <v>55</v>
      </c>
      <c r="J71" s="27" t="s">
        <v>56</v>
      </c>
    </row>
    <row r="72" spans="1:14" x14ac:dyDescent="0.25">
      <c r="A72" s="42" t="s">
        <v>12</v>
      </c>
      <c r="B72" s="66">
        <f>B53</f>
        <v>365</v>
      </c>
      <c r="C72" s="67">
        <v>7.5</v>
      </c>
      <c r="D72" s="68">
        <f>D$69/($C72*1000/$B72)</f>
        <v>0.58400000000000007</v>
      </c>
      <c r="E72" s="69">
        <f>E$69/($C72*1000/$B72)</f>
        <v>0.58400000000000007</v>
      </c>
      <c r="F72" s="70">
        <f>SUM(D72:E72)</f>
        <v>1.1680000000000001</v>
      </c>
      <c r="G72" s="71">
        <v>2</v>
      </c>
      <c r="H72" s="71">
        <f>G72*C72</f>
        <v>15</v>
      </c>
      <c r="I72" s="72">
        <v>58.36</v>
      </c>
      <c r="J72" s="70">
        <f t="shared" ref="J72:J75" si="20">I72/H72*G72</f>
        <v>7.7813333333333334</v>
      </c>
      <c r="K72" s="104" t="s">
        <v>65</v>
      </c>
    </row>
    <row r="73" spans="1:14" x14ac:dyDescent="0.25">
      <c r="A73" s="41" t="s">
        <v>13</v>
      </c>
      <c r="B73" s="73">
        <f t="shared" ref="B73" si="21">B54</f>
        <v>3150</v>
      </c>
      <c r="C73" s="74">
        <v>40</v>
      </c>
      <c r="D73" s="75">
        <f>D$69/($C73*1000/$B73)</f>
        <v>0.94500000000000006</v>
      </c>
      <c r="E73" s="76" t="s">
        <v>21</v>
      </c>
      <c r="F73" s="77">
        <f>SUM(D73:E73)</f>
        <v>0.94500000000000006</v>
      </c>
      <c r="G73" s="78">
        <v>0.5</v>
      </c>
      <c r="H73" s="78">
        <f>G73*C73</f>
        <v>20</v>
      </c>
      <c r="I73" s="79">
        <v>59.74</v>
      </c>
      <c r="J73" s="77">
        <f t="shared" si="20"/>
        <v>1.4935</v>
      </c>
      <c r="K73" s="104"/>
    </row>
    <row r="74" spans="1:14" x14ac:dyDescent="0.25">
      <c r="A74" s="42" t="s">
        <v>15</v>
      </c>
      <c r="B74" s="66">
        <f>B56</f>
        <v>55</v>
      </c>
      <c r="C74" s="67">
        <v>6</v>
      </c>
      <c r="D74" s="68">
        <f>D$69/($C74*1000/$B74)</f>
        <v>0.11</v>
      </c>
      <c r="E74" s="69">
        <f>E$69/($C74*1000/$B74)</f>
        <v>0.11</v>
      </c>
      <c r="F74" s="70">
        <f>SUM(D74:E74)</f>
        <v>0.22</v>
      </c>
      <c r="G74" s="71">
        <v>1.6</v>
      </c>
      <c r="H74" s="71">
        <f>G74*C74</f>
        <v>9.6000000000000014</v>
      </c>
      <c r="I74" s="72">
        <v>10.01</v>
      </c>
      <c r="J74" s="70">
        <f t="shared" si="20"/>
        <v>1.668333333333333</v>
      </c>
      <c r="K74" s="104"/>
    </row>
    <row r="75" spans="1:14" x14ac:dyDescent="0.25">
      <c r="A75" s="41" t="s">
        <v>17</v>
      </c>
      <c r="B75" s="73">
        <f>B58</f>
        <v>3254.0325266429845</v>
      </c>
      <c r="C75" s="74">
        <v>40</v>
      </c>
      <c r="D75" s="75" t="s">
        <v>21</v>
      </c>
      <c r="E75" s="76">
        <f>E$69/($C75*1000/$B75)</f>
        <v>0.97620975799289544</v>
      </c>
      <c r="F75" s="77">
        <f>SUM(D75:E75)</f>
        <v>0.97620975799289544</v>
      </c>
      <c r="G75" s="78">
        <v>0.5</v>
      </c>
      <c r="H75" s="78">
        <f>G75*C75</f>
        <v>20</v>
      </c>
      <c r="I75" s="79">
        <v>18.899999999999999</v>
      </c>
      <c r="J75" s="77">
        <f t="shared" si="20"/>
        <v>0.47249999999999998</v>
      </c>
      <c r="K75" s="104"/>
    </row>
    <row r="76" spans="1:14" ht="15.75" thickBot="1" x14ac:dyDescent="0.3">
      <c r="A76" s="46" t="s">
        <v>27</v>
      </c>
      <c r="B76" s="81"/>
      <c r="C76" s="82"/>
      <c r="D76" s="83">
        <f>D69-SUM(D87,D72:D75)</f>
        <v>10.361000000000001</v>
      </c>
      <c r="E76" s="84">
        <f>E69-SUM(F87,E72:E75)</f>
        <v>10.329790242007105</v>
      </c>
      <c r="F76" s="70">
        <f>SUM(D76:E76)</f>
        <v>20.690790242007104</v>
      </c>
      <c r="G76" s="71">
        <f t="shared" ref="G76" si="22">ROUNDUP(F76*1.1,0)</f>
        <v>23</v>
      </c>
      <c r="H76" s="71">
        <f>G76*C76</f>
        <v>0</v>
      </c>
      <c r="I76" s="72"/>
      <c r="J76" s="70"/>
    </row>
  </sheetData>
  <mergeCells count="4">
    <mergeCell ref="N21:N30"/>
    <mergeCell ref="N35:N43"/>
    <mergeCell ref="N53:N60"/>
    <mergeCell ref="K72:K75"/>
  </mergeCells>
  <pageMargins left="0.70866141732283472" right="0.70866141732283472" top="0.74803149606299213" bottom="0.74803149606299213" header="0.31496062992125984" footer="0.31496062992125984"/>
  <pageSetup paperSize="9" scale="41" orientation="landscape" r:id="rId1"/>
  <headerFooter>
    <oddHeader>&amp;L&amp;D, &amp;T&amp;C&amp;F  &amp;A</oddHead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76"/>
  <sheetViews>
    <sheetView topLeftCell="A13" zoomScale="85" zoomScaleNormal="85" workbookViewId="0">
      <selection activeCell="R26" sqref="R26:S29"/>
    </sheetView>
  </sheetViews>
  <sheetFormatPr defaultRowHeight="15" x14ac:dyDescent="0.25"/>
  <cols>
    <col min="1" max="1" width="13.28515625" bestFit="1" customWidth="1"/>
    <col min="2" max="2" width="11" customWidth="1"/>
    <col min="3" max="3" width="13.85546875" bestFit="1" customWidth="1"/>
    <col min="4" max="4" width="12" bestFit="1" customWidth="1"/>
    <col min="6" max="6" width="11.28515625" customWidth="1"/>
    <col min="7" max="7" width="11.5703125" bestFit="1" customWidth="1"/>
    <col min="8" max="8" width="12" bestFit="1" customWidth="1"/>
    <col min="9" max="9" width="11.5703125" bestFit="1" customWidth="1"/>
    <col min="10" max="10" width="12" bestFit="1" customWidth="1"/>
    <col min="11" max="11" width="13.28515625" bestFit="1" customWidth="1"/>
    <col min="13" max="13" width="9.85546875" customWidth="1"/>
  </cols>
  <sheetData>
    <row r="1" spans="1:13" ht="18" x14ac:dyDescent="0.35">
      <c r="A1" t="s">
        <v>0</v>
      </c>
      <c r="B1" t="s">
        <v>6</v>
      </c>
      <c r="C1" t="s">
        <v>7</v>
      </c>
      <c r="D1" t="s">
        <v>28</v>
      </c>
      <c r="K1" s="18"/>
    </row>
    <row r="2" spans="1:13" ht="18" x14ac:dyDescent="0.35">
      <c r="A2" t="s">
        <v>8</v>
      </c>
      <c r="B2">
        <v>10</v>
      </c>
      <c r="C2">
        <v>1</v>
      </c>
      <c r="D2">
        <f>B2*C2</f>
        <v>10</v>
      </c>
      <c r="E2" t="s">
        <v>29</v>
      </c>
      <c r="K2" s="18"/>
    </row>
    <row r="3" spans="1:13" ht="18.75" x14ac:dyDescent="0.35">
      <c r="A3" t="s">
        <v>9</v>
      </c>
      <c r="B3">
        <v>0</v>
      </c>
      <c r="C3">
        <v>0</v>
      </c>
      <c r="D3">
        <f t="shared" ref="D3:D7" si="0">B3*C3</f>
        <v>0</v>
      </c>
      <c r="E3">
        <f>D2+D3</f>
        <v>10</v>
      </c>
      <c r="H3" s="16"/>
      <c r="I3" s="16" t="s">
        <v>43</v>
      </c>
      <c r="J3" s="16" t="s">
        <v>44</v>
      </c>
      <c r="K3" s="16" t="s">
        <v>42</v>
      </c>
      <c r="L3" s="16" t="s">
        <v>45</v>
      </c>
      <c r="M3" s="16" t="s">
        <v>46</v>
      </c>
    </row>
    <row r="4" spans="1:13" x14ac:dyDescent="0.25">
      <c r="A4" t="s">
        <v>5</v>
      </c>
      <c r="B4">
        <v>0</v>
      </c>
      <c r="C4">
        <v>0</v>
      </c>
      <c r="D4">
        <f t="shared" si="0"/>
        <v>0</v>
      </c>
      <c r="E4">
        <f>D4</f>
        <v>0</v>
      </c>
      <c r="H4" s="16" t="s">
        <v>47</v>
      </c>
      <c r="I4" s="16">
        <v>146.15</v>
      </c>
      <c r="J4" s="16">
        <v>151.11000000000001</v>
      </c>
      <c r="K4" s="25">
        <f>J4/I4</f>
        <v>1.0339377352035581</v>
      </c>
      <c r="L4" s="23">
        <v>292</v>
      </c>
      <c r="M4" s="23">
        <f>L4*K4</f>
        <v>301.90981867943896</v>
      </c>
    </row>
    <row r="5" spans="1:13" x14ac:dyDescent="0.25">
      <c r="A5" t="s">
        <v>10</v>
      </c>
      <c r="B5">
        <v>0</v>
      </c>
      <c r="C5">
        <v>0</v>
      </c>
      <c r="D5">
        <f t="shared" si="0"/>
        <v>0</v>
      </c>
      <c r="E5">
        <v>2</v>
      </c>
      <c r="H5" s="16" t="s">
        <v>41</v>
      </c>
      <c r="I5" s="16">
        <v>180.16</v>
      </c>
      <c r="J5" s="16">
        <v>186.11</v>
      </c>
      <c r="K5" s="25">
        <f>J5/I5</f>
        <v>1.0330261989342808</v>
      </c>
      <c r="L5" s="23">
        <v>2520</v>
      </c>
      <c r="M5" s="23">
        <f>L5*K5</f>
        <v>2603.2260213143877</v>
      </c>
    </row>
    <row r="6" spans="1:13" x14ac:dyDescent="0.25">
      <c r="A6" t="s">
        <v>3</v>
      </c>
      <c r="B6">
        <v>0</v>
      </c>
      <c r="C6">
        <v>0</v>
      </c>
      <c r="D6">
        <f t="shared" si="0"/>
        <v>0</v>
      </c>
      <c r="E6">
        <f t="shared" ref="E6:E7" si="1">D6</f>
        <v>0</v>
      </c>
      <c r="H6" s="16" t="s">
        <v>48</v>
      </c>
      <c r="I6" s="16">
        <v>256.43</v>
      </c>
      <c r="J6" s="16">
        <v>272.31</v>
      </c>
      <c r="K6" s="25">
        <f>J6/I6</f>
        <v>1.0619272316031665</v>
      </c>
      <c r="L6" s="23">
        <v>0</v>
      </c>
      <c r="M6" s="23">
        <f>L6*K6</f>
        <v>0</v>
      </c>
    </row>
    <row r="7" spans="1:13" x14ac:dyDescent="0.25">
      <c r="A7" t="s">
        <v>4</v>
      </c>
      <c r="B7">
        <v>0</v>
      </c>
      <c r="C7">
        <v>0</v>
      </c>
      <c r="D7">
        <f t="shared" si="0"/>
        <v>0</v>
      </c>
      <c r="E7">
        <f t="shared" si="1"/>
        <v>0</v>
      </c>
      <c r="H7" s="16" t="s">
        <v>60</v>
      </c>
      <c r="I7" s="24">
        <v>110.04</v>
      </c>
      <c r="J7" s="16">
        <v>113.02</v>
      </c>
      <c r="K7" s="16">
        <f>J7/I7</f>
        <v>1.0270810614322063</v>
      </c>
      <c r="L7" s="16">
        <v>44</v>
      </c>
      <c r="M7" s="23">
        <f>L7*K7</f>
        <v>45.191566703017081</v>
      </c>
    </row>
    <row r="8" spans="1:13" x14ac:dyDescent="0.25">
      <c r="H8" s="24" t="s">
        <v>67</v>
      </c>
      <c r="I8" s="24">
        <v>146.19</v>
      </c>
      <c r="J8" s="94">
        <v>182.65</v>
      </c>
      <c r="K8" s="25">
        <f>J8/I8</f>
        <v>1.2494014638484165</v>
      </c>
      <c r="L8" s="23">
        <v>0</v>
      </c>
      <c r="M8" s="23">
        <f>L8*K8</f>
        <v>0</v>
      </c>
    </row>
    <row r="9" spans="1:13" x14ac:dyDescent="0.25">
      <c r="A9" t="s">
        <v>66</v>
      </c>
    </row>
    <row r="11" spans="1:13" ht="18" x14ac:dyDescent="0.35">
      <c r="C11" s="2" t="s">
        <v>32</v>
      </c>
      <c r="D11" s="3">
        <v>1.2</v>
      </c>
      <c r="E11" s="3"/>
      <c r="F11" s="3"/>
      <c r="G11" s="3"/>
      <c r="H11" s="3"/>
      <c r="I11" s="20"/>
    </row>
    <row r="12" spans="1:13" ht="18" x14ac:dyDescent="0.35">
      <c r="C12" s="2" t="s">
        <v>30</v>
      </c>
      <c r="D12" s="3">
        <v>10</v>
      </c>
      <c r="E12" s="3" t="s">
        <v>31</v>
      </c>
      <c r="F12" s="3"/>
      <c r="G12" s="3"/>
      <c r="H12" s="3"/>
      <c r="I12" s="20"/>
    </row>
    <row r="13" spans="1:13" ht="18" x14ac:dyDescent="0.35">
      <c r="C13" s="2" t="s">
        <v>61</v>
      </c>
      <c r="D13">
        <v>5</v>
      </c>
      <c r="E13" t="s">
        <v>31</v>
      </c>
      <c r="I13" s="20"/>
    </row>
    <row r="14" spans="1:13" ht="15.75" thickBot="1" x14ac:dyDescent="0.3">
      <c r="C14" s="2"/>
      <c r="I14" s="20"/>
    </row>
    <row r="15" spans="1:13" x14ac:dyDescent="0.25">
      <c r="A15" s="3" t="s">
        <v>23</v>
      </c>
      <c r="C15" s="4"/>
      <c r="D15" s="10" t="s">
        <v>2</v>
      </c>
      <c r="E15" s="10" t="s">
        <v>16</v>
      </c>
      <c r="F15" s="10" t="s">
        <v>17</v>
      </c>
      <c r="G15" s="10" t="s">
        <v>18</v>
      </c>
      <c r="H15" s="11" t="s">
        <v>19</v>
      </c>
    </row>
    <row r="16" spans="1:13" ht="18" x14ac:dyDescent="0.35">
      <c r="A16" s="3"/>
      <c r="C16" s="55" t="s">
        <v>29</v>
      </c>
      <c r="D16" s="6">
        <f t="array" ref="D16:H16">TRANSPOSE(E3:E7)</f>
        <v>10</v>
      </c>
      <c r="E16" s="6">
        <v>0</v>
      </c>
      <c r="F16" s="6">
        <v>2</v>
      </c>
      <c r="G16" s="6">
        <v>0</v>
      </c>
      <c r="H16" s="56">
        <v>0</v>
      </c>
      <c r="I16" s="19"/>
      <c r="L16" t="s">
        <v>70</v>
      </c>
    </row>
    <row r="17" spans="1:19" ht="18" x14ac:dyDescent="0.35">
      <c r="A17" s="3"/>
      <c r="C17" s="55" t="s">
        <v>1</v>
      </c>
      <c r="D17" s="16">
        <f>D16*$D$12</f>
        <v>100</v>
      </c>
      <c r="E17" s="16">
        <f>E16*$D$12</f>
        <v>0</v>
      </c>
      <c r="F17" s="16">
        <f>F16*$D$12</f>
        <v>20</v>
      </c>
      <c r="G17" s="16">
        <f>G16*$D$12</f>
        <v>0</v>
      </c>
      <c r="H17" s="57">
        <f>H16*$D$12</f>
        <v>0</v>
      </c>
      <c r="I17" s="19"/>
    </row>
    <row r="18" spans="1:19" ht="18" x14ac:dyDescent="0.35">
      <c r="C18" s="55" t="s">
        <v>11</v>
      </c>
      <c r="D18" s="16">
        <v>100</v>
      </c>
      <c r="E18" s="16">
        <f>ROUNDUP(E17*$D$11,0)</f>
        <v>0</v>
      </c>
      <c r="F18" s="16">
        <v>25</v>
      </c>
      <c r="G18" s="16">
        <f>ROUNDUP(G17*$D$11,0)</f>
        <v>0</v>
      </c>
      <c r="H18" s="57">
        <f>ROUNDUP(H17*$D$11,0)</f>
        <v>0</v>
      </c>
      <c r="I18" s="19"/>
    </row>
    <row r="19" spans="1:19" ht="15.75" thickBot="1" x14ac:dyDescent="0.3">
      <c r="C19" s="62"/>
      <c r="D19" s="63"/>
      <c r="E19" s="63"/>
      <c r="F19" s="63"/>
      <c r="G19" s="63"/>
      <c r="H19" s="64"/>
    </row>
    <row r="20" spans="1:19" ht="18.75" thickBot="1" x14ac:dyDescent="0.4">
      <c r="A20" s="4"/>
      <c r="B20" s="10" t="s">
        <v>24</v>
      </c>
      <c r="C20" s="58" t="s">
        <v>25</v>
      </c>
      <c r="D20" s="59" t="s">
        <v>39</v>
      </c>
      <c r="E20" s="60"/>
      <c r="F20" s="60"/>
      <c r="G20" s="60"/>
      <c r="H20" s="61"/>
      <c r="I20" s="21" t="s">
        <v>50</v>
      </c>
      <c r="J20" s="27" t="s">
        <v>51</v>
      </c>
      <c r="K20" s="27" t="s">
        <v>54</v>
      </c>
      <c r="L20" s="27" t="s">
        <v>55</v>
      </c>
      <c r="M20" s="27" t="s">
        <v>56</v>
      </c>
    </row>
    <row r="21" spans="1:19" ht="15.75" thickBot="1" x14ac:dyDescent="0.3">
      <c r="A21" s="42" t="s">
        <v>20</v>
      </c>
      <c r="B21" s="45">
        <v>0</v>
      </c>
      <c r="C21" s="49">
        <v>15</v>
      </c>
      <c r="D21" s="95" t="str">
        <f t="shared" ref="D21:H26" si="2">IF($B21&gt;0,D$18/($C21*1000/$B21),"Ø")</f>
        <v>Ø</v>
      </c>
      <c r="E21" s="95" t="str">
        <f t="shared" si="2"/>
        <v>Ø</v>
      </c>
      <c r="F21" s="95" t="str">
        <f t="shared" si="2"/>
        <v>Ø</v>
      </c>
      <c r="G21" s="95" t="str">
        <f t="shared" si="2"/>
        <v>Ø</v>
      </c>
      <c r="H21" s="96" t="str">
        <f t="shared" si="2"/>
        <v>Ø</v>
      </c>
      <c r="I21" s="52">
        <f>SUM(D21:H21)</f>
        <v>0</v>
      </c>
      <c r="J21" s="53"/>
      <c r="K21" s="53">
        <f>J21*C21</f>
        <v>0</v>
      </c>
      <c r="L21" s="54"/>
      <c r="M21" s="54" t="e">
        <f>L21/K21*J21</f>
        <v>#DIV/0!</v>
      </c>
      <c r="N21" s="103" t="s">
        <v>65</v>
      </c>
    </row>
    <row r="22" spans="1:19" ht="15.75" thickBot="1" x14ac:dyDescent="0.3">
      <c r="A22" s="41" t="s">
        <v>59</v>
      </c>
      <c r="B22" s="65">
        <f>M8</f>
        <v>0</v>
      </c>
      <c r="C22" s="17">
        <v>0</v>
      </c>
      <c r="D22" s="95" t="str">
        <f t="shared" si="2"/>
        <v>Ø</v>
      </c>
      <c r="E22" s="95" t="str">
        <f t="shared" si="2"/>
        <v>Ø</v>
      </c>
      <c r="F22" s="95" t="str">
        <f t="shared" si="2"/>
        <v>Ø</v>
      </c>
      <c r="G22" s="95" t="str">
        <f t="shared" si="2"/>
        <v>Ø</v>
      </c>
      <c r="H22" s="96" t="str">
        <f t="shared" si="2"/>
        <v>Ø</v>
      </c>
      <c r="I22" s="20">
        <f t="shared" ref="I22:I31" si="3">SUM(D22:H22)</f>
        <v>0</v>
      </c>
      <c r="J22" s="3"/>
      <c r="K22" s="3">
        <f t="shared" ref="K22:K31" si="4">J22*C22</f>
        <v>0</v>
      </c>
      <c r="M22" t="str">
        <f>IF(B22&gt;0,L22/K22*J22,"")</f>
        <v/>
      </c>
      <c r="N22" s="103"/>
      <c r="R22">
        <f>2.6/2.652</f>
        <v>0.98039215686274506</v>
      </c>
    </row>
    <row r="23" spans="1:19" ht="15.75" thickBot="1" x14ac:dyDescent="0.3">
      <c r="A23" s="42" t="s">
        <v>12</v>
      </c>
      <c r="B23" s="45">
        <f>L4</f>
        <v>292</v>
      </c>
      <c r="C23" s="49">
        <v>7.45</v>
      </c>
      <c r="D23" s="95">
        <f t="shared" si="2"/>
        <v>3.9194630872483223</v>
      </c>
      <c r="E23" s="95">
        <f t="shared" si="2"/>
        <v>0</v>
      </c>
      <c r="F23" s="95">
        <f t="shared" si="2"/>
        <v>0.97986577181208057</v>
      </c>
      <c r="G23" s="95">
        <f t="shared" si="2"/>
        <v>0</v>
      </c>
      <c r="H23" s="96">
        <f t="shared" si="2"/>
        <v>0</v>
      </c>
      <c r="I23" s="52">
        <f t="shared" si="3"/>
        <v>4.8993288590604029</v>
      </c>
      <c r="J23" s="53">
        <v>10</v>
      </c>
      <c r="K23" s="53">
        <f t="shared" si="4"/>
        <v>74.5</v>
      </c>
      <c r="L23" s="54">
        <v>74.5</v>
      </c>
      <c r="M23" s="52">
        <f t="shared" ref="M23:M30" si="5">L23/K23*J23</f>
        <v>10</v>
      </c>
      <c r="N23" s="103"/>
      <c r="O23" t="s">
        <v>47</v>
      </c>
      <c r="R23">
        <f>5/R22</f>
        <v>5.1000000000000005</v>
      </c>
    </row>
    <row r="24" spans="1:19" ht="15.75" thickBot="1" x14ac:dyDescent="0.3">
      <c r="A24" s="41" t="s">
        <v>13</v>
      </c>
      <c r="B24" s="8">
        <f>L5</f>
        <v>2520</v>
      </c>
      <c r="C24" s="17">
        <v>42.34</v>
      </c>
      <c r="D24" s="95">
        <f t="shared" si="2"/>
        <v>5.9518186112423246</v>
      </c>
      <c r="E24" s="95">
        <f t="shared" si="2"/>
        <v>0</v>
      </c>
      <c r="F24" s="95" t="s">
        <v>21</v>
      </c>
      <c r="G24" s="95">
        <f t="shared" si="2"/>
        <v>0</v>
      </c>
      <c r="H24" s="96">
        <f t="shared" si="2"/>
        <v>0</v>
      </c>
      <c r="I24" s="20">
        <f t="shared" si="3"/>
        <v>5.9518186112423246</v>
      </c>
      <c r="J24" s="3">
        <v>15</v>
      </c>
      <c r="K24" s="3">
        <f t="shared" si="4"/>
        <v>635.1</v>
      </c>
      <c r="L24">
        <v>550.41999999999996</v>
      </c>
      <c r="M24" s="20">
        <f t="shared" si="5"/>
        <v>12.999999999999998</v>
      </c>
      <c r="N24" s="103"/>
      <c r="O24" t="s">
        <v>68</v>
      </c>
    </row>
    <row r="25" spans="1:19" ht="15.75" thickBot="1" x14ac:dyDescent="0.3">
      <c r="A25" s="42" t="s">
        <v>14</v>
      </c>
      <c r="B25" s="45">
        <f>L6</f>
        <v>0</v>
      </c>
      <c r="C25" s="49">
        <f>B25*6.25/1000</f>
        <v>0</v>
      </c>
      <c r="D25" s="95" t="str">
        <f t="shared" si="2"/>
        <v>Ø</v>
      </c>
      <c r="E25" s="95" t="str">
        <f t="shared" si="2"/>
        <v>Ø</v>
      </c>
      <c r="F25" s="95" t="str">
        <f t="shared" si="2"/>
        <v>Ø</v>
      </c>
      <c r="G25" s="95" t="str">
        <f t="shared" si="2"/>
        <v>Ø</v>
      </c>
      <c r="H25" s="96" t="str">
        <f t="shared" si="2"/>
        <v>Ø</v>
      </c>
      <c r="I25" s="52">
        <f t="shared" si="3"/>
        <v>0</v>
      </c>
      <c r="J25" s="53"/>
      <c r="K25" s="53">
        <f t="shared" si="4"/>
        <v>0</v>
      </c>
      <c r="L25" s="54"/>
      <c r="M25" s="52" t="str">
        <f>IF(B25&gt;0,L25/K25*J25,"")</f>
        <v/>
      </c>
      <c r="N25" s="103"/>
    </row>
    <row r="26" spans="1:19" x14ac:dyDescent="0.25">
      <c r="A26" s="41" t="s">
        <v>15</v>
      </c>
      <c r="B26" s="8">
        <f>L7</f>
        <v>44</v>
      </c>
      <c r="C26" s="17">
        <v>5.0999999999999996</v>
      </c>
      <c r="D26" s="95">
        <f t="shared" si="2"/>
        <v>0.86274509803921573</v>
      </c>
      <c r="E26" s="95">
        <f t="shared" si="2"/>
        <v>0</v>
      </c>
      <c r="F26" s="95">
        <f t="shared" si="2"/>
        <v>0.21568627450980393</v>
      </c>
      <c r="G26" s="95">
        <f t="shared" si="2"/>
        <v>0</v>
      </c>
      <c r="H26" s="96">
        <f t="shared" si="2"/>
        <v>0</v>
      </c>
      <c r="I26" s="20">
        <f t="shared" si="3"/>
        <v>1.0784313725490198</v>
      </c>
      <c r="J26" s="3">
        <v>2</v>
      </c>
      <c r="K26" s="3">
        <f t="shared" si="4"/>
        <v>10.199999999999999</v>
      </c>
      <c r="L26">
        <v>13.26</v>
      </c>
      <c r="M26" s="20">
        <f t="shared" si="5"/>
        <v>2.6</v>
      </c>
      <c r="N26" s="103"/>
      <c r="O26" t="s">
        <v>69</v>
      </c>
      <c r="R26" t="s">
        <v>80</v>
      </c>
      <c r="S26">
        <v>2.5</v>
      </c>
    </row>
    <row r="27" spans="1:19" x14ac:dyDescent="0.25">
      <c r="A27" s="42" t="s">
        <v>16</v>
      </c>
      <c r="B27" s="45">
        <f>M4</f>
        <v>301.90981867943896</v>
      </c>
      <c r="C27" s="49">
        <f>C23</f>
        <v>7.45</v>
      </c>
      <c r="D27" s="44" t="s">
        <v>21</v>
      </c>
      <c r="E27" s="45">
        <f>E$18/($C27*1000/$B27)</f>
        <v>0</v>
      </c>
      <c r="F27" s="45" t="s">
        <v>21</v>
      </c>
      <c r="G27" s="45" t="s">
        <v>21</v>
      </c>
      <c r="H27" s="43" t="s">
        <v>21</v>
      </c>
      <c r="I27" s="52">
        <f t="shared" si="3"/>
        <v>0</v>
      </c>
      <c r="J27" s="53"/>
      <c r="K27" s="53">
        <f t="shared" si="4"/>
        <v>0</v>
      </c>
      <c r="L27" s="54"/>
      <c r="M27" s="52" t="e">
        <f t="shared" si="5"/>
        <v>#DIV/0!</v>
      </c>
      <c r="N27" s="103"/>
      <c r="R27" t="s">
        <v>81</v>
      </c>
      <c r="S27">
        <v>2.2491666666666665</v>
      </c>
    </row>
    <row r="28" spans="1:19" x14ac:dyDescent="0.25">
      <c r="A28" s="41" t="s">
        <v>17</v>
      </c>
      <c r="B28" s="8">
        <f>M5</f>
        <v>2603.2260213143877</v>
      </c>
      <c r="C28" s="17">
        <v>43.183999999999997</v>
      </c>
      <c r="D28" s="5" t="s">
        <v>21</v>
      </c>
      <c r="E28" s="8" t="s">
        <v>21</v>
      </c>
      <c r="F28" s="8">
        <f>F$18/($C28*1000/$B28)</f>
        <v>1.5070547085230568</v>
      </c>
      <c r="G28" s="8" t="s">
        <v>21</v>
      </c>
      <c r="H28" s="9" t="s">
        <v>21</v>
      </c>
      <c r="I28" s="20">
        <f t="shared" si="3"/>
        <v>1.5070547085230568</v>
      </c>
      <c r="J28" s="3">
        <v>2</v>
      </c>
      <c r="K28" s="3">
        <f t="shared" si="4"/>
        <v>86.367999999999995</v>
      </c>
      <c r="L28">
        <v>107.96</v>
      </c>
      <c r="M28" s="20">
        <f t="shared" si="5"/>
        <v>2.5</v>
      </c>
      <c r="N28" s="103"/>
      <c r="R28" t="s">
        <v>82</v>
      </c>
      <c r="S28">
        <v>48</v>
      </c>
    </row>
    <row r="29" spans="1:19" x14ac:dyDescent="0.25">
      <c r="A29" s="42" t="s">
        <v>18</v>
      </c>
      <c r="B29" s="45">
        <f>M6</f>
        <v>0</v>
      </c>
      <c r="C29" s="49">
        <f>B29*6.25/1000</f>
        <v>0</v>
      </c>
      <c r="D29" s="44" t="s">
        <v>21</v>
      </c>
      <c r="E29" s="45" t="s">
        <v>21</v>
      </c>
      <c r="F29" s="45" t="s">
        <v>21</v>
      </c>
      <c r="G29" s="45">
        <f>IF(B29&gt;0,G$18/($C29*1000/$B29),0)</f>
        <v>0</v>
      </c>
      <c r="H29" s="43" t="s">
        <v>21</v>
      </c>
      <c r="I29" s="52">
        <f t="shared" si="3"/>
        <v>0</v>
      </c>
      <c r="J29" s="53"/>
      <c r="K29" s="53">
        <f t="shared" si="4"/>
        <v>0</v>
      </c>
      <c r="L29" s="54"/>
      <c r="M29" s="52" t="str">
        <f>IF(B29&gt;0,L29/K29*J29,"")</f>
        <v/>
      </c>
      <c r="N29" s="103"/>
      <c r="R29" t="s">
        <v>83</v>
      </c>
      <c r="S29">
        <f>S27/S26*S28</f>
        <v>43.183999999999997</v>
      </c>
    </row>
    <row r="30" spans="1:19" x14ac:dyDescent="0.25">
      <c r="A30" s="41" t="s">
        <v>19</v>
      </c>
      <c r="B30" s="65">
        <f>M7</f>
        <v>45.191566703017081</v>
      </c>
      <c r="C30" s="17">
        <v>5</v>
      </c>
      <c r="D30" s="5" t="s">
        <v>21</v>
      </c>
      <c r="E30" s="8" t="s">
        <v>21</v>
      </c>
      <c r="F30" s="8" t="s">
        <v>21</v>
      </c>
      <c r="G30" s="8" t="s">
        <v>21</v>
      </c>
      <c r="H30" s="9">
        <f>H$18/($C30*1000/$B30)</f>
        <v>0</v>
      </c>
      <c r="I30" s="20">
        <f t="shared" si="3"/>
        <v>0</v>
      </c>
      <c r="J30" s="3"/>
      <c r="K30" s="3">
        <f t="shared" si="4"/>
        <v>0</v>
      </c>
      <c r="M30" s="20" t="e">
        <f t="shared" si="5"/>
        <v>#DIV/0!</v>
      </c>
      <c r="N30" s="103"/>
    </row>
    <row r="31" spans="1:19" ht="15.75" thickBot="1" x14ac:dyDescent="0.3">
      <c r="A31" s="46" t="s">
        <v>26</v>
      </c>
      <c r="B31" s="47"/>
      <c r="C31" s="50"/>
      <c r="D31" s="51">
        <f>D18-SUM(D42,D21:D30)</f>
        <v>69.265973203470139</v>
      </c>
      <c r="E31" s="47">
        <f t="shared" ref="E31:H31" si="6">E18-SUM(E42,E21:E30)</f>
        <v>0</v>
      </c>
      <c r="F31" s="47">
        <f t="shared" si="6"/>
        <v>17.297393245155057</v>
      </c>
      <c r="G31" s="47">
        <f t="shared" si="6"/>
        <v>0</v>
      </c>
      <c r="H31" s="48">
        <f t="shared" si="6"/>
        <v>0</v>
      </c>
      <c r="I31" s="52">
        <f t="shared" si="3"/>
        <v>86.563366448625203</v>
      </c>
      <c r="J31" s="53">
        <f>SUM(J21:J30)</f>
        <v>29</v>
      </c>
      <c r="K31" s="53">
        <f t="shared" si="4"/>
        <v>0</v>
      </c>
      <c r="L31" s="54"/>
      <c r="M31" s="52"/>
    </row>
    <row r="32" spans="1:19" ht="18" x14ac:dyDescent="0.35">
      <c r="A32" s="26" t="s">
        <v>52</v>
      </c>
      <c r="B32" s="14"/>
      <c r="C32" s="14"/>
      <c r="D32" s="28">
        <f>SUM(D21:D31)</f>
        <v>80</v>
      </c>
      <c r="E32" s="28">
        <f t="shared" ref="E32:H32" si="7">SUM(E21:E31)</f>
        <v>0</v>
      </c>
      <c r="F32" s="28">
        <f t="shared" si="7"/>
        <v>20</v>
      </c>
      <c r="G32" s="28">
        <f t="shared" si="7"/>
        <v>0</v>
      </c>
      <c r="H32" s="28">
        <f t="shared" si="7"/>
        <v>0</v>
      </c>
      <c r="I32" s="20" t="s">
        <v>53</v>
      </c>
      <c r="J32" s="3"/>
      <c r="K32" s="3"/>
    </row>
    <row r="33" spans="1:14" ht="15.75" thickBot="1" x14ac:dyDescent="0.3">
      <c r="E33" s="12"/>
      <c r="F33" s="3"/>
      <c r="J33" s="2"/>
      <c r="K33" s="20"/>
    </row>
    <row r="34" spans="1:14" ht="18" x14ac:dyDescent="0.35">
      <c r="A34" s="15" t="s">
        <v>22</v>
      </c>
      <c r="B34" s="31" t="s">
        <v>57</v>
      </c>
      <c r="C34" s="31" t="s">
        <v>40</v>
      </c>
      <c r="D34" s="32"/>
      <c r="E34" s="33"/>
      <c r="F34" s="33"/>
      <c r="G34" s="33"/>
      <c r="H34" s="34"/>
      <c r="I34" s="20"/>
    </row>
    <row r="35" spans="1:14" x14ac:dyDescent="0.25">
      <c r="A35" s="7" t="s">
        <v>22</v>
      </c>
      <c r="B35" s="17">
        <v>100</v>
      </c>
      <c r="C35" s="17">
        <f>B35*2</f>
        <v>200</v>
      </c>
      <c r="D35" s="29">
        <f t="shared" ref="D35:H42" si="8">D$18/1000*$C35</f>
        <v>20</v>
      </c>
      <c r="E35" s="29">
        <f t="shared" si="8"/>
        <v>0</v>
      </c>
      <c r="F35" s="29">
        <f t="shared" si="8"/>
        <v>5</v>
      </c>
      <c r="G35" s="29">
        <f t="shared" si="8"/>
        <v>0</v>
      </c>
      <c r="H35" s="35">
        <f t="shared" si="8"/>
        <v>0</v>
      </c>
      <c r="I35" s="20"/>
      <c r="K35" s="3"/>
      <c r="N35" s="103" t="s">
        <v>64</v>
      </c>
    </row>
    <row r="36" spans="1:14" x14ac:dyDescent="0.25">
      <c r="A36" s="7" t="s">
        <v>33</v>
      </c>
      <c r="B36" s="17">
        <v>0</v>
      </c>
      <c r="C36" s="17">
        <f t="shared" ref="C36:C42" si="9">B36*2</f>
        <v>0</v>
      </c>
      <c r="D36" s="29">
        <f t="shared" si="8"/>
        <v>0</v>
      </c>
      <c r="E36" s="29">
        <f t="shared" si="8"/>
        <v>0</v>
      </c>
      <c r="F36" s="29">
        <f t="shared" si="8"/>
        <v>0</v>
      </c>
      <c r="G36" s="29">
        <f t="shared" si="8"/>
        <v>0</v>
      </c>
      <c r="H36" s="35">
        <f t="shared" si="8"/>
        <v>0</v>
      </c>
      <c r="I36" s="20"/>
      <c r="J36" s="3"/>
      <c r="K36" s="3"/>
      <c r="N36" s="103"/>
    </row>
    <row r="37" spans="1:14" x14ac:dyDescent="0.25">
      <c r="A37" s="7" t="s">
        <v>34</v>
      </c>
      <c r="B37" s="17">
        <v>0</v>
      </c>
      <c r="C37" s="17">
        <f t="shared" si="9"/>
        <v>0</v>
      </c>
      <c r="D37" s="29">
        <f t="shared" si="8"/>
        <v>0</v>
      </c>
      <c r="E37" s="29">
        <f t="shared" si="8"/>
        <v>0</v>
      </c>
      <c r="F37" s="29">
        <f t="shared" si="8"/>
        <v>0</v>
      </c>
      <c r="G37" s="29">
        <f t="shared" si="8"/>
        <v>0</v>
      </c>
      <c r="H37" s="35">
        <f t="shared" si="8"/>
        <v>0</v>
      </c>
      <c r="I37" s="21"/>
      <c r="J37" s="3"/>
      <c r="K37" s="3"/>
      <c r="N37" s="103"/>
    </row>
    <row r="38" spans="1:14" x14ac:dyDescent="0.25">
      <c r="A38" s="7" t="s">
        <v>35</v>
      </c>
      <c r="B38" s="17">
        <v>0</v>
      </c>
      <c r="C38" s="17">
        <f t="shared" si="9"/>
        <v>0</v>
      </c>
      <c r="D38" s="29">
        <f t="shared" si="8"/>
        <v>0</v>
      </c>
      <c r="E38" s="29">
        <f t="shared" si="8"/>
        <v>0</v>
      </c>
      <c r="F38" s="29">
        <f t="shared" si="8"/>
        <v>0</v>
      </c>
      <c r="G38" s="29">
        <f t="shared" si="8"/>
        <v>0</v>
      </c>
      <c r="H38" s="35">
        <f t="shared" si="8"/>
        <v>0</v>
      </c>
      <c r="I38" s="20"/>
      <c r="J38" s="3"/>
      <c r="K38" s="3"/>
      <c r="N38" s="103"/>
    </row>
    <row r="39" spans="1:14" x14ac:dyDescent="0.25">
      <c r="A39" s="7" t="s">
        <v>36</v>
      </c>
      <c r="B39" s="17">
        <v>0</v>
      </c>
      <c r="C39" s="17">
        <f t="shared" si="9"/>
        <v>0</v>
      </c>
      <c r="D39" s="29">
        <f t="shared" si="8"/>
        <v>0</v>
      </c>
      <c r="E39" s="29">
        <f t="shared" si="8"/>
        <v>0</v>
      </c>
      <c r="F39" s="29">
        <f t="shared" si="8"/>
        <v>0</v>
      </c>
      <c r="G39" s="29">
        <f t="shared" si="8"/>
        <v>0</v>
      </c>
      <c r="H39" s="35">
        <f t="shared" si="8"/>
        <v>0</v>
      </c>
      <c r="I39" s="20"/>
      <c r="J39" s="3"/>
      <c r="K39" s="3"/>
      <c r="N39" s="103"/>
    </row>
    <row r="40" spans="1:14" x14ac:dyDescent="0.25">
      <c r="A40" s="7" t="s">
        <v>37</v>
      </c>
      <c r="B40" s="17">
        <v>0</v>
      </c>
      <c r="C40" s="17">
        <f t="shared" si="9"/>
        <v>0</v>
      </c>
      <c r="D40" s="29">
        <f t="shared" si="8"/>
        <v>0</v>
      </c>
      <c r="E40" s="29">
        <f t="shared" si="8"/>
        <v>0</v>
      </c>
      <c r="F40" s="29">
        <f t="shared" si="8"/>
        <v>0</v>
      </c>
      <c r="G40" s="29">
        <f t="shared" si="8"/>
        <v>0</v>
      </c>
      <c r="H40" s="35">
        <f t="shared" si="8"/>
        <v>0</v>
      </c>
      <c r="I40" s="20"/>
      <c r="J40" s="3"/>
      <c r="K40" s="3"/>
      <c r="N40" s="103"/>
    </row>
    <row r="41" spans="1:14" x14ac:dyDescent="0.25">
      <c r="A41" s="7" t="s">
        <v>38</v>
      </c>
      <c r="B41" s="17">
        <v>0</v>
      </c>
      <c r="C41" s="17">
        <f t="shared" si="9"/>
        <v>0</v>
      </c>
      <c r="D41" s="29">
        <f t="shared" si="8"/>
        <v>0</v>
      </c>
      <c r="E41" s="29">
        <f t="shared" si="8"/>
        <v>0</v>
      </c>
      <c r="F41" s="29">
        <f t="shared" si="8"/>
        <v>0</v>
      </c>
      <c r="G41" s="29">
        <f t="shared" si="8"/>
        <v>0</v>
      </c>
      <c r="H41" s="35">
        <f t="shared" si="8"/>
        <v>0</v>
      </c>
      <c r="I41" s="20" t="s">
        <v>58</v>
      </c>
      <c r="J41" s="3"/>
      <c r="K41" s="3"/>
      <c r="N41" s="103"/>
    </row>
    <row r="42" spans="1:14" ht="18.75" thickBot="1" x14ac:dyDescent="0.4">
      <c r="A42" s="36" t="s">
        <v>49</v>
      </c>
      <c r="B42" s="37">
        <f>SUM(B35:B41)</f>
        <v>100</v>
      </c>
      <c r="C42" s="38">
        <f t="shared" si="9"/>
        <v>200</v>
      </c>
      <c r="D42" s="39">
        <f>D$18/1000*$C42</f>
        <v>20</v>
      </c>
      <c r="E42" s="39">
        <f t="shared" si="8"/>
        <v>0</v>
      </c>
      <c r="F42" s="39">
        <f t="shared" si="8"/>
        <v>5</v>
      </c>
      <c r="G42" s="39">
        <f t="shared" si="8"/>
        <v>0</v>
      </c>
      <c r="H42" s="40">
        <f t="shared" si="8"/>
        <v>0</v>
      </c>
      <c r="I42" s="20"/>
      <c r="N42" s="103"/>
    </row>
    <row r="43" spans="1:14" x14ac:dyDescent="0.25">
      <c r="K43" s="18"/>
      <c r="N43" s="103"/>
    </row>
    <row r="44" spans="1:14" x14ac:dyDescent="0.25">
      <c r="B44" s="22" t="s">
        <v>63</v>
      </c>
      <c r="C44" s="1"/>
      <c r="D44" s="1"/>
      <c r="E44" s="1"/>
      <c r="F44" s="1"/>
      <c r="J44" s="3"/>
    </row>
    <row r="45" spans="1:14" x14ac:dyDescent="0.25">
      <c r="A45" s="13"/>
      <c r="B45" s="1"/>
      <c r="C45" s="1"/>
      <c r="D45" s="1"/>
      <c r="E45" s="1"/>
      <c r="F45" s="1"/>
    </row>
    <row r="46" spans="1:14" ht="15.75" thickBot="1" x14ac:dyDescent="0.3">
      <c r="A46" s="3" t="s">
        <v>27</v>
      </c>
      <c r="N46" s="30"/>
    </row>
    <row r="47" spans="1:14" ht="18" customHeight="1" x14ac:dyDescent="0.25">
      <c r="A47" s="3" t="s">
        <v>23</v>
      </c>
      <c r="C47" s="4"/>
      <c r="D47" s="10" t="s">
        <v>2</v>
      </c>
      <c r="E47" s="10" t="s">
        <v>16</v>
      </c>
      <c r="F47" s="10" t="s">
        <v>17</v>
      </c>
      <c r="G47" s="10" t="s">
        <v>18</v>
      </c>
      <c r="H47" s="11" t="s">
        <v>19</v>
      </c>
    </row>
    <row r="48" spans="1:14" ht="18" x14ac:dyDescent="0.35">
      <c r="A48" s="3"/>
      <c r="C48" s="55" t="s">
        <v>29</v>
      </c>
      <c r="D48" s="6">
        <f>D16</f>
        <v>10</v>
      </c>
      <c r="E48" s="6">
        <f t="shared" ref="E48:H48" si="10">E16</f>
        <v>0</v>
      </c>
      <c r="F48" s="6">
        <f t="shared" si="10"/>
        <v>2</v>
      </c>
      <c r="G48" s="6">
        <f t="shared" si="10"/>
        <v>0</v>
      </c>
      <c r="H48" s="6">
        <f t="shared" si="10"/>
        <v>0</v>
      </c>
      <c r="I48" s="19"/>
    </row>
    <row r="49" spans="1:14" ht="18" x14ac:dyDescent="0.35">
      <c r="A49" s="3"/>
      <c r="C49" s="55" t="s">
        <v>1</v>
      </c>
      <c r="D49" s="16">
        <f>D48*$D$13</f>
        <v>50</v>
      </c>
      <c r="E49" s="16">
        <f t="shared" ref="E49:H49" si="11">E48*$D$13</f>
        <v>0</v>
      </c>
      <c r="F49" s="16">
        <f t="shared" si="11"/>
        <v>10</v>
      </c>
      <c r="G49" s="16">
        <f t="shared" si="11"/>
        <v>0</v>
      </c>
      <c r="H49" s="56">
        <f t="shared" si="11"/>
        <v>0</v>
      </c>
      <c r="I49" s="19"/>
    </row>
    <row r="50" spans="1:14" ht="18" x14ac:dyDescent="0.35">
      <c r="C50" s="55" t="s">
        <v>11</v>
      </c>
      <c r="D50" s="16">
        <f>ROUNDUP(D49*$D$11,0)</f>
        <v>60</v>
      </c>
      <c r="E50" s="16">
        <f t="shared" ref="E50:H50" si="12">ROUNDUP(E49*$D$11,0)</f>
        <v>0</v>
      </c>
      <c r="F50" s="16">
        <f t="shared" si="12"/>
        <v>12</v>
      </c>
      <c r="G50" s="16">
        <f t="shared" si="12"/>
        <v>0</v>
      </c>
      <c r="H50" s="56">
        <f t="shared" si="12"/>
        <v>0</v>
      </c>
      <c r="I50" s="19"/>
    </row>
    <row r="51" spans="1:14" ht="15.75" thickBot="1" x14ac:dyDescent="0.3">
      <c r="C51" s="62"/>
      <c r="D51" s="86"/>
      <c r="E51" s="86"/>
      <c r="F51" s="86"/>
      <c r="G51" s="86"/>
      <c r="H51" s="87"/>
      <c r="J51" t="s">
        <v>62</v>
      </c>
    </row>
    <row r="52" spans="1:14" ht="18" x14ac:dyDescent="0.35">
      <c r="A52" s="4"/>
      <c r="B52" s="10" t="s">
        <v>24</v>
      </c>
      <c r="C52" s="85" t="s">
        <v>25</v>
      </c>
      <c r="D52" s="88" t="s">
        <v>39</v>
      </c>
      <c r="E52" s="89"/>
      <c r="F52" s="89"/>
      <c r="G52" s="89"/>
      <c r="H52" s="90"/>
      <c r="I52" s="21" t="s">
        <v>50</v>
      </c>
      <c r="J52" s="27" t="s">
        <v>51</v>
      </c>
      <c r="K52" s="27" t="s">
        <v>54</v>
      </c>
      <c r="L52" s="27" t="s">
        <v>55</v>
      </c>
      <c r="M52" s="27" t="s">
        <v>56</v>
      </c>
    </row>
    <row r="53" spans="1:14" x14ac:dyDescent="0.25">
      <c r="A53" s="42" t="s">
        <v>12</v>
      </c>
      <c r="B53" s="66">
        <f>B23</f>
        <v>292</v>
      </c>
      <c r="C53" s="67">
        <v>7.5</v>
      </c>
      <c r="D53" s="68">
        <f>D$50/($C53*1000/$B53)</f>
        <v>2.3360000000000003</v>
      </c>
      <c r="E53" s="66" t="s">
        <v>21</v>
      </c>
      <c r="F53" s="66">
        <f>F$50/($C53*1000/$B53)</f>
        <v>0.4672</v>
      </c>
      <c r="G53" s="66">
        <f>G$50/($C53*1000/$B53)</f>
        <v>0</v>
      </c>
      <c r="H53" s="69">
        <f>H$50/($C53*1000/$B53)</f>
        <v>0</v>
      </c>
      <c r="I53" s="70">
        <f>SUM(D53:H53)</f>
        <v>2.8032000000000004</v>
      </c>
      <c r="J53" s="71">
        <f t="shared" ref="J53:J61" si="13">ROUNDUP(I53*1.1,0)</f>
        <v>4</v>
      </c>
      <c r="K53" s="71">
        <f>J53*C53</f>
        <v>30</v>
      </c>
      <c r="L53" s="72">
        <v>69.59</v>
      </c>
      <c r="M53" s="70">
        <f t="shared" ref="M53:M60" si="14">L53/K53*J53</f>
        <v>9.278666666666668</v>
      </c>
      <c r="N53" s="103" t="s">
        <v>65</v>
      </c>
    </row>
    <row r="54" spans="1:14" x14ac:dyDescent="0.25">
      <c r="A54" s="41" t="s">
        <v>13</v>
      </c>
      <c r="B54" s="73">
        <f>B24</f>
        <v>2520</v>
      </c>
      <c r="C54" s="74">
        <v>40</v>
      </c>
      <c r="D54" s="75">
        <f>D$50/($C54*1000/$B54)</f>
        <v>3.78</v>
      </c>
      <c r="E54" s="73">
        <f>E$50/($C54*1000/$B54)</f>
        <v>0</v>
      </c>
      <c r="F54" s="73" t="s">
        <v>21</v>
      </c>
      <c r="G54" s="73">
        <f>G$50/($C54*1000/$B54)</f>
        <v>0</v>
      </c>
      <c r="H54" s="76">
        <f>H$50/($C54*1000/$B54)</f>
        <v>0</v>
      </c>
      <c r="I54" s="77">
        <f>SUM(D54:H54)</f>
        <v>3.78</v>
      </c>
      <c r="J54" s="78">
        <f t="shared" si="13"/>
        <v>5</v>
      </c>
      <c r="K54" s="78">
        <f>J54*C54</f>
        <v>200</v>
      </c>
      <c r="L54" s="79">
        <v>124.01</v>
      </c>
      <c r="M54" s="77">
        <f t="shared" si="14"/>
        <v>3.10025</v>
      </c>
      <c r="N54" s="103"/>
    </row>
    <row r="55" spans="1:14" x14ac:dyDescent="0.25">
      <c r="A55" s="42" t="s">
        <v>14</v>
      </c>
      <c r="B55" s="66">
        <v>0</v>
      </c>
      <c r="C55" s="67" t="s">
        <v>21</v>
      </c>
      <c r="D55" s="68" t="s">
        <v>21</v>
      </c>
      <c r="E55" s="66" t="s">
        <v>21</v>
      </c>
      <c r="F55" s="66" t="s">
        <v>21</v>
      </c>
      <c r="G55" s="66" t="s">
        <v>21</v>
      </c>
      <c r="H55" s="69" t="s">
        <v>21</v>
      </c>
      <c r="I55" s="70" t="s">
        <v>21</v>
      </c>
      <c r="J55" s="70" t="s">
        <v>21</v>
      </c>
      <c r="K55" s="71" t="s">
        <v>21</v>
      </c>
      <c r="L55" s="70" t="s">
        <v>21</v>
      </c>
      <c r="M55" s="70" t="s">
        <v>21</v>
      </c>
      <c r="N55" s="103"/>
    </row>
    <row r="56" spans="1:14" x14ac:dyDescent="0.25">
      <c r="A56" s="41" t="s">
        <v>15</v>
      </c>
      <c r="B56" s="73">
        <f>B26</f>
        <v>44</v>
      </c>
      <c r="C56" s="74">
        <v>5</v>
      </c>
      <c r="D56" s="75">
        <f>D$50/($C56*1000/$B56)</f>
        <v>0.52800000000000002</v>
      </c>
      <c r="E56" s="73">
        <f>E$50/($C56*1000/$B56)</f>
        <v>0</v>
      </c>
      <c r="F56" s="73">
        <f>F$50/($C56*1000/$B56)</f>
        <v>0.1056</v>
      </c>
      <c r="G56" s="73">
        <f>G$50/($C56*1000/$B56)</f>
        <v>0</v>
      </c>
      <c r="H56" s="76" t="s">
        <v>21</v>
      </c>
      <c r="I56" s="77">
        <f>SUM(D56:H56)</f>
        <v>0.63360000000000005</v>
      </c>
      <c r="J56" s="78">
        <f t="shared" ref="J56" si="15">ROUNDUP(I56*1.1,0)</f>
        <v>1</v>
      </c>
      <c r="K56" s="78">
        <f>J56*C56</f>
        <v>5</v>
      </c>
      <c r="L56" s="79">
        <v>22.49</v>
      </c>
      <c r="M56" s="77">
        <f t="shared" si="14"/>
        <v>4.4979999999999993</v>
      </c>
      <c r="N56" s="103"/>
    </row>
    <row r="57" spans="1:14" x14ac:dyDescent="0.25">
      <c r="A57" s="42" t="s">
        <v>16</v>
      </c>
      <c r="B57" s="66">
        <f>B27</f>
        <v>301.90981867943896</v>
      </c>
      <c r="C57" s="67">
        <f>C53</f>
        <v>7.5</v>
      </c>
      <c r="D57" s="68" t="s">
        <v>21</v>
      </c>
      <c r="E57" s="66">
        <f>E$50/($C57*1000/$B57)</f>
        <v>0</v>
      </c>
      <c r="F57" s="66" t="s">
        <v>21</v>
      </c>
      <c r="G57" s="66" t="s">
        <v>21</v>
      </c>
      <c r="H57" s="69" t="s">
        <v>21</v>
      </c>
      <c r="I57" s="70">
        <f>SUM(D57:H57)</f>
        <v>0</v>
      </c>
      <c r="J57" s="71">
        <v>1.6</v>
      </c>
      <c r="K57" s="71">
        <f>J57*C57</f>
        <v>12</v>
      </c>
      <c r="L57" s="72">
        <v>13.06</v>
      </c>
      <c r="M57" s="70">
        <f t="shared" si="14"/>
        <v>1.7413333333333334</v>
      </c>
      <c r="N57" s="103"/>
    </row>
    <row r="58" spans="1:14" x14ac:dyDescent="0.25">
      <c r="A58" s="41" t="s">
        <v>17</v>
      </c>
      <c r="B58" s="73">
        <f>B28</f>
        <v>2603.2260213143877</v>
      </c>
      <c r="C58" s="74">
        <v>48</v>
      </c>
      <c r="D58" s="75" t="s">
        <v>21</v>
      </c>
      <c r="E58" s="73" t="s">
        <v>21</v>
      </c>
      <c r="F58" s="73">
        <f>F$50/($C58*1000/$B58)</f>
        <v>0.65080650532859696</v>
      </c>
      <c r="G58" s="73" t="s">
        <v>21</v>
      </c>
      <c r="H58" s="76" t="s">
        <v>21</v>
      </c>
      <c r="I58" s="77">
        <f>SUM(D58:H58)</f>
        <v>0.65080650532859696</v>
      </c>
      <c r="J58" s="78">
        <v>0.75</v>
      </c>
      <c r="K58" s="78">
        <f>J58*C58</f>
        <v>36</v>
      </c>
      <c r="L58" s="79">
        <v>37.17</v>
      </c>
      <c r="M58" s="77">
        <f t="shared" si="14"/>
        <v>0.77437500000000004</v>
      </c>
      <c r="N58" s="103"/>
    </row>
    <row r="59" spans="1:14" x14ac:dyDescent="0.25">
      <c r="A59" s="42" t="s">
        <v>18</v>
      </c>
      <c r="B59" s="66">
        <v>0</v>
      </c>
      <c r="C59" s="67" t="s">
        <v>21</v>
      </c>
      <c r="D59" s="68" t="s">
        <v>21</v>
      </c>
      <c r="E59" s="66" t="s">
        <v>21</v>
      </c>
      <c r="F59" s="66" t="s">
        <v>21</v>
      </c>
      <c r="G59" s="66" t="s">
        <v>21</v>
      </c>
      <c r="H59" s="69" t="s">
        <v>21</v>
      </c>
      <c r="I59" s="70" t="s">
        <v>21</v>
      </c>
      <c r="J59" s="70" t="s">
        <v>21</v>
      </c>
      <c r="K59" s="71" t="s">
        <v>21</v>
      </c>
      <c r="L59" s="70" t="s">
        <v>21</v>
      </c>
      <c r="M59" s="70" t="s">
        <v>21</v>
      </c>
      <c r="N59" s="103"/>
    </row>
    <row r="60" spans="1:14" x14ac:dyDescent="0.25">
      <c r="A60" s="41" t="s">
        <v>19</v>
      </c>
      <c r="B60" s="80">
        <f>B30</f>
        <v>45.191566703017081</v>
      </c>
      <c r="C60" s="74">
        <v>5</v>
      </c>
      <c r="D60" s="75" t="s">
        <v>21</v>
      </c>
      <c r="E60" s="73" t="s">
        <v>21</v>
      </c>
      <c r="F60" s="73" t="s">
        <v>21</v>
      </c>
      <c r="G60" s="73" t="s">
        <v>21</v>
      </c>
      <c r="H60" s="76">
        <f>H$50/($C60*1000/$B60)</f>
        <v>0</v>
      </c>
      <c r="I60" s="77">
        <f>SUM(D60:H60)</f>
        <v>0</v>
      </c>
      <c r="J60" s="78">
        <v>0.5</v>
      </c>
      <c r="K60" s="78">
        <f>J60*C60</f>
        <v>2.5</v>
      </c>
      <c r="L60" s="79">
        <v>2.88</v>
      </c>
      <c r="M60" s="77">
        <f t="shared" si="14"/>
        <v>0.57599999999999996</v>
      </c>
      <c r="N60" s="103"/>
    </row>
    <row r="61" spans="1:14" ht="15.75" thickBot="1" x14ac:dyDescent="0.3">
      <c r="A61" s="46" t="s">
        <v>27</v>
      </c>
      <c r="B61" s="81"/>
      <c r="C61" s="82"/>
      <c r="D61" s="83">
        <f>D50-SUM(D53:D60)</f>
        <v>53.356000000000002</v>
      </c>
      <c r="E61" s="81">
        <f t="shared" ref="E61:H61" si="16">E50-SUM(E53:E60)</f>
        <v>0</v>
      </c>
      <c r="F61" s="81">
        <f t="shared" si="16"/>
        <v>10.776393494671403</v>
      </c>
      <c r="G61" s="81">
        <f t="shared" si="16"/>
        <v>0</v>
      </c>
      <c r="H61" s="84">
        <f t="shared" si="16"/>
        <v>0</v>
      </c>
      <c r="I61" s="70">
        <f>SUM(D61:H61)</f>
        <v>64.132393494671405</v>
      </c>
      <c r="J61" s="71">
        <f t="shared" si="13"/>
        <v>71</v>
      </c>
      <c r="K61" s="71">
        <f>J61*C61</f>
        <v>0</v>
      </c>
      <c r="L61" s="72"/>
      <c r="M61" s="70"/>
    </row>
    <row r="65" spans="1:14" ht="15.75" thickBot="1" x14ac:dyDescent="0.3">
      <c r="A65" s="3" t="s">
        <v>27</v>
      </c>
      <c r="N65" s="30"/>
    </row>
    <row r="66" spans="1:14" x14ac:dyDescent="0.25">
      <c r="A66" s="3" t="s">
        <v>23</v>
      </c>
      <c r="C66" s="4"/>
      <c r="D66" s="10" t="s">
        <v>2</v>
      </c>
      <c r="E66" s="10" t="s">
        <v>17</v>
      </c>
    </row>
    <row r="67" spans="1:14" ht="18" x14ac:dyDescent="0.35">
      <c r="A67" s="3"/>
      <c r="C67" s="55" t="s">
        <v>29</v>
      </c>
      <c r="D67" s="6">
        <v>2</v>
      </c>
      <c r="E67" s="6">
        <v>2</v>
      </c>
      <c r="F67" s="19"/>
    </row>
    <row r="68" spans="1:14" ht="18" x14ac:dyDescent="0.35">
      <c r="A68" s="3"/>
      <c r="C68" s="55" t="s">
        <v>1</v>
      </c>
      <c r="D68" s="16">
        <f>D67*$D$13</f>
        <v>10</v>
      </c>
      <c r="E68" s="16">
        <f t="shared" ref="E68" si="17">E67*$D$13</f>
        <v>10</v>
      </c>
      <c r="F68" s="19"/>
    </row>
    <row r="69" spans="1:14" ht="18" x14ac:dyDescent="0.35">
      <c r="C69" s="55" t="s">
        <v>11</v>
      </c>
      <c r="D69" s="16">
        <v>0</v>
      </c>
      <c r="E69" s="16">
        <f t="shared" ref="E69" si="18">ROUNDUP(E68*$D$11,0)</f>
        <v>12</v>
      </c>
      <c r="F69" s="19"/>
    </row>
    <row r="70" spans="1:14" ht="15.75" thickBot="1" x14ac:dyDescent="0.3">
      <c r="C70" s="62"/>
      <c r="D70" s="63"/>
      <c r="E70" s="63"/>
      <c r="G70" t="s">
        <v>62</v>
      </c>
    </row>
    <row r="71" spans="1:14" ht="18" x14ac:dyDescent="0.35">
      <c r="A71" s="4"/>
      <c r="B71" s="10" t="s">
        <v>24</v>
      </c>
      <c r="C71" s="93" t="s">
        <v>25</v>
      </c>
      <c r="D71" s="91" t="s">
        <v>39</v>
      </c>
      <c r="E71" s="92"/>
      <c r="F71" s="21" t="s">
        <v>50</v>
      </c>
      <c r="G71" s="27" t="s">
        <v>51</v>
      </c>
      <c r="H71" s="27" t="s">
        <v>54</v>
      </c>
      <c r="I71" s="27" t="s">
        <v>55</v>
      </c>
      <c r="J71" s="27" t="s">
        <v>56</v>
      </c>
    </row>
    <row r="72" spans="1:14" x14ac:dyDescent="0.25">
      <c r="A72" s="42" t="s">
        <v>12</v>
      </c>
      <c r="B72" s="66">
        <f>B53</f>
        <v>292</v>
      </c>
      <c r="C72" s="67">
        <v>7.5</v>
      </c>
      <c r="D72" s="68">
        <f>D$69/($C72*1000/$B72)</f>
        <v>0</v>
      </c>
      <c r="E72" s="69">
        <f>E$69/($C72*1000/$B72)</f>
        <v>0.4672</v>
      </c>
      <c r="F72" s="70">
        <f>SUM(D72:E72)</f>
        <v>0.4672</v>
      </c>
      <c r="G72" s="71">
        <v>2</v>
      </c>
      <c r="H72" s="71">
        <f>G72*C72</f>
        <v>15</v>
      </c>
      <c r="I72" s="72">
        <v>58.36</v>
      </c>
      <c r="J72" s="70">
        <f t="shared" ref="J72:J75" si="19">I72/H72*G72</f>
        <v>7.7813333333333334</v>
      </c>
      <c r="K72" s="104" t="s">
        <v>65</v>
      </c>
    </row>
    <row r="73" spans="1:14" x14ac:dyDescent="0.25">
      <c r="A73" s="41" t="s">
        <v>13</v>
      </c>
      <c r="B73" s="73">
        <f t="shared" ref="B73" si="20">B54</f>
        <v>2520</v>
      </c>
      <c r="C73" s="74">
        <v>40</v>
      </c>
      <c r="D73" s="75">
        <f>D$69/($C73*1000/$B73)</f>
        <v>0</v>
      </c>
      <c r="E73" s="76" t="s">
        <v>21</v>
      </c>
      <c r="F73" s="77">
        <f>SUM(D73:E73)</f>
        <v>0</v>
      </c>
      <c r="G73" s="78">
        <v>0.5</v>
      </c>
      <c r="H73" s="78">
        <f>G73*C73</f>
        <v>20</v>
      </c>
      <c r="I73" s="79">
        <v>59.74</v>
      </c>
      <c r="J73" s="77">
        <f t="shared" si="19"/>
        <v>1.4935</v>
      </c>
      <c r="K73" s="104"/>
    </row>
    <row r="74" spans="1:14" x14ac:dyDescent="0.25">
      <c r="A74" s="42" t="s">
        <v>15</v>
      </c>
      <c r="B74" s="66">
        <f>B56</f>
        <v>44</v>
      </c>
      <c r="C74" s="67">
        <v>6</v>
      </c>
      <c r="D74" s="68">
        <f>D$69/($C74*1000/$B74)</f>
        <v>0</v>
      </c>
      <c r="E74" s="69">
        <f>E$69/($C74*1000/$B74)</f>
        <v>8.7999999999999995E-2</v>
      </c>
      <c r="F74" s="70">
        <f>SUM(D74:E74)</f>
        <v>8.7999999999999995E-2</v>
      </c>
      <c r="G74" s="71">
        <v>1.6</v>
      </c>
      <c r="H74" s="71">
        <f>G74*C74</f>
        <v>9.6000000000000014</v>
      </c>
      <c r="I74" s="72">
        <v>10.01</v>
      </c>
      <c r="J74" s="70">
        <f t="shared" si="19"/>
        <v>1.668333333333333</v>
      </c>
      <c r="K74" s="104"/>
    </row>
    <row r="75" spans="1:14" x14ac:dyDescent="0.25">
      <c r="A75" s="41" t="s">
        <v>17</v>
      </c>
      <c r="B75" s="73">
        <f>B58</f>
        <v>2603.2260213143877</v>
      </c>
      <c r="C75" s="74">
        <v>40</v>
      </c>
      <c r="D75" s="75" t="s">
        <v>21</v>
      </c>
      <c r="E75" s="76">
        <f>E$69/($C75*1000/$B75)</f>
        <v>0.78096780639431629</v>
      </c>
      <c r="F75" s="77">
        <f>SUM(D75:E75)</f>
        <v>0.78096780639431629</v>
      </c>
      <c r="G75" s="78">
        <v>0.5</v>
      </c>
      <c r="H75" s="78">
        <f>G75*C75</f>
        <v>20</v>
      </c>
      <c r="I75" s="79">
        <v>18.899999999999999</v>
      </c>
      <c r="J75" s="77">
        <f t="shared" si="19"/>
        <v>0.47249999999999998</v>
      </c>
      <c r="K75" s="104"/>
    </row>
    <row r="76" spans="1:14" ht="15.75" thickBot="1" x14ac:dyDescent="0.3">
      <c r="A76" s="46" t="s">
        <v>27</v>
      </c>
      <c r="B76" s="81"/>
      <c r="C76" s="82"/>
      <c r="D76" s="83">
        <f>D69-SUM(D87,D72:D75)</f>
        <v>0</v>
      </c>
      <c r="E76" s="84">
        <f>E69-SUM(F87,E72:E75)</f>
        <v>10.663832193605684</v>
      </c>
      <c r="F76" s="70">
        <f>SUM(D76:E76)</f>
        <v>10.663832193605684</v>
      </c>
      <c r="G76" s="71">
        <f t="shared" ref="G76" si="21">ROUNDUP(F76*1.1,0)</f>
        <v>12</v>
      </c>
      <c r="H76" s="71">
        <f>G76*C76</f>
        <v>0</v>
      </c>
      <c r="I76" s="72"/>
      <c r="J76" s="70"/>
    </row>
  </sheetData>
  <mergeCells count="4">
    <mergeCell ref="N21:N30"/>
    <mergeCell ref="N35:N43"/>
    <mergeCell ref="N53:N60"/>
    <mergeCell ref="K72:K75"/>
  </mergeCells>
  <pageMargins left="0.70866141732283472" right="0.70866141732283472" top="0.74803149606299213" bottom="0.74803149606299213" header="0.31496062992125984" footer="0.31496062992125984"/>
  <pageSetup paperSize="9" scale="63" fitToHeight="0" orientation="landscape" r:id="rId1"/>
  <headerFooter>
    <oddHeader>&amp;L&amp;D, &amp;T&amp;C&amp;F  &amp;A</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MainExperiment</vt:lpstr>
      <vt:lpstr>TestExperiment</vt:lpstr>
      <vt:lpstr>TestExperiment_labelmedia</vt:lpstr>
    </vt:vector>
  </TitlesOfParts>
  <Company>MDC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 Opialla</dc:creator>
  <cp:lastModifiedBy>Tobias Opialla</cp:lastModifiedBy>
  <cp:lastPrinted>2019-01-24T10:03:52Z</cp:lastPrinted>
  <dcterms:created xsi:type="dcterms:W3CDTF">2013-04-27T11:31:11Z</dcterms:created>
  <dcterms:modified xsi:type="dcterms:W3CDTF">2019-03-12T11:58:13Z</dcterms:modified>
</cp:coreProperties>
</file>