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128" windowHeight="7524" tabRatio="836" activeTab="3"/>
  </bookViews>
  <sheets>
    <sheet name="舰船" sheetId="1" r:id="rId1"/>
    <sheet name="装备" sheetId="2" r:id="rId2"/>
    <sheet name="菜谱" sheetId="7" r:id="rId3"/>
    <sheet name="藏品" sheetId="6" r:id="rId4"/>
    <sheet name="更新说明" sheetId="5" r:id="rId5"/>
  </sheets>
  <definedNames>
    <definedName name="_xlnm._FilterDatabase" localSheetId="0" hidden="1">舰船!$A$1:$AV$624</definedName>
    <definedName name="_xlnm._FilterDatabase" localSheetId="1" hidden="1">装备!$A$3:$AC$576</definedName>
    <definedName name="_xlnm._FilterDatabase" localSheetId="2" hidden="1">菜谱!$A$2:$S$48</definedName>
    <definedName name="_xlnm._FilterDatabase" localSheetId="3" hidden="1">藏品!$A$2:$I$52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sz val="9"/>
            <rFont val="宋体"/>
            <charset val="134"/>
          </rPr>
          <t>主力舰(BC/BB/CV/AV/BBV/ASDG/BG)
护卫舰(CVL/CA/CL/BM/DD/SS/SC/AP/CAV/CLT/AADG)</t>
        </r>
      </text>
    </comment>
  </commentList>
</comments>
</file>

<file path=xl/sharedStrings.xml><?xml version="1.0" encoding="utf-8"?>
<sst xmlns="http://schemas.openxmlformats.org/spreadsheetml/2006/main" count="10103" uniqueCount="3341">
  <si>
    <t>cid</t>
  </si>
  <si>
    <t>等级</t>
  </si>
  <si>
    <t>星级</t>
  </si>
  <si>
    <t>舰船</t>
  </si>
  <si>
    <t>OvO</t>
  </si>
  <si>
    <t>种类</t>
  </si>
  <si>
    <t>Cost</t>
  </si>
  <si>
    <t>策略</t>
  </si>
  <si>
    <t>国籍</t>
  </si>
  <si>
    <t>舰种</t>
  </si>
  <si>
    <t>耐久</t>
  </si>
  <si>
    <t>中保</t>
  </si>
  <si>
    <t>火力</t>
  </si>
  <si>
    <t>装甲</t>
  </si>
  <si>
    <t>鱼雷</t>
  </si>
  <si>
    <t>对空</t>
  </si>
  <si>
    <t>对潜</t>
  </si>
  <si>
    <t>索敌</t>
  </si>
  <si>
    <t>闪避</t>
  </si>
  <si>
    <t>命中</t>
  </si>
  <si>
    <t>幸运</t>
  </si>
  <si>
    <t>航速</t>
  </si>
  <si>
    <t>射程</t>
  </si>
  <si>
    <t>改造需求</t>
  </si>
  <si>
    <t>船型</t>
  </si>
  <si>
    <t>分类</t>
  </si>
  <si>
    <t>搭载格</t>
  </si>
  <si>
    <t>总搭载</t>
  </si>
  <si>
    <t>装备槽数</t>
  </si>
  <si>
    <t>装备</t>
  </si>
  <si>
    <t>油耗</t>
  </si>
  <si>
    <t>弹耗</t>
  </si>
  <si>
    <t>修理油耗</t>
  </si>
  <si>
    <t>修理钢耗</t>
  </si>
  <si>
    <t>修理时间</t>
  </si>
  <si>
    <t>拆解油</t>
  </si>
  <si>
    <t>拆解弹</t>
  </si>
  <si>
    <t>拆解钢</t>
  </si>
  <si>
    <t>拆解铝</t>
  </si>
  <si>
    <t>火力经验</t>
  </si>
  <si>
    <t>鱼雷经验</t>
  </si>
  <si>
    <t>装甲经验</t>
  </si>
  <si>
    <t>对空经验</t>
  </si>
  <si>
    <t>技能1</t>
  </si>
  <si>
    <t>技能2</t>
  </si>
  <si>
    <t>建造时间</t>
  </si>
  <si>
    <t>常规图掉落</t>
  </si>
  <si>
    <t>其它获取途径</t>
  </si>
  <si>
    <t>胡德</t>
  </si>
  <si>
    <t>常规</t>
  </si>
  <si>
    <t>E</t>
  </si>
  <si>
    <t>战巡</t>
  </si>
  <si>
    <t>长</t>
  </si>
  <si>
    <t>等级75|战列核心20|钢200</t>
  </si>
  <si>
    <t>大型船</t>
  </si>
  <si>
    <t>主力舰</t>
  </si>
  <si>
    <t>[3, 3, 3, 3]</t>
  </si>
  <si>
    <t>E国双联15英寸炮|E国双联4英寸炮|海象式</t>
  </si>
  <si>
    <t>扶桑</t>
  </si>
  <si>
    <t>魟</t>
  </si>
  <si>
    <t>J</t>
  </si>
  <si>
    <t>战列</t>
  </si>
  <si>
    <t>等级20|战列核心4|弹400|钢600</t>
  </si>
  <si>
    <t>J国35.6厘米连装炮|J国15.2厘米单装炮</t>
  </si>
  <si>
    <t>山城</t>
  </si>
  <si>
    <t>鲼</t>
  </si>
  <si>
    <t>伊势</t>
  </si>
  <si>
    <t>鳌</t>
  </si>
  <si>
    <t>等级20|航母核心4|弹100|钢900|铝400</t>
  </si>
  <si>
    <t>J国35.6厘米连装炮|J国14厘米单装炮</t>
  </si>
  <si>
    <t>日向</t>
  </si>
  <si>
    <t>螯</t>
  </si>
  <si>
    <t>俾斯麦</t>
  </si>
  <si>
    <t>G</t>
  </si>
  <si>
    <t>等级75|战列核心20|铝200</t>
  </si>
  <si>
    <t>[4, 4, 4, 4]</t>
  </si>
  <si>
    <t>G国双联380毫米炮|G国双联150毫米炮|AR-196水上侦察机</t>
  </si>
  <si>
    <t>提尔比茨</t>
  </si>
  <si>
    <t>纳尔逊</t>
  </si>
  <si>
    <t>等级50|战列核心5|油1200|钢1600</t>
  </si>
  <si>
    <t>E国三联16英寸炮|E国双联6英寸炮</t>
  </si>
  <si>
    <t>罗德尼</t>
  </si>
  <si>
    <t>威尔士亲王</t>
  </si>
  <si>
    <t>等级50|战列核心9|油800|弹500|钢2000</t>
  </si>
  <si>
    <t>E国四联14英寸炮|E国双联5.25英寸炮|海象式</t>
  </si>
  <si>
    <t>内华达</t>
  </si>
  <si>
    <t>U</t>
  </si>
  <si>
    <t>等级30|战列核心4|弹400|钢600</t>
  </si>
  <si>
    <t>U国三联14英寸炮|U国双联5英寸平高两用炮</t>
  </si>
  <si>
    <t>俄克拉荷马</t>
  </si>
  <si>
    <t>安德烈亚·多利亚</t>
  </si>
  <si>
    <t>I</t>
  </si>
  <si>
    <t>等级60|战列核心12|油1200|弹1200|钢1200</t>
  </si>
  <si>
    <t>I国三联305毫米炮|标准型动力系统</t>
  </si>
  <si>
    <t>金刚</t>
  </si>
  <si>
    <t>姈</t>
  </si>
  <si>
    <t>等级45|战列核心6|油800|钢950</t>
  </si>
  <si>
    <t>比睿</t>
  </si>
  <si>
    <t>妸</t>
  </si>
  <si>
    <t>榛名</t>
  </si>
  <si>
    <t>妱</t>
  </si>
  <si>
    <t>雾岛</t>
  </si>
  <si>
    <t>姏</t>
  </si>
  <si>
    <t>声望</t>
  </si>
  <si>
    <t>等级50|战列核心15|油2000|弹2000|钢3000|铝200</t>
  </si>
  <si>
    <t>E国双联15英寸炮|E国三联4英寸炮</t>
  </si>
  <si>
    <t>反击</t>
  </si>
  <si>
    <t>等级40|战列核心8|油1000|弹1000|钢1500|铝100</t>
  </si>
  <si>
    <t>阿拉斯加</t>
  </si>
  <si>
    <t>等级82|战列核心24|油3000|弹3000|钢3500|铝2000</t>
  </si>
  <si>
    <t>U国三联12英寸炮|U国双联5英寸平高两用炮|U国博福斯40毫米防空炮(四联)</t>
  </si>
  <si>
    <t>关岛</t>
  </si>
  <si>
    <t>赤城</t>
  </si>
  <si>
    <t>凰</t>
  </si>
  <si>
    <t>航母</t>
  </si>
  <si>
    <t>短</t>
  </si>
  <si>
    <t>等级77|航母核心20|油500|钢3000|铝1200</t>
  </si>
  <si>
    <t>[21, 18, 27, 10]</t>
  </si>
  <si>
    <t>零战二一型|九九式舰爆|九七式舰攻</t>
  </si>
  <si>
    <t>加贺</t>
  </si>
  <si>
    <t>鸾</t>
  </si>
  <si>
    <t>等级80|航母核心20|油500|钢3000|铝1200</t>
  </si>
  <si>
    <t>[17, 18, 43, 12]</t>
  </si>
  <si>
    <t>祥凤</t>
  </si>
  <si>
    <t>凤</t>
  </si>
  <si>
    <t>轻母</t>
  </si>
  <si>
    <t>等级55|航母核心8|油350|钢600|铝750</t>
  </si>
  <si>
    <t>中型船</t>
  </si>
  <si>
    <t>护卫舰</t>
  </si>
  <si>
    <t>[17, 12, 3, 0]</t>
  </si>
  <si>
    <t>九九式舰爆|九七式舰攻</t>
  </si>
  <si>
    <t>瑞凤</t>
  </si>
  <si>
    <t>鹞</t>
  </si>
  <si>
    <t>等级55|航母核心8|油300|钢650|铝750</t>
  </si>
  <si>
    <t>百眼巨人</t>
  </si>
  <si>
    <t>等级35|航母核心5|油200|钢400|铝500</t>
  </si>
  <si>
    <t>[5, 10, 5, 0]</t>
  </si>
  <si>
    <t>剑鱼|E国单装4英寸炮</t>
  </si>
  <si>
    <t>兰利</t>
  </si>
  <si>
    <t>等级40|航母核心6|油300|钢400|铝400</t>
  </si>
  <si>
    <t>[15, 10, 5, 0]</t>
  </si>
  <si>
    <t>F2A水牛</t>
  </si>
  <si>
    <t>突击者</t>
  </si>
  <si>
    <t>等级30|航母核心8|油500|钢1500|铝2000</t>
  </si>
  <si>
    <t>[15, 25, 10, 0]</t>
  </si>
  <si>
    <t>SBD-3无畏|TBF复仇者</t>
  </si>
  <si>
    <t>列克星敦</t>
  </si>
  <si>
    <t>等级40|航母核心5|油200|钢400|铝500</t>
  </si>
  <si>
    <t>[20, 20, 30, 10]</t>
  </si>
  <si>
    <t>F2A水牛|SBD-3无畏|BTD-1毁灭者</t>
  </si>
  <si>
    <t>萨拉托加</t>
  </si>
  <si>
    <t>等级40|航母核心5|油200|钢500|铝400</t>
  </si>
  <si>
    <t>大黄蜂</t>
  </si>
  <si>
    <t>[21, 21, 23, 10]</t>
  </si>
  <si>
    <t>B-25(杜立特队)</t>
  </si>
  <si>
    <t>高雄</t>
  </si>
  <si>
    <t>獒</t>
  </si>
  <si>
    <t>重巡</t>
  </si>
  <si>
    <t>中</t>
  </si>
  <si>
    <t>等级45|巡洋核心10|油300|弹300|钢200</t>
  </si>
  <si>
    <t>[2, 2, 2]</t>
  </si>
  <si>
    <t>J国20.3厘米连装炮|零式水上侦察机</t>
  </si>
  <si>
    <t>爱宕</t>
  </si>
  <si>
    <t>犬</t>
  </si>
  <si>
    <t>等级50|巡洋核心10|油300|弹300|钢200</t>
  </si>
  <si>
    <t>摩耶</t>
  </si>
  <si>
    <t>犮</t>
  </si>
  <si>
    <t>等级55|巡洋核心12|油300|弹300|铝300</t>
  </si>
  <si>
    <t>J国20.3厘米连装炮</t>
  </si>
  <si>
    <t>鸟海</t>
  </si>
  <si>
    <t>猋</t>
  </si>
  <si>
    <t>希佩尔海军上将</t>
  </si>
  <si>
    <t>等级30|巡洋核心6|油100|弹100|钢200</t>
  </si>
  <si>
    <t>[3, 3, 3]</t>
  </si>
  <si>
    <t>G国双联203毫米炮</t>
  </si>
  <si>
    <t>布吕歇尔</t>
  </si>
  <si>
    <t>欧根亲王</t>
  </si>
  <si>
    <t>威奇塔</t>
  </si>
  <si>
    <t>等级43|巡洋核心13|弹500|钢500</t>
  </si>
  <si>
    <t>U国三联8英寸炮</t>
  </si>
  <si>
    <t>昆西</t>
  </si>
  <si>
    <t>等级40|巡洋核心5|油100|弹300|钢400</t>
  </si>
  <si>
    <t>天龙</t>
  </si>
  <si>
    <t>豺</t>
  </si>
  <si>
    <t>轻巡</t>
  </si>
  <si>
    <t>等级50|巡洋核心3|油500|钢500</t>
  </si>
  <si>
    <t>J国14厘米单装炮</t>
  </si>
  <si>
    <t>龙田</t>
  </si>
  <si>
    <t>豹</t>
  </si>
  <si>
    <t>北上</t>
  </si>
  <si>
    <t>狸</t>
  </si>
  <si>
    <t>等级65|巡洋核心15|油1500|弹1000|钢1000|铝1000</t>
  </si>
  <si>
    <t>J国14厘米单装炮|61厘米四连装鱼雷</t>
  </si>
  <si>
    <t>大井</t>
  </si>
  <si>
    <t>獾</t>
  </si>
  <si>
    <t>五十铃</t>
  </si>
  <si>
    <t>貉</t>
  </si>
  <si>
    <t>等级50|巡洋核心5|油500|弹500|钢500|铝500</t>
  </si>
  <si>
    <t>[1, 1, 1]</t>
  </si>
  <si>
    <t>夕张</t>
  </si>
  <si>
    <t>狐</t>
  </si>
  <si>
    <t>等级60|巡洋核心9|油1000|弹1000|钢1000|铝1000</t>
  </si>
  <si>
    <t>J国14厘米单装炮|标准型动力系统</t>
  </si>
  <si>
    <t>柯尼斯堡</t>
  </si>
  <si>
    <t>等级45|巡洋核心5|油200|弹200|钢100</t>
  </si>
  <si>
    <t>G国三联150毫米炮|三联533毫米鱼雷</t>
  </si>
  <si>
    <t>卡尔斯鲁厄</t>
  </si>
  <si>
    <t>科隆</t>
  </si>
  <si>
    <t>等级50|巡洋核心6|油200|弹200|钢200</t>
  </si>
  <si>
    <t>天狼星</t>
  </si>
  <si>
    <t>等级70|巡洋核心8|油250|弹250|钢200</t>
  </si>
  <si>
    <t>E国双联5.25英寸炮|标准型对空雷达</t>
  </si>
  <si>
    <t>林仙</t>
  </si>
  <si>
    <t>E国双联6英寸炮</t>
  </si>
  <si>
    <t>加拉蒂亚</t>
  </si>
  <si>
    <t>佩内洛珀</t>
  </si>
  <si>
    <t>曙光女神</t>
  </si>
  <si>
    <t>等级49|巡洋核心4|油300|钢500</t>
  </si>
  <si>
    <t>奥马哈</t>
  </si>
  <si>
    <t>等级42|巡洋核心5|油500|钢500</t>
  </si>
  <si>
    <t>U国双联5英寸平高两用炮|U国单装5英寸炮</t>
  </si>
  <si>
    <t>亚特兰大</t>
  </si>
  <si>
    <t>等级40|巡洋核心4|油500|铝300</t>
  </si>
  <si>
    <t>U国双联5英寸平高两用炮</t>
  </si>
  <si>
    <t>朱诺</t>
  </si>
  <si>
    <t>等级50|巡洋核心7|油500|弹500|钢500|铝500</t>
  </si>
  <si>
    <t>布鲁克林</t>
  </si>
  <si>
    <t>等级30|巡洋核心5|油200|弹200|钢100</t>
  </si>
  <si>
    <t>[4, 4, 4]</t>
  </si>
  <si>
    <t>U国三联6英寸炮</t>
  </si>
  <si>
    <t>海伦娜</t>
  </si>
  <si>
    <t>U国三联6英寸炮|标准型对海雷达</t>
  </si>
  <si>
    <t>宁海</t>
  </si>
  <si>
    <t>C</t>
  </si>
  <si>
    <t>等级50|巡洋核心6|油200|弹200|钢200|铝200</t>
  </si>
  <si>
    <t>C国双联140毫米炮</t>
  </si>
  <si>
    <t>平海</t>
  </si>
  <si>
    <t>等级50|巡洋核心9|油400|钢400</t>
  </si>
  <si>
    <t>罗伯茨</t>
  </si>
  <si>
    <t>重炮</t>
  </si>
  <si>
    <t>等级50|战列核心8|油800|弹600|钢400</t>
  </si>
  <si>
    <t>小型船</t>
  </si>
  <si>
    <t>E国双联15英寸炮</t>
  </si>
  <si>
    <t>阿贝克隆比</t>
  </si>
  <si>
    <t>吹雪</t>
  </si>
  <si>
    <t>桐</t>
  </si>
  <si>
    <t>驱逐</t>
  </si>
  <si>
    <t>等级48|驱逐核心8|油200|弹400|钢200</t>
  </si>
  <si>
    <t>J国12.7厘米连装炮|61厘米三连装鱼雷</t>
  </si>
  <si>
    <t>白雪</t>
  </si>
  <si>
    <t>杉</t>
  </si>
  <si>
    <t>等级49|驱逐核心8|油200|弹400|钢200</t>
  </si>
  <si>
    <t>J国12.7厘米连装炮</t>
  </si>
  <si>
    <t>初雪</t>
  </si>
  <si>
    <t>杨</t>
  </si>
  <si>
    <t>等级51|驱逐核心8|油200|弹400|钢200</t>
  </si>
  <si>
    <t xml:space="preserve">深雪 </t>
  </si>
  <si>
    <t>梧</t>
  </si>
  <si>
    <t>等级72|驱逐核心12|油250|弹500|钢250</t>
  </si>
  <si>
    <t>晓</t>
  </si>
  <si>
    <t>枫</t>
  </si>
  <si>
    <t>等级40|驱逐核心6|油200|弹200|钢400</t>
  </si>
  <si>
    <t>响</t>
  </si>
  <si>
    <t>栀</t>
  </si>
  <si>
    <t>等级47|驱逐核心7|油300|弹100|钢500</t>
  </si>
  <si>
    <t>雷</t>
  </si>
  <si>
    <t>梓</t>
  </si>
  <si>
    <t>等级30|驱逐核心6|油200|弹500|钢300</t>
  </si>
  <si>
    <t>电</t>
  </si>
  <si>
    <t>柏</t>
  </si>
  <si>
    <t>等级34|驱逐核心5|油400|弹400|钢400</t>
  </si>
  <si>
    <t>绫波</t>
  </si>
  <si>
    <t>柚</t>
  </si>
  <si>
    <t>等级42|驱逐核心12|油300|弹300|钢800</t>
  </si>
  <si>
    <t>敷波</t>
  </si>
  <si>
    <t>柿</t>
  </si>
  <si>
    <t>等级44|驱逐核心4|油200|弹500|钢300</t>
  </si>
  <si>
    <t>Z1</t>
  </si>
  <si>
    <t>等级20|驱逐核心3|弹150|钢200</t>
  </si>
  <si>
    <t>G国单装127毫米炮|四联533毫米鱼雷</t>
  </si>
  <si>
    <t>Z16</t>
  </si>
  <si>
    <t>等级40|驱逐核心3|弹150|钢200</t>
  </si>
  <si>
    <t>G国单装127毫米炮</t>
  </si>
  <si>
    <t>Z21</t>
  </si>
  <si>
    <t>等级30|驱逐核心3|弹150|钢200</t>
  </si>
  <si>
    <t>Z22</t>
  </si>
  <si>
    <t>Z24</t>
  </si>
  <si>
    <t>G国单装150毫米炮</t>
  </si>
  <si>
    <t>Z28</t>
  </si>
  <si>
    <t>Z31</t>
  </si>
  <si>
    <t>等级50|驱逐核心5|油500|弹500|钢500|铝500</t>
  </si>
  <si>
    <t>G国单装150毫米炮|四联533毫米鱼雷</t>
  </si>
  <si>
    <t>紫石英</t>
  </si>
  <si>
    <t>等级60|驱逐核心10|油2000|弹1000|钢200</t>
  </si>
  <si>
    <t>E国双联4英寸炮</t>
  </si>
  <si>
    <t>萤火虫</t>
  </si>
  <si>
    <t>等级35|驱逐核心5|弹400|钢400</t>
  </si>
  <si>
    <t>E国双联4.7英寸炮|五联533毫米鱼雷</t>
  </si>
  <si>
    <t>标枪</t>
  </si>
  <si>
    <t>等级40|驱逐核心3|油300|钢500</t>
  </si>
  <si>
    <t>E国双联4.7英寸炮</t>
  </si>
  <si>
    <t>天后</t>
  </si>
  <si>
    <t>等级41|驱逐核心3|弹200|铝200</t>
  </si>
  <si>
    <t>黑背豺</t>
  </si>
  <si>
    <t>等级40|驱逐核心5|油400|钢500</t>
  </si>
  <si>
    <t>哥萨克人</t>
  </si>
  <si>
    <t>等级40|驱逐核心6|油420|弹220|钢600</t>
  </si>
  <si>
    <t>E国双联4.7英寸炮|四联533毫米鱼雷</t>
  </si>
  <si>
    <t>爱斯基摩人</t>
  </si>
  <si>
    <t>等级25|驱逐核心3|弹150|钢200</t>
  </si>
  <si>
    <t>旁遮普人</t>
  </si>
  <si>
    <t>等级42|驱逐核心6|油450|弹200|钢450</t>
  </si>
  <si>
    <t>弗莱彻</t>
  </si>
  <si>
    <t>等级36|驱逐核心5|油250|弹200|钢200</t>
  </si>
  <si>
    <t>U国单装5英寸炮|五联533毫米鱼雷</t>
  </si>
  <si>
    <t>卡辛杨</t>
  </si>
  <si>
    <t>U国单装5英寸炮</t>
  </si>
  <si>
    <t>安东尼</t>
  </si>
  <si>
    <t>布雷恩</t>
  </si>
  <si>
    <t>等级30|驱逐核心4|油200|弹250|钢200</t>
  </si>
  <si>
    <t>基林</t>
  </si>
  <si>
    <t>U国双联5英寸平高两用炮|五联533毫米鱼雷</t>
  </si>
  <si>
    <t>基阿特</t>
  </si>
  <si>
    <t>弗兰克·诺克斯</t>
  </si>
  <si>
    <t>鲍尔</t>
  </si>
  <si>
    <t>果敢</t>
  </si>
  <si>
    <t>S</t>
  </si>
  <si>
    <t>等级66|驱逐核心24|油5000|弹5000|钢5000|铝5000</t>
  </si>
  <si>
    <t>S国单装130毫米炮|四联533毫米鱼雷</t>
  </si>
  <si>
    <t>沃克兰</t>
  </si>
  <si>
    <t>F</t>
  </si>
  <si>
    <t>等级37|驱逐核心5|油400|弹200|钢300</t>
  </si>
  <si>
    <t>F国单装138毫米炮|三联533毫米鱼雷</t>
  </si>
  <si>
    <t>空想</t>
  </si>
  <si>
    <t>等级60|巡洋核心8|油3000|钢1000</t>
  </si>
  <si>
    <t>F国单装138毫米炮|改良型动力系统</t>
  </si>
  <si>
    <t>狮</t>
  </si>
  <si>
    <t>[2, 2, 2, 2]</t>
  </si>
  <si>
    <t>E国MK.III型三联16英寸炮|附加装甲(大型)</t>
  </si>
  <si>
    <t>初升的朝阳:根据总出征次数（上限30000次）增加自身火力最多12点，且增加自身暴击率最多12%</t>
  </si>
  <si>
    <t>长门</t>
  </si>
  <si>
    <t>鲨</t>
  </si>
  <si>
    <t>等级80|战列核心5|油500|弹500|钢500|铝100</t>
  </si>
  <si>
    <t>J国41厘米连装炮|91式穿甲弹</t>
  </si>
  <si>
    <t>陆奥</t>
  </si>
  <si>
    <t>鲞</t>
  </si>
  <si>
    <t>J国41厘米连装炮|三式弹</t>
  </si>
  <si>
    <t>皇家橡树</t>
  </si>
  <si>
    <t>厌战</t>
  </si>
  <si>
    <t>E国双联15英寸炮|E国八联40毫米砰砰炮|标准型火控雷达</t>
  </si>
  <si>
    <t>前卫</t>
  </si>
  <si>
    <t>等级75|战列核心20|铝250</t>
  </si>
  <si>
    <t>E国双联15英寸炮|E国博福斯40毫米防空机炮(六联)|E国274型雷达</t>
  </si>
  <si>
    <t>田纳西</t>
  </si>
  <si>
    <t>等级46|战列核心5|油350|弹200|钢300|铝100</t>
  </si>
  <si>
    <t>U国三联14英寸炮</t>
  </si>
  <si>
    <t>加利福尼亚</t>
  </si>
  <si>
    <t>U国三联14英寸炮|标准型对空雷达</t>
  </si>
  <si>
    <t>科罗拉多</t>
  </si>
  <si>
    <t>等级55|战列核心5|油500|弹500|钢500|铝100</t>
  </si>
  <si>
    <t>U国双联16英寸炮</t>
  </si>
  <si>
    <t>马里兰</t>
  </si>
  <si>
    <t>等级57|战列核心7|油600|弹600|钢600|铝100</t>
  </si>
  <si>
    <t>西弗吉尼亚</t>
  </si>
  <si>
    <t>等级80|战列核心7|油600|弹600|钢600|铝100</t>
  </si>
  <si>
    <t>华盛顿</t>
  </si>
  <si>
    <t>U国三联16英寸炮(MK6)|先进型火控雷达</t>
  </si>
  <si>
    <t>维内托</t>
  </si>
  <si>
    <t>等级80|战列核心25|弹150|钢3000|铝500</t>
  </si>
  <si>
    <t>I国三联381毫米炮|普列塞水下防护系统|意式餐具套装</t>
  </si>
  <si>
    <t>帕斯塔战役E4奖励</t>
  </si>
  <si>
    <t>黎塞留</t>
  </si>
  <si>
    <t>等级75|战列核心20|铝300</t>
  </si>
  <si>
    <t>F国四联380毫米炮|F国四联380毫米炮(炸膛)</t>
  </si>
  <si>
    <t>凯旋之歌:增加自身9%暴击率。中破、大破时攻击无视对方护甲。暴击时造成伤害无视对方护甲。</t>
  </si>
  <si>
    <t>沙恩霍斯特</t>
  </si>
  <si>
    <t>G国三联283毫米炮</t>
  </si>
  <si>
    <t>格奈森瑙</t>
  </si>
  <si>
    <t>大凤</t>
  </si>
  <si>
    <t>鹩</t>
  </si>
  <si>
    <t>装母</t>
  </si>
  <si>
    <t>等级75|航母核心20|油200|钢2000|铝2000</t>
  </si>
  <si>
    <t>[18, 24, 12, 6]</t>
  </si>
  <si>
    <t>零战62型|彗星|天山</t>
  </si>
  <si>
    <t>歼灭妄想舰队E4奖励</t>
  </si>
  <si>
    <t>齐柏林伯爵</t>
  </si>
  <si>
    <t>等级70|航母核心18|油200|钢2300|铝1800</t>
  </si>
  <si>
    <t>[12, 15, 15, 6]</t>
  </si>
  <si>
    <t>BF109T|Ju-87C斯图卡|改良型动力系统</t>
  </si>
  <si>
    <t>皇家方舟</t>
  </si>
  <si>
    <t>[18, 18, 24, 12]</t>
  </si>
  <si>
    <t>剑鱼|海燕</t>
  </si>
  <si>
    <t>精准打击:皇家方舟攻击命中的敌人：回避降低30，被暴击率提升25%。</t>
  </si>
  <si>
    <t>女武神行动E5奖励</t>
  </si>
  <si>
    <t>约克城</t>
  </si>
  <si>
    <t>等级75|航母核心20|油300|钢1300|铝2000</t>
  </si>
  <si>
    <t>F2A水牛|SBD-3无畏|TBD蹂躏者</t>
  </si>
  <si>
    <t>中间岛战役E4奖励</t>
  </si>
  <si>
    <t>企业</t>
  </si>
  <si>
    <t>等级80|航母核心20|油300|钢1500|铝2200</t>
  </si>
  <si>
    <t>SBD-3无畏|TBD蹂躏者|F2A水牛|TBD蹂躏者</t>
  </si>
  <si>
    <t>独木成林:增加自身回避20点，并且队伍中没有其余航母（航母，轻母，装母）存在时，自身射程变更为长,火力加成55点</t>
  </si>
  <si>
    <t>中间岛战役E5奖励</t>
  </si>
  <si>
    <t>龙骧</t>
  </si>
  <si>
    <t>枭</t>
  </si>
  <si>
    <t>[21, 15, 4, 0]</t>
  </si>
  <si>
    <t>零战二一型|九七式舰攻</t>
  </si>
  <si>
    <t>南洋基地防御战E2奖励</t>
  </si>
  <si>
    <t>博格</t>
  </si>
  <si>
    <t>等级52|航母核心10|油400|钢800|铝600</t>
  </si>
  <si>
    <t>[15, 10, 3, 0]</t>
  </si>
  <si>
    <t>F4F野猫|TBF复仇者</t>
  </si>
  <si>
    <t>追赶者</t>
  </si>
  <si>
    <t>等级63|航母核心12|油450|钢1300|铝800</t>
  </si>
  <si>
    <t>剑鱼MKIII|海喷火</t>
  </si>
  <si>
    <t>巨像</t>
  </si>
  <si>
    <t>等级52|航母核心10|油300|钢650|铝700</t>
  </si>
  <si>
    <t>[20, 15, 5, 0]</t>
  </si>
  <si>
    <t>海喷火MKXV|萤火虫</t>
  </si>
  <si>
    <t>普林斯顿</t>
  </si>
  <si>
    <t>[10, 15, 10, 0]</t>
  </si>
  <si>
    <t>独角兽</t>
  </si>
  <si>
    <t>[20, 10, 5, 0]</t>
  </si>
  <si>
    <t>海喷火|剑鱼MKIII</t>
  </si>
  <si>
    <t>德意志</t>
  </si>
  <si>
    <t>G国三联283毫米炮|柴油机</t>
  </si>
  <si>
    <t>舍尔海军上将</t>
  </si>
  <si>
    <t>斯佩伯爵海军上将</t>
  </si>
  <si>
    <t>等级55|巡洋核心15|油350|弹400|钢750</t>
  </si>
  <si>
    <t>古鹰</t>
  </si>
  <si>
    <t>狼</t>
  </si>
  <si>
    <t>等级44|巡洋核心6|油450|弹200|钢400</t>
  </si>
  <si>
    <t>加古</t>
  </si>
  <si>
    <t>狌</t>
  </si>
  <si>
    <t>青叶</t>
  </si>
  <si>
    <t>犹</t>
  </si>
  <si>
    <t>衣笠</t>
  </si>
  <si>
    <t>猅</t>
  </si>
  <si>
    <t>伦敦</t>
  </si>
  <si>
    <t>等级39|巡洋核心7|油300|钢500</t>
  </si>
  <si>
    <t>E国双联8英寸炮</t>
  </si>
  <si>
    <t>肯特</t>
  </si>
  <si>
    <t>波特兰</t>
  </si>
  <si>
    <t>等级39|巡洋核心6|油400|弹250|钢500</t>
  </si>
  <si>
    <t>印第安纳波利斯</t>
  </si>
  <si>
    <t>U国三联8英寸炮|极密货物</t>
  </si>
  <si>
    <t>彭萨科拉</t>
  </si>
  <si>
    <t>等级35|巡洋核心7|油400|弹250|钢500</t>
  </si>
  <si>
    <t>盐湖城</t>
  </si>
  <si>
    <t>北安普顿</t>
  </si>
  <si>
    <t>等级40|巡洋核心5|油300|弹200|钢500</t>
  </si>
  <si>
    <t>U国三联8英寸炮|U国四联1.1英寸防空炮</t>
  </si>
  <si>
    <t>休斯顿</t>
  </si>
  <si>
    <t>等级40|巡洋核心6|油400|弹250|钢500</t>
  </si>
  <si>
    <t>新奥尔良</t>
  </si>
  <si>
    <t>等级42|巡洋核心5|油300|弹200|钢500</t>
  </si>
  <si>
    <t>基洛夫</t>
  </si>
  <si>
    <t>S国三联180毫米炮|Бе-4舰载侦察机</t>
  </si>
  <si>
    <t>川内</t>
  </si>
  <si>
    <t>凊</t>
  </si>
  <si>
    <t>等级50|巡洋核心10|油500|弹500|钢500|铝500</t>
  </si>
  <si>
    <t>神通</t>
  </si>
  <si>
    <t>凉</t>
  </si>
  <si>
    <t>那珂</t>
  </si>
  <si>
    <t>凁</t>
  </si>
  <si>
    <t>M计划</t>
  </si>
  <si>
    <t>G国双联150毫米炮|四联533毫米鱼雷</t>
  </si>
  <si>
    <t>埃姆登</t>
  </si>
  <si>
    <t>翡翠</t>
  </si>
  <si>
    <t>等级35|巡洋核心3|油500|钢500</t>
  </si>
  <si>
    <t>E国单装6英寸炮|金块箱</t>
  </si>
  <si>
    <t>进取</t>
  </si>
  <si>
    <t>等级38|巡洋核心3|油500|钢500</t>
  </si>
  <si>
    <t>爱丁堡</t>
  </si>
  <si>
    <t>E国三联6英寸炮|金块箱</t>
  </si>
  <si>
    <t>贝尔法斯特</t>
  </si>
  <si>
    <t>E国三联6英寸炮</t>
  </si>
  <si>
    <t>勇敢</t>
  </si>
  <si>
    <t>光荣</t>
  </si>
  <si>
    <t>暴怒</t>
  </si>
  <si>
    <t>航战</t>
  </si>
  <si>
    <t>[0, 0, 10, 5]</t>
  </si>
  <si>
    <t>E国单装18英寸舰炮</t>
  </si>
  <si>
    <t>圣地亚哥</t>
  </si>
  <si>
    <t>圣胡安</t>
  </si>
  <si>
    <t>摩尔曼斯克</t>
  </si>
  <si>
    <t>等级35|巡洋核心5|油500|钢500</t>
  </si>
  <si>
    <t>三联533毫米鱼雷|U国博福斯40毫米防空炮(双联)</t>
  </si>
  <si>
    <t>炮火弧线防御作战E1奖励</t>
  </si>
  <si>
    <t>德·鲁伊特</t>
  </si>
  <si>
    <t>Ho</t>
  </si>
  <si>
    <t>N国双联152毫米炮</t>
  </si>
  <si>
    <t>逸仙</t>
  </si>
  <si>
    <t>等级62|巡洋核心10|油250|弹250|钢250|铝250</t>
  </si>
  <si>
    <t>C国单装150毫米炮</t>
  </si>
  <si>
    <t>维那莫依嫩</t>
  </si>
  <si>
    <t>Fi</t>
  </si>
  <si>
    <t>254毫米博福斯双联主炮</t>
  </si>
  <si>
    <t>秋月</t>
  </si>
  <si>
    <t>椛</t>
  </si>
  <si>
    <t>等级44|驱逐核心6|油150|弹200|钢300</t>
  </si>
  <si>
    <t>J国10厘米连装炮</t>
  </si>
  <si>
    <t>凉月</t>
  </si>
  <si>
    <t>栎</t>
  </si>
  <si>
    <t>等级42|驱逐核心6|油200|弹150|钢300</t>
  </si>
  <si>
    <t>阳炎</t>
  </si>
  <si>
    <t>萩</t>
  </si>
  <si>
    <t>等级42|驱逐核心10|油600|弹600|钢500|铝100</t>
  </si>
  <si>
    <t>不知火</t>
  </si>
  <si>
    <t>蒲</t>
  </si>
  <si>
    <t>等级45|驱逐核心10|油600|弹600|钢500|铝100</t>
  </si>
  <si>
    <t>黑潮</t>
  </si>
  <si>
    <t>蓉</t>
  </si>
  <si>
    <t>等级40|驱逐核心10|油600|弹600|钢500|铝100</t>
  </si>
  <si>
    <t>雪风</t>
  </si>
  <si>
    <t>莲</t>
  </si>
  <si>
    <t>等级75|驱逐核心15|油1000|弹1000|钢500|铝300</t>
  </si>
  <si>
    <t>J国12.7厘米连装炮|61厘米四连装鱼雷</t>
  </si>
  <si>
    <t>祥瑞御免:将所有己方其他舰船的幸运吸收至自身，每9点幸运增加1%回避率。</t>
  </si>
  <si>
    <t>Z3</t>
  </si>
  <si>
    <t>Z46</t>
  </si>
  <si>
    <t>等级50|驱逐核心10|油200|弹100|钢300</t>
  </si>
  <si>
    <t>G国双联128毫米高平两用炮</t>
  </si>
  <si>
    <t>热心</t>
  </si>
  <si>
    <t>四联533毫米鱼雷</t>
  </si>
  <si>
    <t>阿卡司塔</t>
  </si>
  <si>
    <t>索玛雷兹</t>
  </si>
  <si>
    <t>维纳斯</t>
  </si>
  <si>
    <t>等级45|驱逐核心8|油420|弹200|钢650</t>
  </si>
  <si>
    <t>军团</t>
  </si>
  <si>
    <t>撒切尔</t>
  </si>
  <si>
    <t>沙利文</t>
  </si>
  <si>
    <t>等级45|驱逐核心5|油250|弹200|钢200</t>
  </si>
  <si>
    <t>西格斯比</t>
  </si>
  <si>
    <t>奥班农</t>
  </si>
  <si>
    <t>U国单装5英寸炮|一袋土豆</t>
  </si>
  <si>
    <t>威廉·D·波特</t>
  </si>
  <si>
    <t>等级62|驱逐核心12|油500|弹1000|钢500</t>
  </si>
  <si>
    <t>扫把星:这个技能并没有什么鸟用。</t>
  </si>
  <si>
    <t>波特</t>
  </si>
  <si>
    <t>等级39|驱逐核心5|油200|弹150|钢300</t>
  </si>
  <si>
    <t>U国双联5英寸炮</t>
  </si>
  <si>
    <t>拉菲</t>
  </si>
  <si>
    <t>等级45|驱逐核心9|油300|弹200|钢1000|铝100</t>
  </si>
  <si>
    <t>五联533毫米鱼雷|U国单装5英寸炮</t>
  </si>
  <si>
    <t>卡米契亚·内拉</t>
  </si>
  <si>
    <t>等级50|驱逐核心11|油350|弹250|钢500|铝450</t>
  </si>
  <si>
    <t>I国双联120毫米炮</t>
  </si>
  <si>
    <t>阿维埃尔</t>
  </si>
  <si>
    <t>安东尼奥·达诺利</t>
  </si>
  <si>
    <t>等级40|驱逐核心9|油300|弹200|钢500|铝400</t>
  </si>
  <si>
    <t>I国双联120毫米炮|标准型动力系统</t>
  </si>
  <si>
    <t>乌戈里尼·维瓦尔迪</t>
  </si>
  <si>
    <t>等级50|驱逐核心9|油300|弹200|钢500|铝400</t>
  </si>
  <si>
    <t>塔什干</t>
  </si>
  <si>
    <t>等级70|驱逐核心10|油400|弹400|钢400|铝400</t>
  </si>
  <si>
    <t>S国双联130毫米炮|改良型动力系统</t>
  </si>
  <si>
    <t>恩格斯</t>
  </si>
  <si>
    <t>S国单装305毫米无后座力炮</t>
  </si>
  <si>
    <t>大青花鱼</t>
  </si>
  <si>
    <t>潜艇</t>
  </si>
  <si>
    <t>等级68|潜艇核心12|弹1500|钢1500</t>
  </si>
  <si>
    <t>21英寸鱼雷(潜艇)</t>
  </si>
  <si>
    <t>射水鱼</t>
  </si>
  <si>
    <t>等级70|潜艇核心12|弹1500|钢1500</t>
  </si>
  <si>
    <t>M1</t>
  </si>
  <si>
    <t>炮潜</t>
  </si>
  <si>
    <t>E国单装12英寸潜艇主炮</t>
  </si>
  <si>
    <t>U47</t>
  </si>
  <si>
    <t>等级66|潜艇核心8|弹1200|钢1200</t>
  </si>
  <si>
    <t>533毫米磁性鱼雷(潜艇)</t>
  </si>
  <si>
    <t>U505</t>
  </si>
  <si>
    <t>两周年纪念关卡E3奖励</t>
  </si>
  <si>
    <t>絮库夫</t>
  </si>
  <si>
    <t>等级50|潜艇核心8|油200|弹1000|钢1000|铝100</t>
  </si>
  <si>
    <t>F国旋转鱼雷发射器|F国双联203毫米潜艇主炮</t>
  </si>
  <si>
    <t>帕斯塔战役E2奖励</t>
  </si>
  <si>
    <t>兴登堡</t>
  </si>
  <si>
    <t>G国双联406毫米炮|附加装甲(大型)</t>
  </si>
  <si>
    <t>高速轻弹:当自身不处于中破、大破状态时，炮击战自身攻击时降低敌方装甲15%，并附带固定伤害20点。</t>
  </si>
  <si>
    <t>决战无畏之海E4奖励</t>
  </si>
  <si>
    <t>伊丽莎白女王</t>
  </si>
  <si>
    <t>E国双联15英寸炮|标准型动力系统</t>
  </si>
  <si>
    <t>女武神行动E3奖励</t>
  </si>
  <si>
    <t>约克公爵</t>
  </si>
  <si>
    <t>E国四联14英寸炮|E国双联5.25英寸炮|标准型火控雷达</t>
  </si>
  <si>
    <t>骑士之誓:队伍中每有一艘非E国的船只都会增加自身命中、回避、火力3点。</t>
  </si>
  <si>
    <t>北卡罗来纳</t>
  </si>
  <si>
    <t>先进型火控雷达|U国三联16英寸炮(MK6)</t>
  </si>
  <si>
    <t>灵活转换(形态一):非中破、大破状态下，提升自身闪避值20点、装甲值15点，降低自身火力值7点；中破状态下，自身火力不受战损影响</t>
  </si>
  <si>
    <t>南达科他</t>
  </si>
  <si>
    <t>等级75|战列核心20|油500|弹1000|钢1500|铝300</t>
  </si>
  <si>
    <t>不屈的迎风花:增加自身30%被攻击概率，提升两侧友方单位18%暴击率，自身中破、大破状态下无法参与任何攻击。</t>
  </si>
  <si>
    <t>马萨诸塞</t>
  </si>
  <si>
    <t>U国三联16英寸炮(MK6)|先进型火控雷达|超重弹</t>
  </si>
  <si>
    <t>重击:攻击有40%概率降低被命中单位75%的火力（夜战阶段无效），有35%概率造成敌方总血量20%的额外伤害。</t>
  </si>
  <si>
    <t>远洋破袭——跨越静海E6奖励；2020.03.06建造养成解锁</t>
  </si>
  <si>
    <t>密苏里</t>
  </si>
  <si>
    <t>等级91|战列核心20|油600|弹1200|钢1700|铝500</t>
  </si>
  <si>
    <t>早期型U国三联16英寸炮（MK7）|先进型火控雷达|改良型动力系统</t>
  </si>
  <si>
    <t>决胜之兵:在炮击战阶段优先攻击敌方战列/战巡/航战单位，增加自身对于战列/战巡/航战的暴击率20%且暴击时攻击无视自身战损。</t>
  </si>
  <si>
    <t>衣阿华</t>
  </si>
  <si>
    <t>止战之戈:炮击战阶段，26%概率炮击同一个目标两次，触发技能之后炮击战阶段将不再行动。</t>
  </si>
  <si>
    <t>卡约•杜伊里奥</t>
  </si>
  <si>
    <t>等级60|战列核心12|油1200|弹1200|钢1200|铝100</t>
  </si>
  <si>
    <t>I国三联305毫米炮</t>
  </si>
  <si>
    <t>罗马</t>
  </si>
  <si>
    <t>I国三联381毫米炮|普列塞水下防护系统</t>
  </si>
  <si>
    <t>强装药主炮:首轮炮击阶段，自身攻击时，敌人装甲降低40%。</t>
  </si>
  <si>
    <t>苏联</t>
  </si>
  <si>
    <t>S国三联406毫米炮|普列塞水下防护系统</t>
  </si>
  <si>
    <t>神圣的战争:该船的炮击伤害会在90%~130%之间浮动。</t>
  </si>
  <si>
    <t>炮火弧线防御作战E3奖励</t>
  </si>
  <si>
    <t>敦刻尔克</t>
  </si>
  <si>
    <t>F国330毫米四联主炮</t>
  </si>
  <si>
    <t>最长一役E3奖励</t>
  </si>
  <si>
    <t>斯特拉斯堡</t>
  </si>
  <si>
    <t>立体强袭——雪崩计划强袭点数300点奖励</t>
  </si>
  <si>
    <t>古斯塔夫五世</t>
  </si>
  <si>
    <t>Sv</t>
  </si>
  <si>
    <t>R国双联280毫米炮</t>
  </si>
  <si>
    <t>瑞鹤</t>
  </si>
  <si>
    <t>鹬</t>
  </si>
  <si>
    <t>等级80|航母核心20|油450|钢3500|铝1200</t>
  </si>
  <si>
    <t>[19, 26, 21, 12]</t>
  </si>
  <si>
    <t>翔鹤</t>
  </si>
  <si>
    <t>鹤</t>
  </si>
  <si>
    <t>地狱群岛攻略作战E4奖励</t>
  </si>
  <si>
    <t>飞龙</t>
  </si>
  <si>
    <t>鸴</t>
  </si>
  <si>
    <t>等级75|航母核心20|油300|钢3000|铝1000</t>
  </si>
  <si>
    <t>[21, 18, 18, 6]</t>
  </si>
  <si>
    <t>苍龙</t>
  </si>
  <si>
    <t>鸷</t>
  </si>
  <si>
    <t>信浓</t>
  </si>
  <si>
    <t>末</t>
  </si>
  <si>
    <t>等级80|航母核心20|油450|钢4500|铝1500</t>
  </si>
  <si>
    <t>[12, 12, 35, 0]</t>
  </si>
  <si>
    <t>天河|烈风|流星</t>
  </si>
  <si>
    <t>穿梭支援:降低处于本舰上方位置的3艘舰船所受到的航空攻击伤害35%，并提高12点对空值和索敌值。</t>
  </si>
  <si>
    <t>轰隆轰隆大作战E5奖励</t>
  </si>
  <si>
    <t>可畏</t>
  </si>
  <si>
    <t>[10, 24, 15, 8]</t>
  </si>
  <si>
    <t>大青花鱼鱼雷机|海喷火</t>
  </si>
  <si>
    <t>马塔潘角之箭:航空战阶段提升自身15点命中，炮击战阶段自身攻击敌人时降低敌人30%的装甲。</t>
  </si>
  <si>
    <t>立体强袭——圣盾作战强袭点数1000点奖励</t>
  </si>
  <si>
    <t>黄蜂</t>
  </si>
  <si>
    <t>等级65|航母核心20|油300|钢1300|铝2000</t>
  </si>
  <si>
    <t>[15, 15, 25, 15]</t>
  </si>
  <si>
    <t>F4F野猫|SBD-3无畏|TBF复仇者</t>
  </si>
  <si>
    <t>埃塞克斯</t>
  </si>
  <si>
    <t>[18, 18, 36, 18]</t>
  </si>
  <si>
    <t>SB2C地狱俯冲者|TBF复仇者|F6F地狱猫</t>
  </si>
  <si>
    <t>猎火鸡比赛:提升自身6点火力值。战斗中当敌方有装母、航母或者轻母时，随机降低敌方一艘装母、航母或者轻母的火力值20点。</t>
  </si>
  <si>
    <t>飞鹰</t>
  </si>
  <si>
    <t>鸱</t>
  </si>
  <si>
    <t>等级54|航母核心9|油400|钢950|铝750</t>
  </si>
  <si>
    <t>[12, 18, 18]</t>
  </si>
  <si>
    <t>隼鹰</t>
  </si>
  <si>
    <t>鸢</t>
  </si>
  <si>
    <t>等级55|航母核心9|油450|钢900|铝700</t>
  </si>
  <si>
    <t>凤翔</t>
  </si>
  <si>
    <t>鹏</t>
  </si>
  <si>
    <t>[6, 6, 8]</t>
  </si>
  <si>
    <t>九六式舰战|九七式舰攻</t>
  </si>
  <si>
    <t>竞技神</t>
  </si>
  <si>
    <t>[6, 12, 6, 0]</t>
  </si>
  <si>
    <t>剑鱼|洛克希德“天狼星”</t>
  </si>
  <si>
    <t>贝亚恩</t>
  </si>
  <si>
    <t>[12, 12, 12, 4]</t>
  </si>
  <si>
    <t>D.790|LN.401|BR.810</t>
  </si>
  <si>
    <t>最上</t>
  </si>
  <si>
    <t>猨</t>
  </si>
  <si>
    <t>等级45|航母核心10|油300|钢400|铝500</t>
  </si>
  <si>
    <t>三隈</t>
  </si>
  <si>
    <t>狻</t>
  </si>
  <si>
    <t>铃谷</t>
  </si>
  <si>
    <t>狺</t>
  </si>
  <si>
    <t>熊野</t>
  </si>
  <si>
    <t>猁</t>
  </si>
  <si>
    <t>萨福克</t>
  </si>
  <si>
    <t>约克</t>
  </si>
  <si>
    <t>埃克赛特</t>
  </si>
  <si>
    <t>旧金山</t>
  </si>
  <si>
    <t>等级45|巡洋核心9|油300|弹200|钢500</t>
  </si>
  <si>
    <t>急速东方快车E2奖励</t>
  </si>
  <si>
    <t>巴尔的摩</t>
  </si>
  <si>
    <t>等级50|巡洋核心15|油300|弹200|钢800|铝300</t>
  </si>
  <si>
    <t>U国三联8英寸炮(MK12/15)|U国双联5英寸平高两用炮</t>
  </si>
  <si>
    <t>不朽的英魂:当自身在场时，队伍中每有一艘U国重巡洋舰，则为全队轻巡、重巡、航巡提供5火力加成，队伍中每有一艘U国轻巡洋舰，则为全队轻巡、重巡、航巡提供5对空和回避加成。</t>
  </si>
  <si>
    <t>南洋基地防御战E4奖励</t>
  </si>
  <si>
    <t>德梅因</t>
  </si>
  <si>
    <t>MK.16三联8英寸自动炮|U国双联3英寸防空炮</t>
  </si>
  <si>
    <t>八英寸机关枪:提升自身暴击伤害20%，炮击战阶段，有30%概率造成1.3倍的伤害。（暴击与倍率伤害不同时触发）</t>
  </si>
  <si>
    <t>急速东方快车E4奖励</t>
  </si>
  <si>
    <t>扎拉</t>
  </si>
  <si>
    <t>附加装甲(中型)</t>
  </si>
  <si>
    <t>阿尔及利亚</t>
  </si>
  <si>
    <t>F国双联M1931式203毫米炮</t>
  </si>
  <si>
    <t>香取</t>
  </si>
  <si>
    <t>狔</t>
  </si>
  <si>
    <t>等级35|巡洋核心5|油500|弹500|钢500|铝500</t>
  </si>
  <si>
    <t>J国12.7厘米连装高射炮|零式水上侦察机</t>
  </si>
  <si>
    <t>大淀</t>
  </si>
  <si>
    <t>淀</t>
  </si>
  <si>
    <t>等级55|航母核心10|油800|弹500|钢900|铝900</t>
  </si>
  <si>
    <t>[6, 6, 6]</t>
  </si>
  <si>
    <t>J国15.5厘米三联主炮|紫云|改良型声纳</t>
  </si>
  <si>
    <t>莱比锡</t>
  </si>
  <si>
    <t>等级48|巡洋核心6|油200|弹200|钢150|铝200</t>
  </si>
  <si>
    <t>G国三联150毫米炮</t>
  </si>
  <si>
    <t>伍斯特</t>
  </si>
  <si>
    <t>U国MK16DP双联6英寸高射炮|U国双联3英寸防空炮</t>
  </si>
  <si>
    <t>远洋破袭作战——钢铁启示录E2奖励</t>
  </si>
  <si>
    <t>奥克兰</t>
  </si>
  <si>
    <t>U国博福斯40毫米防空炮(四联)</t>
  </si>
  <si>
    <t>克利夫兰</t>
  </si>
  <si>
    <t>高速射击:炮击战时40%概率造成1.4倍伤害。</t>
  </si>
  <si>
    <t>应瑞</t>
  </si>
  <si>
    <t>肇和</t>
  </si>
  <si>
    <t>吞武里</t>
  </si>
  <si>
    <t>Th</t>
  </si>
  <si>
    <t>J国20.3厘米连装炮|柴油机</t>
  </si>
  <si>
    <t>睦月</t>
  </si>
  <si>
    <t>松</t>
  </si>
  <si>
    <t>J国12厘米单装炮</t>
  </si>
  <si>
    <t>白露</t>
  </si>
  <si>
    <t>汀</t>
  </si>
  <si>
    <t>时雨</t>
  </si>
  <si>
    <t>浜</t>
  </si>
  <si>
    <t>及时雨:被动增加自身回避30点。</t>
  </si>
  <si>
    <t>村雨</t>
  </si>
  <si>
    <t>汐</t>
  </si>
  <si>
    <t>夕立</t>
  </si>
  <si>
    <t>氿</t>
  </si>
  <si>
    <t>岚</t>
  </si>
  <si>
    <t>萍</t>
  </si>
  <si>
    <t>等级60|驱逐核心12|油250|弹1000|钢300</t>
  </si>
  <si>
    <t>标准型声纳|标准型深弹投射器</t>
  </si>
  <si>
    <t>中间岛战役E2奖励</t>
  </si>
  <si>
    <t>岛风</t>
  </si>
  <si>
    <t>芒</t>
  </si>
  <si>
    <t>61厘米五连装鱼雷|改良型动力系统</t>
  </si>
  <si>
    <t>峰风</t>
  </si>
  <si>
    <t>棌</t>
  </si>
  <si>
    <t>Z17</t>
  </si>
  <si>
    <t>等级41|驱逐核心4|弹250|钢200</t>
  </si>
  <si>
    <t>Z18</t>
  </si>
  <si>
    <t>等级42|驱逐核心4|弹250|钢200</t>
  </si>
  <si>
    <t>吸血鬼</t>
  </si>
  <si>
    <t>Au</t>
  </si>
  <si>
    <t>三联533毫米鱼雷|标准型深弹投射器</t>
  </si>
  <si>
    <t>海达人</t>
  </si>
  <si>
    <t>Ca</t>
  </si>
  <si>
    <t>E国双联4.7英寸炮|改良型深弹投射器</t>
  </si>
  <si>
    <t>康弗斯</t>
  </si>
  <si>
    <t>戴森</t>
  </si>
  <si>
    <t>克拉克斯顿</t>
  </si>
  <si>
    <t>霍埃尔</t>
  </si>
  <si>
    <t>等级55|驱逐核心9|油250|弹1000|钢300</t>
  </si>
  <si>
    <t>塞缪尔•罗伯茨</t>
  </si>
  <si>
    <t>等级50|驱逐核心8|油300|弹200|钢500</t>
  </si>
  <si>
    <t>三联533毫米鱼雷|改良型深弹投射器</t>
  </si>
  <si>
    <t>约翰斯顿</t>
  </si>
  <si>
    <t>等级60|驱逐核心9|油250|弹1000|钢300</t>
  </si>
  <si>
    <t>雷鸣</t>
  </si>
  <si>
    <t>S国单装130毫米炮|三联533毫米鱼雷</t>
  </si>
  <si>
    <t>U81</t>
  </si>
  <si>
    <t>等级60|潜艇核心8|弹1200|钢1200</t>
  </si>
  <si>
    <t>U96</t>
  </si>
  <si>
    <t>U156</t>
  </si>
  <si>
    <t>U1206</t>
  </si>
  <si>
    <t>533毫米磁性鱼雷(潜艇)|G国海军马桶</t>
  </si>
  <si>
    <t>刺尾鱼</t>
  </si>
  <si>
    <t>轰隆轰隆大作战E2奖励</t>
  </si>
  <si>
    <t>S-56</t>
  </si>
  <si>
    <t>乔治·埃夫洛夫</t>
  </si>
  <si>
    <t>Gr</t>
  </si>
  <si>
    <t>E国双联9.2英寸炮</t>
  </si>
  <si>
    <t>苏赫巴托尔</t>
  </si>
  <si>
    <t>Mo</t>
  </si>
  <si>
    <t>补给</t>
  </si>
  <si>
    <t>钓鱼:当苏赫巴托尔在队伍中时，30%概率钓到更好的鱼，幸运永久增加30。</t>
  </si>
  <si>
    <t>首次通过1-5后查收邮件获得</t>
  </si>
  <si>
    <t>马汉</t>
  </si>
  <si>
    <t>等级42|驱逐核心9|油300|弹1000|钢500</t>
  </si>
  <si>
    <t>U国单装5英寸炮|四联533毫米鱼雷</t>
  </si>
  <si>
    <t>圣路易斯</t>
  </si>
  <si>
    <t>U国三联6英寸炮|标准型对空雷达</t>
  </si>
  <si>
    <t>奥丁</t>
  </si>
  <si>
    <t>Lc</t>
  </si>
  <si>
    <t>[1, 1]</t>
  </si>
  <si>
    <t>冈格尼尔</t>
  </si>
  <si>
    <t>护渔:钓到更好的鱼的概率降低30%。</t>
  </si>
  <si>
    <t>女武神行动E6奖励战利品兑换</t>
  </si>
  <si>
    <t>圣女贞德</t>
  </si>
  <si>
    <t>F国双联155毫米炮</t>
  </si>
  <si>
    <t>英王乔治五世</t>
  </si>
  <si>
    <t>E国四联14英寸炮|E国双联5.25英寸炮</t>
  </si>
  <si>
    <t>圣剑之击:攻击装甲大于50点的目标时，有35%概率造成1.4倍伤害。</t>
  </si>
  <si>
    <t>巴夫勒尔</t>
  </si>
  <si>
    <t>等级40|驱逐核心9|油300|弹1000|钢500</t>
  </si>
  <si>
    <t>E国双联4.5英寸炮（MK.VI型）|四联533毫米鱼雷</t>
  </si>
  <si>
    <t>女灶神</t>
  </si>
  <si>
    <t>希望的曙光:增加自身回避30点，降低自身被攻击概率30%，战斗结束后，回复上一场战斗损失耐久最多的船只40%的在上一场的受损耐久。</t>
  </si>
  <si>
    <t>二周年活动E6奖励</t>
  </si>
  <si>
    <t>哥特兰</t>
  </si>
  <si>
    <t>航巡</t>
  </si>
  <si>
    <t>[0, 0, 8]</t>
  </si>
  <si>
    <t>三联533毫米鱼雷|标准型声纳|萨博S.17BS</t>
  </si>
  <si>
    <t>诺夫哥罗德</t>
  </si>
  <si>
    <t>球上倒立:并没有说明文字。</t>
  </si>
  <si>
    <t xml:space="preserve">完成2017年新年任务“黑海舞者”获得 </t>
  </si>
  <si>
    <t>库欣</t>
  </si>
  <si>
    <t>瓜达卡纳尔</t>
  </si>
  <si>
    <t>纽伦堡</t>
  </si>
  <si>
    <t>决战无畏之海E2奖励</t>
  </si>
  <si>
    <t>阿贾克斯</t>
  </si>
  <si>
    <t>哥特雄狮</t>
  </si>
  <si>
    <t>R国三联152毫米炮</t>
  </si>
  <si>
    <t>宵月</t>
  </si>
  <si>
    <t>杙</t>
  </si>
  <si>
    <t>明斯克</t>
  </si>
  <si>
    <t>等级60|驱逐核心15|油500|弹400|钢600|铝100</t>
  </si>
  <si>
    <t>S国单装130毫米炮</t>
  </si>
  <si>
    <t>M2</t>
  </si>
  <si>
    <t>毛奇</t>
  </si>
  <si>
    <t>G国双联280毫米主炮(旧)</t>
  </si>
  <si>
    <t>完成2017年的限时任务“再见！日德兰！”获得</t>
  </si>
  <si>
    <t>不挠</t>
  </si>
  <si>
    <t>[12, 24, 20, 10]</t>
  </si>
  <si>
    <t>海喷火|大青花鱼鱼雷机</t>
  </si>
  <si>
    <t>持久作战:提升自身所携带的鱼雷机的鱼雷值7点。自身血量降低时不会对自身属性造成影响，且同时减少30%自身因战斗造成的载机量损失（大破时除外）。</t>
  </si>
  <si>
    <t>最长一役E5奖励</t>
  </si>
  <si>
    <t>鹞鹰</t>
  </si>
  <si>
    <t>[16, 10, 10, 0]</t>
  </si>
  <si>
    <t>RE.2001|G.55S</t>
  </si>
  <si>
    <t>希尔曼</t>
  </si>
  <si>
    <t>大卫·塔菲3:增加自身回避、命中、幸运20点。</t>
  </si>
  <si>
    <t>铁底湾珍品保卫战E2奖励</t>
  </si>
  <si>
    <t>基辅</t>
  </si>
  <si>
    <t>等级65|驱逐核心15|油500|弹500|钢500|铝100</t>
  </si>
  <si>
    <t>533毫米2-н鱼雷|改良型动力系统</t>
  </si>
  <si>
    <t>最长一役打捞(功勋兑换)</t>
  </si>
  <si>
    <t>塔斯卡卢萨</t>
  </si>
  <si>
    <t>蓝色幽灵:增加自身所携带轰炸机15%的威力，受到航空攻击时有25%概率免疫该次伤害。</t>
  </si>
  <si>
    <t>诺福克</t>
  </si>
  <si>
    <t>E国双联8英寸炮|改良型对海雷达</t>
  </si>
  <si>
    <t>斯特雷特</t>
  </si>
  <si>
    <t>四联533毫米鱼雷|改良型动力系统</t>
  </si>
  <si>
    <t>妙高</t>
  </si>
  <si>
    <t>鬣</t>
  </si>
  <si>
    <t>奥古斯塔</t>
  </si>
  <si>
    <t>卫士</t>
  </si>
  <si>
    <t>MK.N6双联4.5英寸炮|五联533毫米鱼雷</t>
  </si>
  <si>
    <t>无比</t>
  </si>
  <si>
    <t>E国双联20英寸主炮</t>
  </si>
  <si>
    <t>完美战巡:自身被暴击率+15%，攻击战列，战巡、航战时，造成120%的伤害，攻击航速低于自己的目标时，暴击率+15%。</t>
  </si>
  <si>
    <t>神鹰</t>
  </si>
  <si>
    <t>鹰</t>
  </si>
  <si>
    <t>[17, 10, 6]</t>
  </si>
  <si>
    <t>九七式舰攻|零战五二型</t>
  </si>
  <si>
    <t>德格拉斯</t>
  </si>
  <si>
    <t>F国M1948双联127毫米炮|博福斯M1951双联57毫米高炮</t>
  </si>
  <si>
    <t>不惧</t>
  </si>
  <si>
    <t>S国СМ-2-1双联130毫米炮|S国СМ-20-ЗИФ四联45毫米高炮</t>
  </si>
  <si>
    <t>伏尔塔</t>
  </si>
  <si>
    <t>等级45|驱逐核心10|油500|弹500|钢500|铝300</t>
  </si>
  <si>
    <t>F国M1934双联138毫米炮</t>
  </si>
  <si>
    <t>竹</t>
  </si>
  <si>
    <t>竺</t>
  </si>
  <si>
    <t>J国12.7厘米连装高射炮|61厘米四连装鱼雷</t>
  </si>
  <si>
    <t>伟大的庞贝</t>
  </si>
  <si>
    <t>I国双联135毫米主炮</t>
  </si>
  <si>
    <t>天鹰</t>
  </si>
  <si>
    <t>[34, 16, 16, 0]</t>
  </si>
  <si>
    <t>地中海护卫:炮击战时增加自身暴击率12%，降低对方所有航母及轻母炮击战时的命中值12点。</t>
  </si>
  <si>
    <t>立体强袭——雪崩计划强袭点数500点奖励</t>
  </si>
  <si>
    <t>帝国</t>
  </si>
  <si>
    <t>等级75|航母核心18|油500|弹500|钢1800|铝2000</t>
  </si>
  <si>
    <t>[33, 22, 20, 0]</t>
  </si>
  <si>
    <t>航空曙光:增加开幕和炮击战阶段伤害20%。</t>
  </si>
  <si>
    <t>波尔扎诺</t>
  </si>
  <si>
    <t>I国双联203毫米主炮</t>
  </si>
  <si>
    <t>龙骑兵</t>
  </si>
  <si>
    <t>Pi</t>
  </si>
  <si>
    <t>E国单装6英寸炮</t>
  </si>
  <si>
    <t>江原</t>
  </si>
  <si>
    <t>等级55|驱逐核心15|油500|弹500|钢1000|铝300</t>
  </si>
  <si>
    <t>蔚山</t>
  </si>
  <si>
    <t>其他</t>
  </si>
  <si>
    <t>导驱</t>
  </si>
  <si>
    <t>MK.141导弹发射架|RGM-84鱼叉反舰导弹</t>
  </si>
  <si>
    <t>2020.08.21建造养成投放</t>
  </si>
  <si>
    <t>忠武</t>
  </si>
  <si>
    <t>等级50|驱逐核心15|油500|弹500|钢500|铝200</t>
  </si>
  <si>
    <t>五联533毫米鱼雷（MK17）</t>
  </si>
  <si>
    <t>威斯康星</t>
  </si>
  <si>
    <t>高速特遣队:炮击战阶段,降低敌方高速舰（速度≥27）命中率6%。威斯康星为旗舰时，本方战列、战巡、航战、重巡首轮炮击命中率增加9%，次轮炮击暴击率增加9%。</t>
  </si>
  <si>
    <t>所罗门之晓E5奖励</t>
  </si>
  <si>
    <t>谢菲尔德</t>
  </si>
  <si>
    <t>蒙彼利埃</t>
  </si>
  <si>
    <t>所罗门之晓E3奖励</t>
  </si>
  <si>
    <t>丹佛</t>
  </si>
  <si>
    <t>初月</t>
  </si>
  <si>
    <t>杺</t>
  </si>
  <si>
    <t>菲尔普斯</t>
  </si>
  <si>
    <t>所罗门之晓E5所罗门之晓期间可用功勋兑换</t>
  </si>
  <si>
    <t>U-1405</t>
  </si>
  <si>
    <t>等级70|潜艇核心10|油500|弹1200|钢1000|铝0</t>
  </si>
  <si>
    <t>莫斯科</t>
  </si>
  <si>
    <t>S国三联СМ-40型220毫米炮|S国СМ-20-ЗИФ四联45毫米高炮</t>
  </si>
  <si>
    <t>巡洋舰压制:提升自身在内全队轻巡和重巡的回避7点，提升全队所有轻巡的火力7点。梯形阵时增加莫斯科自身暴击和被暴击各10点</t>
  </si>
  <si>
    <t>斯维尔德洛夫</t>
  </si>
  <si>
    <t>S国三联Б-38型152毫米炮|S国СМ-5-1双联100毫米高炮</t>
  </si>
  <si>
    <t>阿尔贝托·迪·朱桑诺</t>
  </si>
  <si>
    <t>改良型动力系统</t>
  </si>
  <si>
    <t>立体强袭——圣盾作战强袭点数400点奖励</t>
  </si>
  <si>
    <t>联合力量</t>
  </si>
  <si>
    <t>Ar</t>
  </si>
  <si>
    <t>Ar国三联30.5厘米炮</t>
  </si>
  <si>
    <t>立体强袭——圣盾作战强袭点数800点奖励</t>
  </si>
  <si>
    <t>爱丽</t>
  </si>
  <si>
    <t>羽黑</t>
  </si>
  <si>
    <t>犾</t>
  </si>
  <si>
    <t>第五战队:队伍中每有一个中型船都会增加自身5点闪避值。我方所有J系船均增加7点火力值与9%暴击率</t>
  </si>
  <si>
    <t>幻想舰队歼灭作战重制E4奖励</t>
  </si>
  <si>
    <t>天津风</t>
  </si>
  <si>
    <t>芷</t>
  </si>
  <si>
    <t>吕-34</t>
  </si>
  <si>
    <t>53厘米氧气鱼雷(潜艇)</t>
  </si>
  <si>
    <t>虎</t>
  </si>
  <si>
    <t>E国双联MK.N5型6英寸高平速射炮</t>
  </si>
  <si>
    <t>K1</t>
  </si>
  <si>
    <t>星座</t>
  </si>
  <si>
    <t>等级80|战列核心18|油1200|弹1800|钢2100|铝100</t>
  </si>
  <si>
    <t>特遣先锋:提升己方全队索敌3点，增加己方大型船闪避值9点，自身优先攻击敌方大型船</t>
  </si>
  <si>
    <t>炽热</t>
  </si>
  <si>
    <t>“狗鱼”反舰导弹|СМ-59-1发射架</t>
  </si>
  <si>
    <t>加纳里亚斯</t>
  </si>
  <si>
    <t>Hp</t>
  </si>
  <si>
    <t>门德斯·努涅斯</t>
  </si>
  <si>
    <t>鹦鹉螺</t>
  </si>
  <si>
    <t>秘密潜行:提升自身和自身相邻上方一艘船9点闪避值和9点装甲值。提升自身火力*0.5%的暴击率</t>
  </si>
  <si>
    <t>中间岛战役复刻E5奖励</t>
  </si>
  <si>
    <t>乌尔里希·冯·胡滕</t>
  </si>
  <si>
    <t>G国SKC/40型42厘米三联主炮</t>
  </si>
  <si>
    <t>德式设计:提升自身装甲值10点，航空战时增加15%被暴击率，炮击战时免疫受到的第一次炮击攻击，攻击护甲高于自身的敌人时，提升自身15%暴击伤害。</t>
  </si>
  <si>
    <t>远洋破袭作战——钢铁启示录E6奖励</t>
  </si>
  <si>
    <t>塞德利茨</t>
  </si>
  <si>
    <t>远洋破袭作战——钢铁启示录E5奖励</t>
  </si>
  <si>
    <t>克莱夫勋爵</t>
  </si>
  <si>
    <t>光辉</t>
  </si>
  <si>
    <t>[10, 27, 12, 8]</t>
  </si>
  <si>
    <t>先驱首战:提升相邻上下航母，装母，轻母15点命中值和20%炮击战威力。</t>
  </si>
  <si>
    <t>海王星</t>
  </si>
  <si>
    <t>MK.N6双联4.5英寸炮|E国三联6英寸高平两用炮</t>
  </si>
  <si>
    <t>早春</t>
  </si>
  <si>
    <t>燕</t>
  </si>
  <si>
    <t>等级50|驱逐核心8|油200|弹300|钢300|铝100</t>
  </si>
  <si>
    <t>J国10厘米连装炮|J国六联61厘米鱼雷</t>
  </si>
  <si>
    <t>达·芬奇</t>
  </si>
  <si>
    <t>汉考克</t>
  </si>
  <si>
    <t>[18, 18, 38, 18]</t>
  </si>
  <si>
    <t>U国博福斯40毫米防空炮(四联)|TBF复仇者|F6F地狱猫</t>
  </si>
  <si>
    <t>多用途航母:增加自身装备的轰炸机的轰炸值4点。队伍中航母装母总数量小于3时，提升自身火力值10点；队伍中航母装母总数量大于等于3时，提升自身装甲值9点与命中值9点。</t>
  </si>
  <si>
    <t>立体强袭——决战九段坂强袭点数900点奖励</t>
  </si>
  <si>
    <t>圣哈辛托</t>
  </si>
  <si>
    <t>[10, 17, 10, 0]</t>
  </si>
  <si>
    <t>TBF（乔治·布什）|F6F地狱猫</t>
  </si>
  <si>
    <t>立体强袭——决战九段坂强袭点数200点奖励</t>
  </si>
  <si>
    <t>埃德加·居内</t>
  </si>
  <si>
    <t>木曾</t>
  </si>
  <si>
    <t>狪</t>
  </si>
  <si>
    <t>雷巡</t>
  </si>
  <si>
    <t>61厘米四连装鱼雷|61厘米四连装鱼雷</t>
  </si>
  <si>
    <t>重雷装舰突袭:解锁开幕雷击，对单个目标造成伤害，威力为鱼雷战的110%。</t>
  </si>
  <si>
    <t>立体强袭——决战九段坂强袭点数600点奖励</t>
  </si>
  <si>
    <t>斯普利特</t>
  </si>
  <si>
    <t>Ys</t>
  </si>
  <si>
    <t>U国单装5英寸炮|U国博福斯40毫米防空炮(四联)</t>
  </si>
  <si>
    <t>哥伦比亚</t>
  </si>
  <si>
    <t>U国三联6英寸炮|U国博福斯40毫米防空炮(四联)</t>
  </si>
  <si>
    <t>极地奏鸣曲打捞</t>
  </si>
  <si>
    <t>圣乔治</t>
  </si>
  <si>
    <t>等级70|战列核心18|油1000|弹2000|钢2000|铝100</t>
  </si>
  <si>
    <t>E国三联18英寸主炮（N）</t>
  </si>
  <si>
    <t>大舰队:单纵阵和梯形阵时增加自身火力值12点，降低自身闪避值3点。T优势提升20%自身炮击战伤害，同航战时提升10%自身炮击战伤害，反航时自身火力不受影响。</t>
  </si>
  <si>
    <t>印第安纳</t>
  </si>
  <si>
    <t>战列舰支队:队伍中每有一艘战列舰给印第安纳自身增加火力值3点，命中值4点，如果队伍中战列舰平均航速大于等于27,增加火力值为4点。</t>
  </si>
  <si>
    <t>地狱群岛攻略作战重制E4奖励</t>
  </si>
  <si>
    <t>坎伯兰</t>
  </si>
  <si>
    <t>奥斯塔公爵</t>
  </si>
  <si>
    <t>法迪布鲁诺</t>
  </si>
  <si>
    <t>I国双联381毫米炮（BM）</t>
  </si>
  <si>
    <t>S113</t>
  </si>
  <si>
    <t>2020.03.06建造养成解锁</t>
  </si>
  <si>
    <t>莉安夕</t>
  </si>
  <si>
    <t>240战利品兑换(限兑换1次)</t>
  </si>
  <si>
    <t>海圻</t>
  </si>
  <si>
    <t>阿姆斯特朗八英寸炮</t>
  </si>
  <si>
    <t>远洋破袭——跨越静海E4奖励；2020.03.06建造养成解锁</t>
  </si>
  <si>
    <t>纽波特纽斯</t>
  </si>
  <si>
    <t>超额:炮击战阶段有35%概率造成敌方总血量20%的额外伤害。该技能触发一次之后，纽波特纽斯火力降低10%（火力降低不会继承到夜战）。</t>
  </si>
  <si>
    <t>熔炉大混战E7奖励；2020.06.12建造养成解锁</t>
  </si>
  <si>
    <t>留里克</t>
  </si>
  <si>
    <t>维克斯双联10英寸主炮</t>
  </si>
  <si>
    <t>库图佐夫</t>
  </si>
  <si>
    <t>查尔斯·亚当斯</t>
  </si>
  <si>
    <t>防驱</t>
  </si>
  <si>
    <t>MK-10导弹发射器|鞑靼人防空导弹</t>
  </si>
  <si>
    <t>天雾</t>
  </si>
  <si>
    <t>雾</t>
  </si>
  <si>
    <t>2020.06.12建造养成解锁</t>
  </si>
  <si>
    <t>查尔斯·奥斯本</t>
  </si>
  <si>
    <t>熔炉大混战E4奖励；2020.06.12建造养成解锁</t>
  </si>
  <si>
    <t>泰勒</t>
  </si>
  <si>
    <t>闪电</t>
  </si>
  <si>
    <t>三联533毫米鱼雷</t>
  </si>
  <si>
    <t>新墨西哥</t>
  </si>
  <si>
    <t>U国三联14英寸炮|U国四联1.1英寸防空炮</t>
  </si>
  <si>
    <t>斯大林格勒</t>
  </si>
  <si>
    <t>超长</t>
  </si>
  <si>
    <t>S国三联СМ-31型305毫米主炮|S国СМ-20-ЗИФ四联45毫米高炮</t>
  </si>
  <si>
    <t>巡洋舰领袖:增加自身火力值10点，降低自身命中值5点。炮击战阶段该舰命中的目标是非满血状态，则增加20%额外伤害，次轮炮击战阶段自身被命中时，减少20%受到的伤害。</t>
  </si>
  <si>
    <t>立体强袭——沸腾的大洋强袭点数700点奖励;2020.08.21建造养成解锁</t>
  </si>
  <si>
    <t>德里</t>
  </si>
  <si>
    <t>立体强袭——沸腾的大洋强袭点数200点奖励;2020.08.21建造养成解锁</t>
  </si>
  <si>
    <t>阿布鲁奇公爵</t>
  </si>
  <si>
    <t>七省联盟</t>
  </si>
  <si>
    <t>博福斯M1951双联57毫米高炮</t>
  </si>
  <si>
    <t>胆大</t>
  </si>
  <si>
    <t>“白蚁”M反舰导弹|КТ-15М-БРК发射器</t>
  </si>
  <si>
    <t>立体强袭——沸腾的大洋强袭点数450点奖励;2020.08.21建造养成解锁</t>
  </si>
  <si>
    <t>U-35</t>
  </si>
  <si>
    <t>格拉摩根</t>
  </si>
  <si>
    <t>海参防空导弹|海参导弹发射系统</t>
  </si>
  <si>
    <t>改进型海参:并没有说明文字。</t>
  </si>
  <si>
    <t>帕斯塔战役复刻E4奖励;2020.08.21建造养成解锁</t>
  </si>
  <si>
    <t>怨仇</t>
  </si>
  <si>
    <t>[18, 30, 21, 12]</t>
  </si>
  <si>
    <t>萤火虫|TBF复仇者|海喷火</t>
  </si>
  <si>
    <t>钨作战:降低敌方全体主力舰15闪避值。航空战阶段降低被命中目标15%命中率。</t>
  </si>
  <si>
    <t>乔治莱格</t>
  </si>
  <si>
    <t>哈曼</t>
  </si>
  <si>
    <t>中间岛战役复刻打捞(功勋兑换)</t>
  </si>
  <si>
    <t>吕特晏斯</t>
  </si>
  <si>
    <t>标准-1|MK13导弹发射系统</t>
  </si>
  <si>
    <t>鲃鱼</t>
  </si>
  <si>
    <t>新泽西</t>
  </si>
  <si>
    <t>重火力炮击:T优时增加自身25%暴击率，同航战时增加自身15%暴击率。炮击战阶段命中旗舰时造成额外30%伤害。</t>
  </si>
  <si>
    <t>战争协奏曲积分点数1000点奖励;2020.11.20建造养成解锁</t>
  </si>
  <si>
    <t>萨勒姆</t>
  </si>
  <si>
    <t>精锐装备:提升自身携带装备所增加的命中值*1.5的火力值。炮击战阶段有25%概率同时攻击两个目标，第二个目标造成80%的伤害</t>
  </si>
  <si>
    <t>战争协奏曲积分点数700点奖励;2020.11.20建造养成解锁</t>
  </si>
  <si>
    <t>黛朵</t>
  </si>
  <si>
    <t>E国双联5.25英寸炮</t>
  </si>
  <si>
    <t>战争协奏曲打捞(功勋兑换);2021.03.12建造养成解锁</t>
  </si>
  <si>
    <t>堪培拉</t>
  </si>
  <si>
    <t>加里波第</t>
  </si>
  <si>
    <t>等级60|巡洋核心20|油1500|弹1000|钢1000|铝500</t>
  </si>
  <si>
    <t>凯利</t>
  </si>
  <si>
    <t>改良型声纳|507B迷彩（蒙巴顿粉）</t>
  </si>
  <si>
    <t>英格兰</t>
  </si>
  <si>
    <t>刺猬弹深弹投射器|改良型声纳</t>
  </si>
  <si>
    <t>47工程</t>
  </si>
  <si>
    <t>改良型动力系统|533毫米2-н鱼雷</t>
  </si>
  <si>
    <t>可怖</t>
  </si>
  <si>
    <t>战争协奏曲积分点数400点奖励;2020.11.20建造养成解锁</t>
  </si>
  <si>
    <t>阿金库尔</t>
  </si>
  <si>
    <t>一星期主炮群</t>
  </si>
  <si>
    <t>战列线:增加队伍中战列、战巡10点火力值，战列、战巡每场战斗的获得经验增加10%。单纵阵时增加己方全体12点火力值与10点命中值，梯形阵时增加己方全体15%暴击率与7%被暴击率。</t>
  </si>
  <si>
    <t>桑提</t>
  </si>
  <si>
    <t>[15, 10, 6]</t>
  </si>
  <si>
    <t>SBD-3无畏|TBF复仇者|F6F地狱猫</t>
  </si>
  <si>
    <t>亚尔古水手</t>
  </si>
  <si>
    <t>征战四海:全阶段损失自身总生命值的30%血量后本场战斗获得一次100%的减伤（每次出击限发动一次）。炮击战阶段我方每命中敌方单位一次，都会提升亚尔古水手5点火力值。</t>
  </si>
  <si>
    <t>女武神行动复刻E4奖励;2021.03.12建造养成解锁</t>
  </si>
  <si>
    <t>萨凡纳</t>
  </si>
  <si>
    <t>凤凰城</t>
  </si>
  <si>
    <t>U国四联1.1英寸防空炮|U国三联6英寸炮</t>
  </si>
  <si>
    <t>涅槃:战斗中受到大于当前血量50%的伤害时，减少99%所受到的伤害。（每场战斗触发一次）</t>
  </si>
  <si>
    <t>燕八哥</t>
  </si>
  <si>
    <t>刺猬弹深弹投射器|改良型深弹投射器</t>
  </si>
  <si>
    <t>女武神行动复刻打捞(功勋兑换);2021.03.12建造养成解锁</t>
  </si>
  <si>
    <t>蒂默曼</t>
  </si>
  <si>
    <t>史密斯</t>
  </si>
  <si>
    <t>彼得·施特拉塞尔</t>
  </si>
  <si>
    <t>[12, 21, 17, 12]</t>
  </si>
  <si>
    <t>BF109T|Ju-87C斯图卡</t>
  </si>
  <si>
    <t>超重型航弹:增加自身20%暴击率。彼得·施特拉塞尔命中过的目标会降低10点闪避值与10点装甲值，如果是航母装母轻母单位还会再额外降低10点命中值（限炮击战阶段）。</t>
  </si>
  <si>
    <t>极地奏鸣曲800分奖励</t>
  </si>
  <si>
    <t>塞班</t>
  </si>
  <si>
    <t>[15, 25, 10]</t>
  </si>
  <si>
    <t>F4U海盗</t>
  </si>
  <si>
    <t>极地奏鸣曲400分奖励</t>
  </si>
  <si>
    <t>尼古拉斯</t>
  </si>
  <si>
    <t>马伊·布雷泽</t>
  </si>
  <si>
    <t>F国M1948双联127毫米炮</t>
  </si>
  <si>
    <t>捷尔任斯基</t>
  </si>
  <si>
    <t>S国СМ-5-1双联100毫米高炮|S国三联Б-38型152毫米炮</t>
  </si>
  <si>
    <t>2020.03.06建造养成投放</t>
  </si>
  <si>
    <t>什罗普郡</t>
  </si>
  <si>
    <t>E国八联40毫米砰砰炮|E国双联8英寸炮</t>
  </si>
  <si>
    <t>波士顿</t>
  </si>
  <si>
    <t>U国三联8英寸炮(MK12/15)</t>
  </si>
  <si>
    <t>提康德罗加</t>
  </si>
  <si>
    <t>[18, 20, 34, 18]</t>
  </si>
  <si>
    <t>TBF复仇者|F6F地狱猫</t>
  </si>
  <si>
    <t>制空权:自身受到航母单位攻击时降低20%的伤害（限开幕与炮击战阶段）。自身和其上方最近的一艘航母，装母，轻母单位在制空权均势，优势，确保时舰载机伤害增加10%。</t>
  </si>
  <si>
    <t>亨廷顿</t>
  </si>
  <si>
    <t>U国博福斯40毫米防空炮(四联)|U国三联6英寸炮</t>
  </si>
  <si>
    <t>2020.03.17投放常规图打捞</t>
  </si>
  <si>
    <t>B65</t>
  </si>
  <si>
    <t>零式水上侦察机|改良型动力系统</t>
  </si>
  <si>
    <t>夜战核心:（旗舰技）炮击战阶段提升全队中、小型船10点回避值；夜战阶段提升中型船13点火力值和小型船10点鱼雷值。</t>
  </si>
  <si>
    <t>轰隆隆大作战复刻E5奖励</t>
  </si>
  <si>
    <t>十三号战舰</t>
  </si>
  <si>
    <t>五年式四十六厘主炮</t>
  </si>
  <si>
    <t>大舰巨炮:队伍内每有一个航速大于等于27的单位时都会增加自身3点火力值。增加队伍内全体战列7点火力值、战巡（不含自身）7%暴击率，当其作为旗舰时，对J国舰船效果双倍。</t>
  </si>
  <si>
    <t>扑火之蛾E5奖励</t>
  </si>
  <si>
    <t>鞍马</t>
  </si>
  <si>
    <t>犽</t>
  </si>
  <si>
    <t>扑火之蛾E3奖励</t>
  </si>
  <si>
    <t>梅肯</t>
  </si>
  <si>
    <t>天狮星:射程变为长，炮击战阶段伤害增加25%，如果命中的是中、小型船，伤害增加25%。</t>
  </si>
  <si>
    <t>模拟演习作战第一期奖励</t>
  </si>
  <si>
    <t>冬月</t>
  </si>
  <si>
    <t>枮</t>
  </si>
  <si>
    <t>扑火之蛾活动打捞</t>
  </si>
  <si>
    <t>阿尔维塞·达·摩斯托</t>
  </si>
  <si>
    <t>托戈</t>
  </si>
  <si>
    <t>柴油机|夜间战斗机联队</t>
  </si>
  <si>
    <t>里昂</t>
  </si>
  <si>
    <t>四联340毫米主炮</t>
  </si>
  <si>
    <t>侧舷火力:增加自身15点火力值，降低自身3点命中值。T优时，炮击战阶段必暴击；T劣时，增加自身35点火力值，降低自身4点命中值。</t>
  </si>
  <si>
    <t>2020.06.12建造养成投放</t>
  </si>
  <si>
    <t>阿贺野</t>
  </si>
  <si>
    <t>泂</t>
  </si>
  <si>
    <t>61厘米四连装鱼雷|J国15.2厘米连装炮</t>
  </si>
  <si>
    <t>红色高加索</t>
  </si>
  <si>
    <t>Б-1-К单装180毫米炮</t>
  </si>
  <si>
    <t>哈尔福德</t>
  </si>
  <si>
    <t>OS2U翠鸟侦察机（DD）</t>
  </si>
  <si>
    <t>标准型动力系统</t>
  </si>
  <si>
    <t>突击:提升全队战列、战巡15点火力值；降低全队战列、战巡5点装甲值。</t>
  </si>
  <si>
    <t>决战无畏之海复刻E4奖励</t>
  </si>
  <si>
    <t>迪凯纳</t>
  </si>
  <si>
    <t>弗兰德尔</t>
  </si>
  <si>
    <t>F国四联380毫米炮|F国四联380毫米炮</t>
  </si>
  <si>
    <t>主炮群覆盖:单纵时增加自身10%暴击率。同航战时增加自身9点火力值；T优时增加20%暴击伤害。</t>
  </si>
  <si>
    <t>莫加多尔</t>
  </si>
  <si>
    <t>立体强袭-盛开之崖200pt奖励</t>
  </si>
  <si>
    <t>L20</t>
  </si>
  <si>
    <t>附加装甲(大型)</t>
  </si>
  <si>
    <t>公海舰队:增加全队9点命中值、9点装甲值。首轮炮击战阶段被L20命中的单位会降低15点装甲值，并且该单位昼战阶段不再行动（对旗舰无效）</t>
  </si>
  <si>
    <t>立体强袭-盛开之崖900pt奖励</t>
  </si>
  <si>
    <t>伊吹</t>
  </si>
  <si>
    <t>犿</t>
  </si>
  <si>
    <t>主力甲巡:队伍内每有一艘高速舰都会增加自身的4点火力值，上限五艘；如果高速舰为小型船或中型船时，每艘额外增加15%暴击率。</t>
  </si>
  <si>
    <t>急速东方快车复刻E4凤作战奖励</t>
  </si>
  <si>
    <t>萨里</t>
  </si>
  <si>
    <t>野分</t>
  </si>
  <si>
    <t>桫</t>
  </si>
  <si>
    <t>61厘米四连装鱼雷</t>
  </si>
  <si>
    <t>征服者</t>
  </si>
  <si>
    <t>E国MK.III型三联16英寸炮|E国博福斯40毫米防空机炮(六联)</t>
  </si>
  <si>
    <t>新锐战舰:提高全队9点命中值、降低自身3点回避值；单纵时提高自身12点火力值、10点命中值；梯形时提高全队9%暴击率；复纵时提高全队9点回避值。</t>
  </si>
  <si>
    <t>首充获取</t>
  </si>
  <si>
    <t>[20, 30, 21, 12]</t>
  </si>
  <si>
    <t>新时代:提升自身12点火力值。炮击战阶段，自身可以参与次轮炮击战，火力为首轮炮击120%。</t>
  </si>
  <si>
    <t>舰队决战--浩瀚的战场300战备券限时兑换</t>
  </si>
  <si>
    <t>彼得罗巴甫洛夫斯克</t>
  </si>
  <si>
    <t>等级60|巡洋核心15|油1500|弹500|钢1000|铝200</t>
  </si>
  <si>
    <t>潮</t>
  </si>
  <si>
    <t>柑</t>
  </si>
  <si>
    <t>61厘米三连装鱼雷</t>
  </si>
  <si>
    <t>U-14</t>
  </si>
  <si>
    <t>王牌:增加自身9点闪避值。闪避值的20%同时视为鱼雷值。</t>
  </si>
  <si>
    <t>万圣夜试胆大会E4奖励</t>
  </si>
  <si>
    <t>底特律</t>
  </si>
  <si>
    <t>舰队决战--碰撞的洪流限时兑换</t>
  </si>
  <si>
    <t>宾夕法尼亚</t>
  </si>
  <si>
    <t>主炮支援:队伍内每有一个大型船单位都会提升宾夕法尼亚的炮击战4%的伤害。宾夕法尼亚击中非满血敌方单位时造成额外15%的伤害。</t>
  </si>
  <si>
    <t>模拟演习作战第二期15层奖励</t>
  </si>
  <si>
    <t>无敌</t>
  </si>
  <si>
    <t>冲锋:单纵阵时增加自身12%的暴击率和15点装甲值。梯形阵时首轮炮击提高自身20%被攻击概率，且自身攻击命中后必暴击，暴击伤害提高50%。复纵阵时炮击战阶段提升自身15点装甲值和9点闪避值。</t>
  </si>
  <si>
    <t>2020.11.20建造养成投放</t>
  </si>
  <si>
    <t>多摩</t>
  </si>
  <si>
    <t>狑</t>
  </si>
  <si>
    <t>柴油机</t>
  </si>
  <si>
    <t>三联16英寸主炮（MK2）</t>
  </si>
  <si>
    <t>主炮火力:T优和同航战时，炮击战阶段对大型船造成30%额外伤害。T劣时增加自身60%暴击率和45%暴击伤害。</t>
  </si>
  <si>
    <t>爪哇</t>
  </si>
  <si>
    <t>鞍山</t>
  </si>
  <si>
    <t>上游-1发射器|上游-1导弹</t>
  </si>
  <si>
    <t>力争上游:增强自身所装备导弹装备的8点火力值与5点突防值。自己和队伍内导驱开幕导弹阶段增加16%伤害。</t>
  </si>
  <si>
    <t>深渊破灭--风暴之眼奖励</t>
  </si>
  <si>
    <t>猎户座</t>
  </si>
  <si>
    <t>纵列火力:自身携带主炮类装备的增加3点火力值；单纵阵和梯形阵时降低自身5点闪避值，增加自身15点火力值与20点装甲值，同时，队伍内其他战列舰增加10点火力值与10点装甲值（对低速舰船提升数值翻倍）。</t>
  </si>
  <si>
    <t>2021.03.12建造养成投放</t>
  </si>
  <si>
    <t>本宁顿</t>
  </si>
  <si>
    <t>[19, 20, 34, 18]</t>
  </si>
  <si>
    <t>F6F地狱猫|F6F地狱猫|TBF复仇者|SB2C地狱俯冲者</t>
  </si>
  <si>
    <t>特混空袭:航空战阶段，自身增加20%伤害，队伍内其他航母类(航母、装母、轻母)单位增加14%伤害；炮击战阶段，队伍内非航母类单位增加18%伤害。</t>
  </si>
  <si>
    <t>甘比尔湾</t>
  </si>
  <si>
    <t>FM-2|TBF复仇者</t>
  </si>
  <si>
    <t>霞飞</t>
  </si>
  <si>
    <t>[9, 16, 15, 8]</t>
  </si>
  <si>
    <t>BR.810|D.790|LN.401</t>
  </si>
  <si>
    <t>阿非利加征服者西庇阿</t>
  </si>
  <si>
    <t>胡德(改)</t>
  </si>
  <si>
    <t>常规改造</t>
  </si>
  <si>
    <t>E国双联15英寸炮(改)|附加装甲(大型)|E国三联15英寸炮(试作型)|“生姜&amp;鱼饼”</t>
  </si>
  <si>
    <t>皇家海军的荣耀:当胡德作为旗舰时，为队伍中所有舰船附加10%的被暴击率，为队伍中的E国舰船附加20%的暴击率，为其他国家的舰船附加10%的暴击率。</t>
  </si>
  <si>
    <t>皇家巡游:当胡德作为旗舰时，提升全队航速4点。</t>
  </si>
  <si>
    <t>扶桑(改)</t>
  </si>
  <si>
    <t>魟(改)</t>
  </si>
  <si>
    <t>[0, 0, 12, 18]</t>
  </si>
  <si>
    <t>J国试制35.6厘米三联主炮</t>
  </si>
  <si>
    <t>柱岛舰队:提升自身所装备的大口径主炮类装备的火力5点，单纵或者梯形阵时增加自身火力5点和命中15点。</t>
  </si>
  <si>
    <t>山城(改)</t>
  </si>
  <si>
    <t>鲼(改)</t>
  </si>
  <si>
    <t>J国试制41厘米三连主炮</t>
  </si>
  <si>
    <t>伊势(改)</t>
  </si>
  <si>
    <t>鳌(改)</t>
  </si>
  <si>
    <t>[0, 0, 12, 12]</t>
  </si>
  <si>
    <t>J国35.6厘米连装炮|对空喷进炮|瑞云</t>
  </si>
  <si>
    <t>机群驱散B:降低航空战时对方轰炸机20%的命中率。</t>
  </si>
  <si>
    <t>日向(改)</t>
  </si>
  <si>
    <t>螯(改)</t>
  </si>
  <si>
    <t>机群驱散T:降低航空战时对方鱼雷机20%的命中率。</t>
  </si>
  <si>
    <t>俾斯麦(改)</t>
  </si>
  <si>
    <t>G国双联406毫米炮|G国双联37毫米防空炮|雷达告警装置|“奥斯卡”</t>
  </si>
  <si>
    <t>旗舰杀手:当俾斯麦作为旗舰时，40%概率发动，攻击对方舰队旗舰并+20%穿甲，增加30点固定伤害且必定命中。</t>
  </si>
  <si>
    <t>永不沉没的战舰:当前耐久在50%或以上时，受到的所有伤害减少8点。</t>
  </si>
  <si>
    <t>提尔比茨(改)</t>
  </si>
  <si>
    <t>G国双联406毫米炮|四联533毫米磁性鱼雷|G国双联37毫米防空炮|联络电台</t>
  </si>
  <si>
    <t>北方的孤独女王:当提尔比茨作为旗舰时，降低敌方命中和回避8点，当在出征地图第六章“北海风暴”时，不在旗舰位置也能发动此效果。</t>
  </si>
  <si>
    <t>纳尔逊(改)</t>
  </si>
  <si>
    <t>E国三联16英寸炮(改)|标准型火控雷达</t>
  </si>
  <si>
    <t>BIG SEVEN:炮击战时20%概率发动，对2个目标造成116%的伤害。</t>
  </si>
  <si>
    <t>罗德尼(改)</t>
  </si>
  <si>
    <t>E国三联16英寸炮(改)|海象式</t>
  </si>
  <si>
    <t>复仇:攻击时基础火力上升7%，同时降低攻击过的目标15点火力。</t>
  </si>
  <si>
    <t>威尔士亲王(改)</t>
  </si>
  <si>
    <t>E国四联14英寸炮|E国八联40毫米砰砰炮|标准型火控雷达</t>
  </si>
  <si>
    <t>大西洋宪章:队伍中所有U国和E国舰船命中提升7，如果威尔士亲王处于旗舰位置，则自身获得2倍buff效果。</t>
  </si>
  <si>
    <t>关键一击:炮击战攻击时基础火力上升4%，并降低被攻击目标10点回避和10点装甲。</t>
  </si>
  <si>
    <t>内华达(改)</t>
  </si>
  <si>
    <t>U国三联14英寸炮|U国双联5英寸平高两用炮|U国博福斯40毫米防空炮(四联)|U国厄利孔20毫米炮(双联)</t>
  </si>
  <si>
    <t>重点防御:所有阶段受到攻击时，50%概率发动，减免50%伤害，并且此次攻击不会被暴击。</t>
  </si>
  <si>
    <t>俄克拉荷马(改)</t>
  </si>
  <si>
    <t>安德烈亚·多利亚(改)</t>
  </si>
  <si>
    <t>I国三联320毫米炮|普列塞水下防护系统</t>
  </si>
  <si>
    <t>幸运之星:自身幸运值提升15，攻击时最大增加80%幸运值的火力，被攻击时最大增加80%幸运值的回避。</t>
  </si>
  <si>
    <t>金刚(改)</t>
  </si>
  <si>
    <t>姈(改)</t>
  </si>
  <si>
    <t>91式穿甲弹|三式弹</t>
  </si>
  <si>
    <t>高速战舰:编队内J国重巡，战列，战巡，航战，航巡的火力+8，命中+8。</t>
  </si>
  <si>
    <t>声望(改)</t>
  </si>
  <si>
    <t>E国双联15英寸炮(改)|E国4.5英寸连装高炮</t>
  </si>
  <si>
    <t>最后的荣耀:根据战斗点距离出发点的位置提升自身战斗力，离初始点越远战斗力越高，每阶段火力，装甲，对空，命中，回避，暴击提升3点。</t>
  </si>
  <si>
    <t>29节的纳尔逊:第一轮炮击优先攻击大型船只，且命中率增加10%，最终伤害增加20%。</t>
  </si>
  <si>
    <t>反击(改)</t>
  </si>
  <si>
    <t>E国双联15英寸炮(改)|E国八联40毫米砰砰炮</t>
  </si>
  <si>
    <t>马来日暮:根据战斗点距离终结点的位置提升自身战斗力，离终结点越远战斗力越高，每阶段火力，装甲，对空，命中，回避，暴击提升3点。</t>
  </si>
  <si>
    <t>阿拉斯加(改)</t>
  </si>
  <si>
    <t>大巡</t>
  </si>
  <si>
    <t>黄铜骑士防空导弹|MK12导弹发射系统</t>
  </si>
  <si>
    <t>先锋:炮击命中敌方航速大于等于27的单位时造成额外15点固定伤害。自身相邻上下单位开闭幕导弹、航空战时所受到的伤害降低20%。</t>
  </si>
  <si>
    <t>关岛(改)</t>
  </si>
  <si>
    <t>小猎犬导弹|MK-10导弹发射器|U国双联3英寸防空炮</t>
  </si>
  <si>
    <t>舰队防御伞:炮击战阶段，炮击会对敌方大型船单位造成额外25%的伤害。降低敌方开幕航空战与开幕导弹15%命中率。</t>
  </si>
  <si>
    <t>赤城(改)</t>
  </si>
  <si>
    <t>凰(改)</t>
  </si>
  <si>
    <t>[20, 20, 36, 10]</t>
  </si>
  <si>
    <t>九七式舰攻（80番）|烈风</t>
  </si>
  <si>
    <t>奇袭:旗舰技能，索敌成功时，敌方全体对空值降低30%。</t>
  </si>
  <si>
    <t>命运的五分钟:鱼雷机装备数量较多时，鱼雷机威力增加25%，轰炸机威力降低25%。轰炸机装备数量较多时，轰炸机威力增加25%，鱼雷机威力降低25%。</t>
  </si>
  <si>
    <t>加贺(改)</t>
  </si>
  <si>
    <t>鸾(改)</t>
  </si>
  <si>
    <t>[22, 18, 40, 15]</t>
  </si>
  <si>
    <t>烈风|九七式舰攻（80番）</t>
  </si>
  <si>
    <t>舰攻队出击:开幕航空战阶段提升自身12%暴击率，炮击战阶段提升自身命中率12%</t>
  </si>
  <si>
    <t>机动部队:此技能在舰队舰船数大于等于4时生效。当队伍的平均航速大于加贺自身航速时，提升自身装甲值12点、对空值12点；当队伍平均航速小于加贺自身航速时，提升自身轰炸机20%的威力；当队伍的平均航速等于加贺自身航速时，两种效果皆生效。</t>
  </si>
  <si>
    <t>祥凤(改)</t>
  </si>
  <si>
    <t>凤(改)</t>
  </si>
  <si>
    <t>[17, 13, 9, 0]</t>
  </si>
  <si>
    <t>零战二一型|彗星</t>
  </si>
  <si>
    <t>战队直卫:炮击战阶段自身受到航母、装母攻击的概率增加20%。降低敌方队伍内全部轻巡、重巡20点防空值、12点闪避值和12点命中值。</t>
  </si>
  <si>
    <t>瑞凤(改)</t>
  </si>
  <si>
    <t>鹞(改)</t>
  </si>
  <si>
    <t>[18, 13, 6, 0]</t>
  </si>
  <si>
    <t>彗星|零战62型</t>
  </si>
  <si>
    <t>直卫空母:降低敌方全体战列、战巡的对空值15点、命中值9点。</t>
  </si>
  <si>
    <t>百眼巨人(改)</t>
  </si>
  <si>
    <t>[8, 12, 8, 0]</t>
  </si>
  <si>
    <t>海喷火|梭鱼</t>
  </si>
  <si>
    <t>航空战曙光:队伍中的航母、轻母、装母获得6%额外经验，E国航母、轻母、装母将获得10%经验。</t>
  </si>
  <si>
    <t>兰利(改)</t>
  </si>
  <si>
    <t>[15, 10, 10, 0]</t>
  </si>
  <si>
    <t>航母先驱:演习时，队伍中的航母、轻母、装母额外获得6%经验，U国航母、轻母、装母将获得12%经验。</t>
  </si>
  <si>
    <t>突击者(改)</t>
  </si>
  <si>
    <t>[15, 20, 25, 5]</t>
  </si>
  <si>
    <t>U国厄利孔20毫米炮(双联)|改良型对空雷达</t>
  </si>
  <si>
    <t>弹药整备:增加25%自身携带的轰炸机威力，降低50%自身携带的鱼雷机威力。</t>
  </si>
  <si>
    <t>列克星敦(改)</t>
  </si>
  <si>
    <t>[20, 20, 35, 10]</t>
  </si>
  <si>
    <t>U国四联1.1英寸防空炮|改良型对空雷达</t>
  </si>
  <si>
    <t>航空战术先驱:所有阶段本舰以及相邻位置舰船的舰载机威力上升15%。</t>
  </si>
  <si>
    <t>萨拉托加(改)</t>
  </si>
  <si>
    <t>SB2C地狱俯冲者|改良型对空雷达</t>
  </si>
  <si>
    <t>罗宾:队伍中每1艘萨拉托加以外的航空母舰、轻型航空母舰、装甲航母，都会为萨拉托加增加7%的舰载机威力。</t>
  </si>
  <si>
    <t>高雄(改)</t>
  </si>
  <si>
    <t>獒(改)</t>
  </si>
  <si>
    <t>J国暂称20.3厘米连装炮3号炮|零式水上侦察机|61厘米四连装氧气鱼雷</t>
  </si>
  <si>
    <t>鱼雷再次装填:鱼雷值增加36%。</t>
  </si>
  <si>
    <t>爱宕(改)</t>
  </si>
  <si>
    <t>犬(改)</t>
  </si>
  <si>
    <t>夜战旗舰:全队鱼雷值增加5%，索敌增加3点。</t>
  </si>
  <si>
    <t>摩耶(改)</t>
  </si>
  <si>
    <t>犮(改)</t>
  </si>
  <si>
    <t>J国暂称20.3厘米连装炮3号炮|61厘米四连装氧气鱼雷|J国12.7厘米连装高射炮|改良型对空雷达</t>
  </si>
  <si>
    <t>洋上的对空要塞:增加自身及相邻船只对空值9点，增加自己15%鱼雷值。</t>
  </si>
  <si>
    <t>鸟海(改)</t>
  </si>
  <si>
    <t>猋(改)</t>
  </si>
  <si>
    <t>第八舰队:当该舰作为旗舰时，增加全队重巡、轻巡、驱逐（包括雷巡和导驱）的命中值6点，暴击率6%。</t>
  </si>
  <si>
    <t>希佩尔海军上将(改)</t>
  </si>
  <si>
    <t>G国双联203毫米炮|G国双联37毫米防空炮</t>
  </si>
  <si>
    <t>伪装奇袭:炮击战时30%概率发动，攻击敌舰队中的驱逐舰且必定命中。</t>
  </si>
  <si>
    <t>布吕歇尔(改)</t>
  </si>
  <si>
    <t>G国双联203毫米炮|铁锚</t>
  </si>
  <si>
    <t>迷之自信:全阶段暴击率增加40%，被暴击率增加40%。</t>
  </si>
  <si>
    <t>欧根亲王(改)</t>
  </si>
  <si>
    <t>G国双联203毫米炮|附加装甲(中型)</t>
  </si>
  <si>
    <t>战线防御:炮击战阶段时，50%概率代替相邻水上舰船承受攻击，并获得80%伤害减免（每场战斗发动一次，且该技能大破状态不能发动）。</t>
  </si>
  <si>
    <t>不死鸟:战斗中，全队总幸运每10点增加自身装甲值1点，每10点增加自身火力值1点。</t>
  </si>
  <si>
    <t>威奇塔(改)</t>
  </si>
  <si>
    <t>U国三联8英寸炮(MK12/15)|超重弹</t>
  </si>
  <si>
    <t>火力全开:提升16%的暴击率。当炮击战触发暴击时视为发动技能，技能攻击提升30%的暴击伤害。</t>
  </si>
  <si>
    <t>昆西(改)</t>
  </si>
  <si>
    <t>U国三联8英寸炮|U国博福斯40毫米防空炮(双联)|U国博福斯40毫米防空炮(四联)</t>
  </si>
  <si>
    <t>旗舰杀手:炮击战30%概率发动，攻击对方舰队旗舰，增加15点固定伤害且必定命中。</t>
  </si>
  <si>
    <t>天龙(改)</t>
  </si>
  <si>
    <t>豺(改)</t>
  </si>
  <si>
    <t>J国14厘米单装炮|J国12.7厘米连装高射炮</t>
  </si>
  <si>
    <t>远征护航:作为旗舰时远征获得的资源增加8%。</t>
  </si>
  <si>
    <t>龙田(改)</t>
  </si>
  <si>
    <t>豹(改)</t>
  </si>
  <si>
    <t>远征护卫:作为远征队伍旗舰时，远征大成功率提升8%。</t>
  </si>
  <si>
    <t>北上(改)</t>
  </si>
  <si>
    <t>狸(改)</t>
  </si>
  <si>
    <t>J国12.7厘米连装高射炮|61厘米四连装氧气鱼雷</t>
  </si>
  <si>
    <t>渐减雷击:开幕雷击一起发射三枚鱼雷，威力为鱼雷值均值的80%，该鱼雷具有40%的穿甲属性，且中破时开幕雷击无视战损，并使被击中的目标回避-10（必须狸、獾在队伍中且同时使用本技能）。</t>
  </si>
  <si>
    <t>大井(改)</t>
  </si>
  <si>
    <t>獾(改)</t>
  </si>
  <si>
    <t>五十铃(改)</t>
  </si>
  <si>
    <t>貉(改)</t>
  </si>
  <si>
    <t>J国12.7厘米连装高射炮|61厘米四连装氧气鱼雷|标准型对空雷达</t>
  </si>
  <si>
    <t>空潜一体:装备的防空炮将同时视为对潜装备，并且防空炮的对空值的80%视为对潜值。装备的对潜装备同时视为防空炮，并且对潜装备的对潜值的80%视为对空值。</t>
  </si>
  <si>
    <t>夕张(改)</t>
  </si>
  <si>
    <t>狐(改)</t>
  </si>
  <si>
    <t>J国14厘米单装炮|改良型动力系统</t>
  </si>
  <si>
    <t>实验平台:自身携带的装备获得160%的基础性能。</t>
  </si>
  <si>
    <t>柯尼斯堡(改)</t>
  </si>
  <si>
    <t>G国三联150毫米炮|雷达告警装置|柴油机</t>
  </si>
  <si>
    <t>破交袭击:攻击航速低于或等于自己的敌方单位时提升12%暴击率，被航速高于或等于自己的单位攻击时回避率提升12%。</t>
  </si>
  <si>
    <t>卡尔斯鲁厄(改)</t>
  </si>
  <si>
    <t>科隆(改)</t>
  </si>
  <si>
    <t>G国三联150毫米炮|FI-265|柴油机</t>
  </si>
  <si>
    <t>天狼星(改)</t>
  </si>
  <si>
    <t>275火控雷达</t>
  </si>
  <si>
    <t>多面手巡洋舰:增加12点自身火力，增加20点对空值，攻击中型和小型船有35%概率造成1.5倍伤害</t>
  </si>
  <si>
    <t>重庆(改)</t>
  </si>
  <si>
    <t>防空伪装:降低80%自身受到的航空攻击的伤害。</t>
  </si>
  <si>
    <t>奥马哈(改)</t>
  </si>
  <si>
    <t>标准型火控雷达|U国博福斯40毫米防空炮(双联)</t>
  </si>
  <si>
    <t>大洋巡逻:索敌提高7点，攻击轻巡，驱逐，潜艇类单位时命中率提升7%。</t>
  </si>
  <si>
    <t>亚特兰大(改)</t>
  </si>
  <si>
    <t>U国双联5英寸平高两用炮|改良型火控雷达|先进型对空雷达</t>
  </si>
  <si>
    <t>对空防御:自身和相邻位置的单位对空值提高30点。</t>
  </si>
  <si>
    <t>朱诺(改)</t>
  </si>
  <si>
    <t>高速弹幕:炮击战阶段有40%概率对两个相邻的单位造成90%的伤害,对水下单位无效。</t>
  </si>
  <si>
    <t>奥希金斯(改)</t>
  </si>
  <si>
    <t>Ch</t>
  </si>
  <si>
    <t>海伦娜(改)</t>
  </si>
  <si>
    <t>U国三联6英寸炮|改良型对海雷达</t>
  </si>
  <si>
    <t>情报分析:己方所有舰船索敌+5，命中+5。</t>
  </si>
  <si>
    <t>六英寸机关炮:夜战时25%概率发动，对3个目标造成50%的伤害。</t>
  </si>
  <si>
    <t>宁海(改)</t>
  </si>
  <si>
    <t>C国双联140毫米炮|“宁海号”舰载机</t>
  </si>
  <si>
    <t>舰队训练:宁海在舰队中时，战斗结束后全队获得的经验提升7%。</t>
  </si>
  <si>
    <t>平海(改)</t>
  </si>
  <si>
    <t>C国双联140毫米炮|射击钟</t>
  </si>
  <si>
    <t>目标指示:位于平海下方的所有船只命中提高7。</t>
  </si>
  <si>
    <t>罗伯茨(改)</t>
  </si>
  <si>
    <t>火力支援:增加火力值25%，命中值10点，航速越低增加幅度越高，最多增加火力值50%，命中值20点。</t>
  </si>
  <si>
    <t>阿贝克隆比(改)</t>
  </si>
  <si>
    <t>吹雪(改)</t>
  </si>
  <si>
    <t>桐(改)</t>
  </si>
  <si>
    <t>J国12.7厘米连装炮|61厘米三连装氧气鱼雷</t>
  </si>
  <si>
    <t>水雷战队:自身的鱼雷攻击有30%额外概率触发暴击。当队伍中特型驱逐舰的数量在4艘或4艘以上时，提升队伍中所有特型驱逐舰的鱼雷，命中，回避7点。</t>
  </si>
  <si>
    <t>孤注一掷:提升自身2点耐久值；射程变为长。队伍中的特型驱逐舰小于等于2时，提升自身9点火力值、15点鱼雷值，（全阶段）自身攻击无法暴击，附带自身鱼雷值35%的固定伤害。</t>
  </si>
  <si>
    <t>白雪(改)</t>
  </si>
  <si>
    <t>杉(改)</t>
  </si>
  <si>
    <t>羁绊:炮击战时50%概率代替队伍中的特型驱逐舰承受攻击并免疫本次伤害（仅触发一次，且自身大破时无效）。当吹雪为旗舰时，提升其及自身的装甲值8点。</t>
  </si>
  <si>
    <t>初雪(改)</t>
  </si>
  <si>
    <t>杨(改)</t>
  </si>
  <si>
    <t>零距炮击:自身火力值增加10点，鱼雷值和回避减少5点；炮击战时30%概率对敌方水上单位（优先攻击航母）触发特殊攻击，造成火力值100%的伤害且必定命中。（大破无法发动）</t>
  </si>
  <si>
    <t>深雪 (改)</t>
  </si>
  <si>
    <t>梧(改)</t>
  </si>
  <si>
    <t>水雷强袭:鱼雷+30，回避+15，炮击战35%概率炮击变为30%概率额外暴击的雷击。该次后，不参与鱼雷战，回避-15至结束。</t>
  </si>
  <si>
    <t>晓(改)</t>
  </si>
  <si>
    <t>枫(改)</t>
  </si>
  <si>
    <t>强行侦查:夜战时己方所有舰船命中+10，增加自身被攻击概率40%。</t>
  </si>
  <si>
    <t>信赖(改)</t>
  </si>
  <si>
    <t>S国双联130毫米炮|S国BMB型深弹炮</t>
  </si>
  <si>
    <t>不死鸟的守护:自己和位置处于自己上方的一艘舰船的装甲+12，对空+12，回避+12。</t>
  </si>
  <si>
    <t>雷(改)</t>
  </si>
  <si>
    <t>梓(改)</t>
  </si>
  <si>
    <t>水雷魂:鱼雷战和夜战时有28%额外概率触发暴击。</t>
  </si>
  <si>
    <t>电(改)</t>
  </si>
  <si>
    <t>柏(改)</t>
  </si>
  <si>
    <t>无意撞击:炮击战时35%概率发动，无视目标装甲对目标造成目标当前耐久值50%伤害（上限200点），该次攻击必定命中（该技能大破状态不能发动）。</t>
  </si>
  <si>
    <t>绫波(改)</t>
  </si>
  <si>
    <t>柚(改)</t>
  </si>
  <si>
    <t>所罗门的鬼神:攻击威力不会因为自身的耐久损伤而降低，并且夜战时火力，鱼雷，命中，回避增加30%。</t>
  </si>
  <si>
    <t>敷波(改)</t>
  </si>
  <si>
    <t>柿(改)</t>
  </si>
  <si>
    <t>Z1(改)</t>
  </si>
  <si>
    <t>G国单装127毫米炮|四联533毫米磁性鱼雷</t>
  </si>
  <si>
    <t>Z驱领舰:己方所有Z系列驱逐的攻击威力提升11%。</t>
  </si>
  <si>
    <t>Z16(改)</t>
  </si>
  <si>
    <t>水雷布置:己方所有Z系列驱逐命中提升10（多个单位携带此技能不重复生效）。</t>
  </si>
  <si>
    <t>连环爆破:提升自身16点鱼雷值。鱼雷战时，有30%概率额外发射1枚鱼雷，概率触发时所有鱼雷造成的伤害提升30%；每有一艘Z系驱逐提高12%发动概率。</t>
  </si>
  <si>
    <t>Z21(改)</t>
  </si>
  <si>
    <t>突袭:降低敌方全体驱逐舰，轻巡洋舰和重巡洋舰的回避及装甲值各12点，当敌方队伍中拥有战列舰或战列巡洋舰时，效果减半。</t>
  </si>
  <si>
    <t>Z22(改)</t>
  </si>
  <si>
    <t>突袭峡湾:降低敌方全体驱逐舰，轻巡洋舰和重巡洋舰的的火力值12点、命中值9点，当敌方队伍中拥有战列舰或战列巡洋舰时效果减半。</t>
  </si>
  <si>
    <t>Z31(改)</t>
  </si>
  <si>
    <t>G国双联150毫米炮|四联533毫米鱼雷|雷达告警装置</t>
  </si>
  <si>
    <t>Z驱菁英:Z31根据队伍中Z系驱逐的数量（包括自身）增加不同的能力，每多一艘额外增加一种能力，顺序为装甲，火力，鱼雷，回避，命中，对空。增加幅度为20%。</t>
  </si>
  <si>
    <t>紫石英(改)</t>
  </si>
  <si>
    <t>刺猬弹深弹投射器</t>
  </si>
  <si>
    <t>迷之嘲讽:自身被攻击概率提高22%，自身回避+11。</t>
  </si>
  <si>
    <t>萤火虫(改)</t>
  </si>
  <si>
    <t>附加装甲(小型)|发烟筒</t>
  </si>
  <si>
    <t>无畏撞击:炮击战时40%概率发动，无视目标装甲对目标造成自身装甲80%的固定伤害，该次攻击必定命中。</t>
  </si>
  <si>
    <t>重装刺客:炮击战时，优先攻击中、大型船，攻击时无视敌方100%的护甲，同时有30%概率造成2倍伤害。</t>
  </si>
  <si>
    <t>标枪(改)</t>
  </si>
  <si>
    <t>E国双联4.7英寸炮|先进型深弹投射器</t>
  </si>
  <si>
    <t>绝境逢生:最大耐久增加11，每次战斗中能免疫一次致命伤害。</t>
  </si>
  <si>
    <t>天后(改)</t>
  </si>
  <si>
    <t>对潜专精:对潜艇攻击时命中率提高30%，被鱼雷攻击时回避率提高30%。</t>
  </si>
  <si>
    <t>黑背豺(改)</t>
  </si>
  <si>
    <t>拦截护航:炮击战阶段时，50%概率代替自己上方船只承受攻击，并免疫此次伤害。（该技能每次战斗只触发一次，大破状态不能发动）</t>
  </si>
  <si>
    <t>哥萨克人(改)</t>
  </si>
  <si>
    <t>改良型深弹投射器|改良型声纳</t>
  </si>
  <si>
    <t>跳帮作战:昼战全阶段锁定攻击敌方对应位置的船只，炮击战35%概率发动特殊攻击，造成额外20点固定伤害且必定命中。</t>
  </si>
  <si>
    <t>爱斯基摩人(改)</t>
  </si>
  <si>
    <t>征战四方:每次出征可以免疫1次鱼雷攻击，提升35%自身所装备鱼雷的鱼雷值和反潜装备的反潜值。</t>
  </si>
  <si>
    <t>旁遮普人(改)</t>
  </si>
  <si>
    <t>船队护航:自身对潜+20，战斗中相邻上下单位的回避+20。</t>
  </si>
  <si>
    <t>弗莱彻(改)</t>
  </si>
  <si>
    <t>五联533毫米鱼雷（MK17）|改良型火控雷达</t>
  </si>
  <si>
    <t>最优驱逐舰: 图鉴中每开启1艘弗莱彻级舰船，增加自己火力，装甲，对空，命中，回避，鱼雷，幸运，对潜面板属性各1点。</t>
  </si>
  <si>
    <t>布雷恩(改)</t>
  </si>
  <si>
    <t>U国双联3英寸防空炮|改良型火控雷达</t>
  </si>
  <si>
    <t>冷战先锋:增加8点索敌值，60%的索敌视为火力和对空。</t>
  </si>
  <si>
    <t>基林(改)</t>
  </si>
  <si>
    <t>U国双联5英寸平高两用炮|五联533毫米鱼雷（MK17）|改良型火控雷达</t>
  </si>
  <si>
    <t>FRAM改造:装备的索敌值90%同时视为火力值和对空值。自身耐久值高于30%最大耐久时，提升自身12%暴击率、12点鱼雷值、12点闪避值。</t>
  </si>
  <si>
    <t>长春(改)</t>
  </si>
  <si>
    <t>四大金刚:自身战斗造成伤害提升15%，命中+10，演习获得经验提升15%。</t>
  </si>
  <si>
    <t>沃克兰(改)</t>
  </si>
  <si>
    <t>三联550毫米氧气鱼雷|改良型动力系统</t>
  </si>
  <si>
    <t>超级驱逐舰:增加自己和相邻两艘驱逐舰的火力值7点，鱼雷值6点，遭受鱼雷攻击时增加自己回避35点。</t>
  </si>
  <si>
    <t>空想(改)</t>
  </si>
  <si>
    <t>F国单装138毫米炮|先进型动力系统</t>
  </si>
  <si>
    <t>高速机动:全阶段受到攻击时有25%概率免疫所有伤害。</t>
  </si>
  <si>
    <t>长门(改)</t>
  </si>
  <si>
    <t>鲨(改)</t>
  </si>
  <si>
    <t>91式穿甲弹|J国41厘米连装炮|J国试制41厘米三连主炮</t>
  </si>
  <si>
    <t>前卫(改)</t>
  </si>
  <si>
    <t>E国双联15英寸炮(改)|275火控雷达|食蚜蝇直升机|梳妆台</t>
  </si>
  <si>
    <t>皇家游轮:战斗点距离出发点越远战斗力越高，每阶段装甲，对空，命中，火力，暴击率，回避提升3点，演习时获得第五节点效果，同时经验增加9%。</t>
  </si>
  <si>
    <t>田纳西(改)</t>
  </si>
  <si>
    <t>U国三联14英寸炮（改）|先进型火控雷达</t>
  </si>
  <si>
    <t>最后的T字:T优时，自身基础火力值提升40%，基础命中值提升40%。</t>
  </si>
  <si>
    <t>加利福尼亚(改)</t>
  </si>
  <si>
    <t>先进型火控雷达|U国博福斯40毫米防空炮(四联)</t>
  </si>
  <si>
    <t>战列线复仇:降低自身命中值5点，提升自身15%暴击率。战斗全阶段每受到一次攻击（含未命中）,提升自身火力值13点。</t>
  </si>
  <si>
    <t>科罗拉多(改)</t>
  </si>
  <si>
    <t>U国双联16英寸炮（改）|U国博福斯40毫米防空炮(四联)|先进型对空雷达</t>
  </si>
  <si>
    <t>马里兰(改)</t>
  </si>
  <si>
    <t>U国双联16英寸炮（改）|先进型火控雷达</t>
  </si>
  <si>
    <t>好斗的玛丽:根据战斗受损程度增加火力，最多21%。</t>
  </si>
  <si>
    <t>西弗吉尼亚(改)</t>
  </si>
  <si>
    <t>先进型火控雷达|U国双联16英寸炮（改）|U国博福斯40毫米防空炮(四联)|先进型对空雷达</t>
  </si>
  <si>
    <t>苏里高复仇者:旗舰技，为全队航速27节以下的战列/航战/战巡/重炮提供炮击战加成：攻击时敌人装甲降低20%，T劣时火力值为150%。同时降低自身被攻击概率30%。</t>
  </si>
  <si>
    <t>浴火重生:自身暴击率提升20%，自身每损失5点HP，在炮击战中便会增加10点固定伤害，最多增加100点固定伤害。</t>
  </si>
  <si>
    <t>华盛顿(改)</t>
  </si>
  <si>
    <t>火控雷达:旗舰技，战斗中队伍中U国国籍船只的回避+10，炮击战阶段的火力+10，命中+10。</t>
  </si>
  <si>
    <t>维内托(改)</t>
  </si>
  <si>
    <t>I国三联381毫米炮改|普列塞水下防护系统</t>
  </si>
  <si>
    <t>意式设计:火力+20，命中-6，战斗中免疫第一次被攻击时受到的伤害（无论是否命中）。</t>
  </si>
  <si>
    <t>黎塞留(改)</t>
  </si>
  <si>
    <t>F国四联380毫米炮|U国博福斯40毫米防空炮(四联)|F国DRBC火控雷达</t>
  </si>
  <si>
    <t>胸甲骑兵:增加自己命中值10点，回避10点。反航战时，自己攻击造成的最终伤害提高40%。T劣时，自己攻击造成的最终伤害提高70%。</t>
  </si>
  <si>
    <t>大凤(改)</t>
  </si>
  <si>
    <t>鹩(改)</t>
  </si>
  <si>
    <t>[20, 25, 15, 12]</t>
  </si>
  <si>
    <t>景云改|流星|零战五二型|对空喷进炮</t>
  </si>
  <si>
    <t>穿梭轰炸:队伍中该舰下方位置的3艘航母（轻航，正规航母，装甲航母）增加回避6点，并且炮击战可进行二次攻击，但二次攻击的伤害减低50%。</t>
  </si>
  <si>
    <t>齐柏林伯爵(改)</t>
  </si>
  <si>
    <t>[16, 27, 15, 10]</t>
  </si>
  <si>
    <t>P.1099</t>
  </si>
  <si>
    <t>斯图卡:当队伍中战列数量大于2时，增加全队战列舰9%暴击率，9点命中值；当队伍中没有战列时，增加自身25%暴击率，20点装甲值。炮击战阶段，被齐柏林命中的非旗舰单位在炮击战阶段不再行动。</t>
  </si>
  <si>
    <t>约克城(改)</t>
  </si>
  <si>
    <t>[21, 27, 23, 12]</t>
  </si>
  <si>
    <t>萨奇剪:提升自身10点火力值和航空战25点制空值；制空权劣势和丧失时不降低舰载机伤害，制空权均势、优势和确保时增加舰载机15%伤害。</t>
  </si>
  <si>
    <t>企业(改)</t>
  </si>
  <si>
    <t>[21, 26, 28, 15]</t>
  </si>
  <si>
    <t>SBD(VS10)|F4U海盗|F6F地狱猫</t>
  </si>
  <si>
    <t>大E:增加自身闪避值10点、火力值15点与暴击率20%，首轮炮击必中。炮击战阶段，优先攻击敌方耐久值最高的单位，被命中的单位降低装甲值10点与火力值10点。</t>
  </si>
  <si>
    <t>博格(改)</t>
  </si>
  <si>
    <t>[16, 12, 4, 0]</t>
  </si>
  <si>
    <t>FM-2|TBM-3</t>
  </si>
  <si>
    <t>反潜护航:降低敌方所有潜艇单位的命中值8点，回避值5点（多个单位携带此技能不重复生效）。</t>
  </si>
  <si>
    <t>追赶者(改)</t>
  </si>
  <si>
    <t>复仇者</t>
  </si>
  <si>
    <t>埃罗芒什(改)</t>
  </si>
  <si>
    <t>[15, 23, 8, 0]</t>
  </si>
  <si>
    <t>SO.8000</t>
  </si>
  <si>
    <t>支援航母:增加自身鱼雷机8点对潜值，增加自身轰炸机8点轰炸值。</t>
  </si>
  <si>
    <t>普林斯顿(改)</t>
  </si>
  <si>
    <t>[10, 19, 10, 0]</t>
  </si>
  <si>
    <t>TBM-3|F6F地狱猫|先进型对空雷达</t>
  </si>
  <si>
    <t>帽子戏法:战斗机对空值+30%，战斗中鱼雷机威力+15%。</t>
  </si>
  <si>
    <t>斯佩伯爵海军上将(改)</t>
  </si>
  <si>
    <t>G国三联283毫米炮|柴油机|雷达告警装置</t>
  </si>
  <si>
    <t>河口之战:炮击战时20%概率发动，攻击2个目标，若目标是中型或小型船只，造成120%的伤害。</t>
  </si>
  <si>
    <t>古鹰(改)</t>
  </si>
  <si>
    <t>狼(改)</t>
  </si>
  <si>
    <t>J国暂称20.3厘米连装炮3号炮|61厘米四连装氧气鱼雷</t>
  </si>
  <si>
    <t>战线援护:炮击战阶段时，60%概率代替旗舰承受攻击，并获得80%伤害减免（该技能大破状态不能发动，自身旗舰无效）。</t>
  </si>
  <si>
    <t>加古(改)</t>
  </si>
  <si>
    <t>狌(改)</t>
  </si>
  <si>
    <t>协同作战:队伍中每一艘巡洋舰（包括自己），都为自己提供火力值加成6点，鱼雷值加成6点。</t>
  </si>
  <si>
    <t>青叶(改)</t>
  </si>
  <si>
    <t>萨沃海战:如果敌方单位中存在昆西，则青叶全阶段优先攻击昆西。当敌方单位没有昆西的情况下，闭幕雷击阶段，35%概率将目标变成旗舰。增加自身鱼雷值20点。</t>
  </si>
  <si>
    <t>伦敦(改)</t>
  </si>
  <si>
    <t>过度击穿:30%概率发动，将单次高于5点的伤害降低为5点。</t>
  </si>
  <si>
    <t>肯特(改)</t>
  </si>
  <si>
    <t>E国双联8英寸炮|标准型火控雷达|凶猛的大老虎</t>
  </si>
  <si>
    <t>波特兰(改)</t>
  </si>
  <si>
    <t>U国三联8英寸炮|先进型对空雷达</t>
  </si>
  <si>
    <t>善战者:根据总出征次数（上限20000次）增加自己火力值最多18点，对空值最多18。</t>
  </si>
  <si>
    <t>彭萨科拉(改)</t>
  </si>
  <si>
    <t>先进型火控雷达|U国三联8英寸炮|先进型对空雷达</t>
  </si>
  <si>
    <t>灰色幽灵:遭受鱼雷攻击时受到伤害减少30%，回避值降低15点，增加自身火力与装甲20点</t>
  </si>
  <si>
    <t>北安普顿(改)</t>
  </si>
  <si>
    <t>U国三联8英寸炮|改良型对空雷达|U国厄利孔20毫米炮(双联)</t>
  </si>
  <si>
    <t>支援护航:为自身和相邻船只增加10点回避。</t>
  </si>
  <si>
    <t>休斯顿(改)</t>
  </si>
  <si>
    <t>U国三联8英寸炮|改良型对空雷达</t>
  </si>
  <si>
    <t>新奥尔良(改)</t>
  </si>
  <si>
    <t>U国三联8英寸炮|U国博福斯40毫米防空炮(四联)|U国博福斯40毫米防空炮(双联)</t>
  </si>
  <si>
    <t>无头骑士:当没有受到伤害时，为自己和相邻的船只增加10点回避，当受到伤害后，自身回避+5。</t>
  </si>
  <si>
    <t>川内(改)</t>
  </si>
  <si>
    <t>凊(改)</t>
  </si>
  <si>
    <t>61厘米四连装氧气鱼雷</t>
  </si>
  <si>
    <t>战队旗舰:增加队伍中轻巡、雷巡、重巡、驱逐在鱼雷战、开幕雷击阶段的命中率15%；增加队伍中所有驱逐舰鱼雷值9点。</t>
  </si>
  <si>
    <t>翡翠(改)</t>
  </si>
  <si>
    <t>改良型深弹投射器</t>
  </si>
  <si>
    <t>忠诚卫士:增加自身火力值7点，增加我方所有驱逐舰的火力值6点、反潜值7点。昼战炮击战阶段击中轻巡、重巡时有30%概率造成15点额外固定伤害</t>
  </si>
  <si>
    <t>进取(改)</t>
  </si>
  <si>
    <t>E国双联6英寸炮|E国八联40毫米砰砰炮</t>
  </si>
  <si>
    <t>比斯开湾狩猎:降低敌方小型船的闪避值12点、火力值8点。炮击战时，命中装甲值低于50目标时增加20%伤害。</t>
  </si>
  <si>
    <t>摩尔曼斯克(改)</t>
  </si>
  <si>
    <t>533毫米2-н鱼雷|S国СМ-20-ЗИФ四联45毫米高炮</t>
  </si>
  <si>
    <t>航线援护:提升上方所有单位6点装甲值和自身5点对空与火力值，炮击战阶段优先攻击轻巡、驱逐。</t>
  </si>
  <si>
    <t>逸仙(改)</t>
  </si>
  <si>
    <t>U国单装5英寸炮|改良型对海雷达|豪华木家具</t>
  </si>
  <si>
    <t>矢志不渝:提升全队的装甲、回避、对空值5点，对C国船只3倍效果。</t>
  </si>
  <si>
    <t>秋月(改)</t>
  </si>
  <si>
    <t>椛(改)</t>
  </si>
  <si>
    <t>三年式E1高角炮|61厘米四连装氧气鱼雷</t>
  </si>
  <si>
    <t>对空直卫:增加自身及相邻船只对空值8点，自身鱼雷暴击率增加15%（多个单位携带此技能不重复生效）。</t>
  </si>
  <si>
    <t>凉月(改)</t>
  </si>
  <si>
    <t>栎(改)</t>
  </si>
  <si>
    <t>J国10厘米连装炮|61厘米四连装氧气鱼雷|标准型对空雷达</t>
  </si>
  <si>
    <t>阳炎(改)</t>
  </si>
  <si>
    <t>萩(改)</t>
  </si>
  <si>
    <t>甲型驱逐舰:自身有50%的概率参与开幕雷击。闭幕鱼雷阶段有50%的概率额外发射一枚鱼雷。</t>
  </si>
  <si>
    <t>不知火(改)</t>
  </si>
  <si>
    <t>雷击战突进:增加自身所携带鱼雷装备5点鱼雷值；队伍中有雷击值的角色大于等于3时，增加自身闭幕雷击阶段12点命中值和15%暴击率。</t>
  </si>
  <si>
    <t>黑潮(改)</t>
  </si>
  <si>
    <t>蓉(改)</t>
  </si>
  <si>
    <t>雷击特快:自身有75%概率参与开幕雷击。炮击战自身未造成伤害时，闭幕鱼雷阶段额外发射一枚鱼雷。</t>
  </si>
  <si>
    <t>丹阳(改)</t>
  </si>
  <si>
    <t>祥瑞:旗舰不为自身时，自身的幸运值按一定百分比转为旗舰的火力值（16%）点、对空值（30%）点和回避值（30%）点。旗舰为自身时，增加除自身外全队的回避值10点和对空值15点。</t>
  </si>
  <si>
    <t>Z46(改)</t>
  </si>
  <si>
    <t>驱逐先锋:在先制鱼雷、鱼雷战、夜战降低己方所受到65%的鱼雷伤害，降低我方旗舰18%被攻击概率，鱼雷战阶段命中敌方主力舰时造成20%的额外伤害</t>
  </si>
  <si>
    <t>维纳斯(改)</t>
  </si>
  <si>
    <t>编队鱼雷战:队伍中驱逐舰数量大于等于3时，增加自身25点鱼雷值；鱼雷战阶段，命中中型或大型船时有50%概率造成20点额外固定伤害</t>
  </si>
  <si>
    <t>沙利文(改)</t>
  </si>
  <si>
    <t>守护英雄之人:战斗中，自身火力、装甲-10、回避-5，旗舰对空、装甲+30、回避+15。(自身旗舰无效）</t>
  </si>
  <si>
    <t>威廉·D·波特(改)</t>
  </si>
  <si>
    <t>幸运的威利:提升自身对空和装甲30点，提升自己在炮击战阶段被航母攻击概率40%。</t>
  </si>
  <si>
    <t>波特(改)</t>
  </si>
  <si>
    <t>改良型火控雷达|U国双联5英寸炮</t>
  </si>
  <si>
    <t>统率力:战斗中，全队驱逐舰命中+6，鱼雷值+6，敌方驱逐舰命中-12。</t>
  </si>
  <si>
    <t>拉菲(改)</t>
  </si>
  <si>
    <t>先进型对空雷达|五联533毫米鱼雷（MK17）|VT引信炮弹</t>
  </si>
  <si>
    <t>不惧神风:昼战时火力不会因为自身受到的耐久损伤而降低，受到伤害后，根据受伤程度增加暴击率，中破状态下免疫航空攻击。</t>
  </si>
  <si>
    <t>机灵(改)</t>
  </si>
  <si>
    <t>СМ-24-ЗИФ双联57毫米高炮|改良型声纳</t>
  </si>
  <si>
    <t>海峡勇者:增加自身索敌值15点，火力值15点。鱼雷战阶段命中对应位置敌人时有50%几率造成额外25%伤害。</t>
  </si>
  <si>
    <t>安东尼奥·达诺利(改)</t>
  </si>
  <si>
    <t>I国W270鱼雷</t>
  </si>
  <si>
    <t>灵活作战:队伍平均索敌值低于敌方时提升自身30点回避值，降低2点命中值；队伍平均索敌值高于敌方时提升自身30%暴击率。</t>
  </si>
  <si>
    <t>乌戈里尼·维瓦尔迪(改)</t>
  </si>
  <si>
    <t>I国单装135炮|I国W270鱼雷</t>
  </si>
  <si>
    <t>奋战到底:自身鱼雷值+20，战斗中不受中破以及大破带来的属性减益效果。</t>
  </si>
  <si>
    <t>塔什干(改)</t>
  </si>
  <si>
    <t>533毫米2-н鱼雷|先进型动力系统</t>
  </si>
  <si>
    <t>高速规避:增加4点自身航速，增加25点回避值。</t>
  </si>
  <si>
    <t>大青花鱼(改)</t>
  </si>
  <si>
    <t>MK.16鱼雷（潜艇）</t>
  </si>
  <si>
    <t>王牌潜艇:根据总出征次数（上限20000次）增加自己命中值最多12点，暴击率最多12%。</t>
  </si>
  <si>
    <t>射水鱼(改)</t>
  </si>
  <si>
    <t>猎杀潜航:必定优先攻击航母、轻母和装母，攻击航母类单位（轻母、航母，装甲航母）时，命中值增加10点，且暴击时伤害为习得技能前的1.2倍。</t>
  </si>
  <si>
    <t>U47(改)</t>
  </si>
  <si>
    <t>G7eT10线导鱼雷(潜艇)|雷达告警装置</t>
  </si>
  <si>
    <t>突袭斯卡帕湾:增加自身耐久5点，增加暴击几率20%。</t>
  </si>
  <si>
    <t>狼群战术:队伍中每有一艘潜艇，都会增加所有潜艇的命中率2%及暴击率2%，这个技能只在旗舰是U型潜艇时生效。</t>
  </si>
  <si>
    <t>絮库夫(改)</t>
  </si>
  <si>
    <t>F国旋转鱼雷发射器</t>
  </si>
  <si>
    <t>潜水巡洋舰:自身可以进行先制鱼雷。增加自身10点回避值和10点火力值。</t>
  </si>
  <si>
    <t>北卡罗来纳(改)</t>
  </si>
  <si>
    <t>超重弹|先进型火控雷达|U国三联16英寸炮(MK6)</t>
  </si>
  <si>
    <t>威慑:提升自身火力值10点，降低自身闪避值5点，降低敌方战列和战巡的火力值10点、闪避值10点（对敌方旗舰无效）。</t>
  </si>
  <si>
    <t>南达科他(改)</t>
  </si>
  <si>
    <t>U国双联3英寸防空炮|U国三联16英寸炮(MK6)|超重弹</t>
  </si>
  <si>
    <t>混战:增加自身与旗舰12点火力值和20点装甲值。敌方全队平均火力低于南达科他自身火力值时，炮击战阶段增加自身与旗舰20%炮击伤害，敌方全队平均火力值高于南达科他火力值时，增加自身与旗舰18%暴击率。</t>
  </si>
  <si>
    <t>密苏里(改)</t>
  </si>
  <si>
    <t>导战</t>
  </si>
  <si>
    <t>战斧:增加自身30%暴击伤害，开幕导弹攻击敌方的导弹必定有一枚导弹命中且暴击；炮击战时，降低自身5%的火力值。</t>
  </si>
  <si>
    <t>卡约•杜伊里奥(改)</t>
  </si>
  <si>
    <t>幸运之舰:首轮炮击额外提升最低20%，最高25%的伤害。被攻击时增加幸运值20%的装甲值。</t>
  </si>
  <si>
    <t>瑞鹤(改)</t>
  </si>
  <si>
    <t>鹬(改)</t>
  </si>
  <si>
    <t>[24, 24, 24, 15]</t>
  </si>
  <si>
    <t>九七式舰攻（80番）|青霜|天山</t>
  </si>
  <si>
    <t>幸运的云雨区:自身幸运值提升15，被攻击时，最大增加80%幸运值的装甲，最大增加80%幸运值的回避。</t>
  </si>
  <si>
    <t>翔鹤(改)</t>
  </si>
  <si>
    <t>鹤(改)</t>
  </si>
  <si>
    <t>九七式舰攻（80番）|烈风|对空喷进炮</t>
  </si>
  <si>
    <t>被害担当:炮击战阶段时，25%概率代替队伍中其他航母、装母、轻母承受攻击，并获得80%伤害减免（每场战斗仅触发一次，且该技能大破状态不能发动）。</t>
  </si>
  <si>
    <t>飞龙(改)</t>
  </si>
  <si>
    <t>鸴(改)</t>
  </si>
  <si>
    <t>[21, 23, 23, 6]</t>
  </si>
  <si>
    <t>九七式舰攻（80番）|彗星|青霜</t>
  </si>
  <si>
    <t>舰攻队强袭:提升自身18%暴击率，降低被命中目标20点火力值。</t>
  </si>
  <si>
    <t>突击猛进:提升自身4点航速和12点火力值，降低自身4点装甲值和5点对空值</t>
  </si>
  <si>
    <t>苍龙(改)</t>
  </si>
  <si>
    <t>鸷(改)</t>
  </si>
  <si>
    <t>[20, 26, 18, 6]</t>
  </si>
  <si>
    <t>九七式舰攻（80番）|二式舰侦|景云改</t>
  </si>
  <si>
    <t>舰爆出击:增加自身暴击率10%，被暴击率5%，自身攻击附带25%护甲穿透效果（不能和装备叠加）。</t>
  </si>
  <si>
    <t>信浓(改)</t>
  </si>
  <si>
    <t>末(改)</t>
  </si>
  <si>
    <t>[12, 17, 31, 12]</t>
  </si>
  <si>
    <t>震电改|天河|景云改</t>
  </si>
  <si>
    <t>超航程战:航空战阶段，提升自身前方三个位置的航母、装母、轻母20%的伤害。当队伍中除了自己，不含有其他航母、轻母、装母时，增加自身装甲值35点与索敌值25点，炮击战阶段，自身被攻击概率增加35%。</t>
  </si>
  <si>
    <t>黄蜂(改)</t>
  </si>
  <si>
    <t>[20, 17, 30, 15]</t>
  </si>
  <si>
    <t>F8F熊猫|TBF复仇者</t>
  </si>
  <si>
    <t>狂蜂:炮击战中，自身在受到伤害后对敌人发动反击，必然命中，伤害为普通攻击的100%。（每场战斗限1次，大破无法发动）</t>
  </si>
  <si>
    <t>飞鹰(改)</t>
  </si>
  <si>
    <t>鸱(改)</t>
  </si>
  <si>
    <t>[15, 20, 20, 0]</t>
  </si>
  <si>
    <t>流星|零战62型</t>
  </si>
  <si>
    <t>特设空母:炮击战阶段造成的最终伤害增加30%。</t>
  </si>
  <si>
    <t>隼鹰(改)</t>
  </si>
  <si>
    <t>鸢(改)</t>
  </si>
  <si>
    <t>见敌必战:对敌方航母，装甲航母，轻母造成的最终伤害增加25%。</t>
  </si>
  <si>
    <t>最上(改)</t>
  </si>
  <si>
    <t>猨(改)</t>
  </si>
  <si>
    <t>[0, 0, 0, 12]</t>
  </si>
  <si>
    <t>J国暂称20.3厘米连装炮3号炮|61厘米三连装氧气鱼雷|J国12.7厘米连装高射炮|瑞云</t>
  </si>
  <si>
    <t>航空掩护:增加自身索敌值12点，提升我方全体命中值12点。提升我方中型船10%暴击率，如果是J国中型船提升双倍。</t>
  </si>
  <si>
    <t>旧金山(改)</t>
  </si>
  <si>
    <t>久经战阵:队伍中战列数量等于或低于敌方时，提升队伍里大型船12点命中值、中型船10点火力值、小型船20%暴击率。队伍中战列数量高于敌方时，提升队伍里大型船15点对空值、中型船20点装甲值，小型船13点闪避值。自身级别每提升10级增加3点装甲值</t>
  </si>
  <si>
    <t>巴尔的摩(改)</t>
  </si>
  <si>
    <t>U国双联3英寸防空炮</t>
  </si>
  <si>
    <t>集中火力:作为旗舰时，降低全队10点装甲值，提升全队20点火力值。自身炮击战命中航母，装母以外单位时有50%概率造成1.5倍伤害，被技能命中后的目标会降低目标30点装甲值。</t>
  </si>
  <si>
    <t>香取(改)</t>
  </si>
  <si>
    <t>狔(改)</t>
  </si>
  <si>
    <t>改良型深弹投射器|J国12.7厘米连装高射炮</t>
  </si>
  <si>
    <t>多面训练舰:编队内驱逐舰对空+15，战斗获得经验+7%。编队内潜艇回避+10。</t>
  </si>
  <si>
    <t>大淀(改)</t>
  </si>
  <si>
    <t>淀(改)</t>
  </si>
  <si>
    <t>航巡+</t>
  </si>
  <si>
    <t>[0, 0, 9, 9]</t>
  </si>
  <si>
    <t>J国10厘米连装炮|J国15.5厘米三联主炮|零战二一型|紫云</t>
  </si>
  <si>
    <t>航空支援:增加全队舰船5点索敌值和10点命中值。增加我方小型船15%暴击率。该舰船可以使用航母飞机类装备。</t>
  </si>
  <si>
    <t>莱比锡(改)</t>
  </si>
  <si>
    <t>G国三联150毫米炮|雷达告警装置</t>
  </si>
  <si>
    <t>海军训练舰:队伍内G国单位火力+7、命中+7、在战斗和演习中的获得的经验增加10%。</t>
  </si>
  <si>
    <t>岚(改)</t>
  </si>
  <si>
    <t>萍(改)</t>
  </si>
  <si>
    <t>61厘米四连装氧气鱼雷|改良型深弹投射器</t>
  </si>
  <si>
    <t>爆雷奇袭:提升相当于火力值30%的鱼雷值和对潜值，鱼雷战和夜战时，根据对手损失耐久提高暴击几率，暴击几率最少+5%，最高+30%。</t>
  </si>
  <si>
    <t>Z17(改)</t>
  </si>
  <si>
    <t>四联533毫米磁性鱼雷</t>
  </si>
  <si>
    <t>纳尔维克警戒:自身回避-10。战斗中，对应位置敌方船只回避-40，火力-40，自身和对应位置敌方单位被攻击概率提高(水下单位无效）30%。</t>
  </si>
  <si>
    <t>Z18(改)</t>
  </si>
  <si>
    <t>威瑟堡行动:Z18增加自己索敌20点，增加对应位置敌舰火力10点、暴击率5%、被攻击概率降低30%（水下单位或自身旗舰时无效）。</t>
  </si>
  <si>
    <t>霍埃尔(改)</t>
  </si>
  <si>
    <t>发烟筒|五联533毫米鱼雷（MK17）|改良型火控雷达</t>
  </si>
  <si>
    <t>烟雾掩护:降低上方相邻一个单位30%被攻击概率，并且减少该单位命中值4点</t>
  </si>
  <si>
    <t>塞缪尔•罗伯茨(改)</t>
  </si>
  <si>
    <t>改良型火控雷达</t>
  </si>
  <si>
    <t>投石器:提升自身10点火力值，3点航速。自身射程变为长，炮击战阶段击中敌方大型或中型船时，有40%概率无视敌方所有装甲值。</t>
  </si>
  <si>
    <t>约翰斯顿(改)</t>
  </si>
  <si>
    <t>五联533毫米鱼雷（MK17）|发烟筒|改良型火控雷达</t>
  </si>
  <si>
    <t>萨马岛斗士:提升自身10点装甲值，11点鱼雷值。鱼雷战阶段，命中中型或大型船时造成45%的额外伤害。</t>
  </si>
  <si>
    <t>U81(改)</t>
  </si>
  <si>
    <t>G7eT10线导鱼雷(潜艇)</t>
  </si>
  <si>
    <t>狼群猎手:自身命中+10，鱼雷+10，被命中的敌人回避-10到昼战结束，对航母类（轻母，装母，航母）造成最终伤害增加20%。</t>
  </si>
  <si>
    <t>马汉(改)</t>
  </si>
  <si>
    <t>航母援护:随机增加编队内两艘航空母舰的闪避值12点，雷击战时有40%概率造成30点额外固定伤害</t>
  </si>
  <si>
    <t>巴夫勒尔(改)</t>
  </si>
  <si>
    <t>先进型深弹投射器|MK.N6双联4.5英寸炮</t>
  </si>
  <si>
    <t>新锐装备:自身在航空战阶段受到伤害减少80%；鱼雷战阶段额外发射一枚鱼雷，伤害为正常的85%。</t>
  </si>
  <si>
    <t>明斯克(改)</t>
  </si>
  <si>
    <t>S国BMB型深弹炮</t>
  </si>
  <si>
    <t>漫长战役:免疫自身受到的第一次航空攻击（限昼战）；根据战斗点距离出发点的位置降低敌方战斗力，离初始点越远降低越多（最高5层），每阶段降低敌方全体3点命中值、5点闪避值、4点装甲值。</t>
  </si>
  <si>
    <t>基辅(改)</t>
  </si>
  <si>
    <t>先进型动力系统</t>
  </si>
  <si>
    <t>舰队前卫:增加自身10点闪避值，鱼雷战阶段增加20%伤害；增加队伍内高速舰9点火力值。</t>
  </si>
  <si>
    <t>伏尔塔(改)</t>
  </si>
  <si>
    <t>三联550毫米氧气鱼雷|先进型动力系统</t>
  </si>
  <si>
    <t>高速小队:增加相邻两个单位（限驱逐舰和轻巡）的航速4点和回避值12点，命中敌方时会造成额外20点伤害；当伟大的庞贝位于舰队中时，额外增加自身和伟大的庞贝两个单位的命中值15点和15暴击率。</t>
  </si>
  <si>
    <t>帝国(改)</t>
  </si>
  <si>
    <t>[16, 20, 30, 16]</t>
  </si>
  <si>
    <t>P.1099|G.55S</t>
  </si>
  <si>
    <t>混合特击:队伍中如果有装母时增加帝国自身18点火力值；炮击战时有25%概率同时对2个单位造成伤害。</t>
  </si>
  <si>
    <t>江原(改)</t>
  </si>
  <si>
    <t>新装上阵:旗舰为航母、装母、战列或战巡时增加自身火力值9点和对空值12点；旗舰不为航母、装母、战列或战巡时增加自身回避值12点和鱼雷值15点。</t>
  </si>
  <si>
    <t>忠武(改)</t>
  </si>
  <si>
    <t>改良型声纳|U国双联3英寸防空炮</t>
  </si>
  <si>
    <t>舰队屏护:增加自身20点反潜值、12点命中值。昼战阶段降低敌方队伍内小、中型船15点命中值。</t>
  </si>
  <si>
    <t>U-1405(改)</t>
  </si>
  <si>
    <t>潜行突袭:提升自身16点闪避值，先制鱼雷阶段造成15%额外伤害。炮击战阶段降低对位的敌方9点命中值。</t>
  </si>
  <si>
    <t>星座(改)</t>
  </si>
  <si>
    <t>U国双联5英寸平高两用炮|U国双联16英寸炮</t>
  </si>
  <si>
    <t>先头部队:昼战阶段降低敌方所有战巡、战列21点火力值与12点命中值；炮击战阶段，自身免疫航速&lt;=27的大型船攻击的伤害（对敌方旗舰无效），自身命中敌方高速单位时增加20%伤害。</t>
  </si>
  <si>
    <t>早春(改)</t>
  </si>
  <si>
    <t>燕(改)</t>
  </si>
  <si>
    <t>J国六联61厘米鱼雷|先进型动力系统</t>
  </si>
  <si>
    <t>突入作战:增加队伍中航母、装母、轻母9点对空值。先制鱼雷、鱼雷战阶段提升自身和队伍里所有驱逐、潜艇、雷巡15%的伤害，队伍中每有一个驱逐、潜艇、雷巡单位都会给该伤害增加3%。</t>
  </si>
  <si>
    <t>圣乔治(改)</t>
  </si>
  <si>
    <t>巨炮火力:队伍内战列数量大于等于2时，提升自身12点装甲值，并额外提升自身炮击战20%的伤害；队伍内战巡数量大于等于2时，提升自身20%的暴击率和15点命中值。命中比自身火力低的单位时，对其造成15%额外伤害</t>
  </si>
  <si>
    <t>加里波第(改)</t>
  </si>
  <si>
    <t>大巡-</t>
  </si>
  <si>
    <t>MK-10导弹发射器|小猎犬导弹</t>
  </si>
  <si>
    <t>北极星威慑:炮击战阶段自身命中过的目标不再行动（限炮击战阶段）。炮击战阶段有70%概率增加最小30%，最多100%的额外伤害。该舰船无法装备大口径主炮。</t>
  </si>
  <si>
    <t>塔林(改)</t>
  </si>
  <si>
    <t>S国СМ-5-1双联100毫米高炮|S国СМ-20-ЗИФ四联45毫米高炮|S国三联Б-38型152毫米炮</t>
  </si>
  <si>
    <t>坚持奋战:降低自身2点闪避值，增加自身15点火力值；战斗中自身被命中过一次之后增加自身20%暴击率、20点火力值，20点装甲值（限昼战阶段）。</t>
  </si>
  <si>
    <t>常规非图鉴</t>
  </si>
  <si>
    <t>战利品兑换</t>
  </si>
  <si>
    <t>萝德尼</t>
  </si>
  <si>
    <t>换装</t>
  </si>
  <si>
    <t>戈本</t>
  </si>
  <si>
    <t>Tu</t>
  </si>
  <si>
    <t>G国双联280毫米主炮(旧)|G国单装150毫米炮</t>
  </si>
  <si>
    <t>2014年11月作为封测纪念奖励发放</t>
  </si>
  <si>
    <t>舰船数</t>
  </si>
  <si>
    <t xml:space="preserve">航空机制与公式: https://nga.178.com/read.php?tid=16676818
</t>
  </si>
  <si>
    <t>对空补正设置</t>
  </si>
  <si>
    <t>名称</t>
  </si>
  <si>
    <t>类型</t>
  </si>
  <si>
    <t>轰炸</t>
  </si>
  <si>
    <t>拦截</t>
  </si>
  <si>
    <t>突防</t>
  </si>
  <si>
    <t>对空倍率</t>
  </si>
  <si>
    <t>对空补正</t>
  </si>
  <si>
    <t>mDM</t>
  </si>
  <si>
    <t>铝耗</t>
  </si>
  <si>
    <t>减伤对空</t>
  </si>
  <si>
    <t>击坠对空</t>
  </si>
  <si>
    <t>描述</t>
  </si>
  <si>
    <t>装备限制</t>
  </si>
  <si>
    <t>开发时间</t>
  </si>
  <si>
    <t>携带</t>
  </si>
  <si>
    <t>一包辣条</t>
  </si>
  <si>
    <t>强化部件</t>
  </si>
  <si>
    <t>--</t>
  </si>
  <si>
    <t>大巡|大巡-|导战|导驱|战列|战巡|旗舰|未知|机场|港口|潜母|潜艇|炮潜|航巡|航巡+|航战|航母|补给|装母|要塞|调谐|轻巡|轻母|重巡|重炮|防驱|雷巡|驱逐</t>
  </si>
  <si>
    <t>完成任务“乌兰○托附近水域(1-5)的恶魔”奖励</t>
  </si>
  <si>
    <t>主炮(小型)</t>
  </si>
  <si>
    <t>对空补正20%</t>
  </si>
  <si>
    <t>大巡|大巡-|导战|导驱|战列|战巡|旗舰|未知|机场|港口|炮潜|航巡|航巡+|航战|要塞|调谐|轻巡|重巡|重炮|防驱|雷巡|驱逐</t>
  </si>
  <si>
    <t>峰风|睦月</t>
  </si>
  <si>
    <t>J国12.7厘米单装炮</t>
  </si>
  <si>
    <t>对空补正20%
对空倍率1.1</t>
  </si>
  <si>
    <t>对空补正20%
对空倍率1.2</t>
  </si>
  <si>
    <t>不知火|初雪|初雪(改)|吹雪|吹雪(改)|响|夕立|天雾|敷波|敷波(改)|时雨|晓|晓(改)|村雨|深雪 |深雪 (改)|电|电(改)|白雪|白雪(改)|白露|绫波|绫波(改)|阳炎|雪风|雷|雷(改)|黑潮</t>
  </si>
  <si>
    <t>Z1|Z1(改)|Z16|Z16(改)|Z17|Z18|Z21|Z21(改)|Z22|Z22(改)|Z3</t>
  </si>
  <si>
    <t>S113|Z24|Z28|Z31|埃姆登</t>
  </si>
  <si>
    <t>G国双联150毫米炮</t>
  </si>
  <si>
    <t>M计划|Z31(改)|俾斯麦|提尔比茨</t>
  </si>
  <si>
    <t>对空补正20%
对空倍率1.6</t>
  </si>
  <si>
    <t>紫石英|胡德</t>
  </si>
  <si>
    <t>对空补正20%
对空倍率1.5</t>
  </si>
  <si>
    <t>军团|哥萨克人|天后|天后(改)|旁遮普人|旁遮普人(改)|标枪|标枪(改)|海达人|爱斯基摩人|索玛雷兹|维纳斯|萤火虫|黑背豺|黑背豺(改)</t>
  </si>
  <si>
    <t>对空补正20%
对空倍率2.2</t>
  </si>
  <si>
    <t>亚特兰大|亚特兰大(改)|俄克拉荷马|俄克拉荷马(改)|关岛|内华达|内华达(改)|圣地亚哥|圣胡安|基林|基林(改)|基阿特|奥马哈|巴尔的摩|弗兰克·诺克斯|拉菲|星座(改)|朱诺|朱诺(改)|江原|江原(改)|重巡Ι级Ⅰ型|阿拉斯加|鲍尔</t>
  </si>
  <si>
    <t>对空补正20%
对空倍率1.8</t>
  </si>
  <si>
    <t>丹阳(改)|克拉克斯顿|卡辛杨|奥班农|奥马哈|女灶神|威廉·D·波特|安东尼|尼古拉斯|布雷恩|希尔曼|康弗斯|弗莱彻|德里|戴森|拉菲|撒切尔|斯普利特|查尔斯·奥斯本|沙利文|泰勒|约翰斯顿|西格斯比|逸仙(改)|霍埃尔|马汉</t>
  </si>
  <si>
    <t>F国单装138毫米炮</t>
  </si>
  <si>
    <t>可怖|沃克兰|空想|空想(改)</t>
  </si>
  <si>
    <t>明斯克|果敢|雷鸣</t>
  </si>
  <si>
    <t>主炮(轻型)</t>
  </si>
  <si>
    <t>大巡|大巡-|导战|战列|战巡|旗舰|未知|机场|港口|炮潜|航巡|航巡+|航战|要塞|调谐|轻巡|重巡|重炮|雷巡</t>
  </si>
  <si>
    <t>五十铃|伊势|北上|夕张|夕张(改)|多摩|大井|天龙|天龙(改)|川内|日向|神通|那珂|龙田|龙田(改)</t>
  </si>
  <si>
    <t>J国15.2厘米连装炮</t>
  </si>
  <si>
    <t>主炮(重型)</t>
  </si>
  <si>
    <t>对空补正20%
对空倍率1.3</t>
  </si>
  <si>
    <t>大巡|大巡-|导战|战列|战巡|旗舰|未知|机场|港口|炮潜|航巡|航巡+|航战|要塞|调谐|重巡|重炮</t>
  </si>
  <si>
    <t>三隈|伊吹|加古|古鹰|吞武里|妙高|摩耶|最上|熊野|爱宕|羽黑|衣笠|铃谷|青叶|鞍马|高雄|鸟海</t>
  </si>
  <si>
    <t>卡尔斯鲁厄|卡尔斯鲁厄(改)|柯尼斯堡|柯尼斯堡(改)|科隆|科隆(改)|纽伦堡|莱比锡|莱比锡(改)</t>
  </si>
  <si>
    <t>布吕歇尔|布吕歇尔(改)|希佩尔海军上将|希佩尔海军上将(改)|彼得罗巴甫洛夫斯克|欧根亲王|欧根亲王(改)|重巡Ι级Ⅰ型|重巡Ι级Ⅱ型</t>
  </si>
  <si>
    <t>对空补正20%
对空倍率1.9</t>
  </si>
  <si>
    <t>亚尔古水手|天狼星|威尔士亲王|约克公爵|英王乔治五世|黛朵</t>
  </si>
  <si>
    <t>佩内洛珀|加拉蒂亚|无敌|曙光女神|林仙|纳尔逊|罗德尼|进取|进取(改)|重庆(改)|阿贾克斯</t>
  </si>
  <si>
    <t>丹佛|亨廷顿|克利夫兰|凤凰城|哥伦比亚|圣路易斯|奥希金斯(改)|布鲁克林|海伦娜|海伦娜(改)|萨凡纳|蒙彼利埃|轻巡ei级Ⅰ型|轻巡ei级Ⅱ型</t>
  </si>
  <si>
    <t>休斯顿|休斯顿(改)|北安普顿|北安普顿(改)|印第安纳波利斯|塔斯卡卢萨|奥古斯塔|威奇塔|彭萨科拉|彭萨科拉(改)|新奥尔良|新奥尔良(改)|旧金山|昆西|昆西(改)|波特兰|波特兰(改)|盐湖城|重巡Ι级Ⅰ型|重巡Ι级Ⅱ型|重巡Ι级Ⅲ型|重巡Ω级Ⅲ型</t>
  </si>
  <si>
    <t>宁海|宁海(改)|平海|平海(改)</t>
  </si>
  <si>
    <t>J国35.6厘米连装炮</t>
  </si>
  <si>
    <t>主炮(大型)</t>
  </si>
  <si>
    <t>大巡|导战|战列|战巡|旗舰|未知|机场|港口|航战|要塞|调谐|重炮</t>
  </si>
  <si>
    <t>伊势|伊势(改)|山城|扶桑|日向|日向(改)|榛名|比睿|金刚|雾岛</t>
  </si>
  <si>
    <t>J国41厘米连装炮</t>
  </si>
  <si>
    <t>长门|长门(改)|陆奥</t>
  </si>
  <si>
    <t>J国46厘米三连装炮</t>
  </si>
  <si>
    <t>对空补正25%</t>
  </si>
  <si>
    <t>中途岛战役E1</t>
  </si>
  <si>
    <t>德意志|斯佩伯爵海军上将|斯佩伯爵海军上将(改)|格奈森瑙|沙恩霍斯特|舍尔海军上将</t>
  </si>
  <si>
    <t>G国双联380毫米炮</t>
  </si>
  <si>
    <t>俾斯麦|提尔比茨</t>
  </si>
  <si>
    <t>G国双联406毫米炮</t>
  </si>
  <si>
    <t>俾斯麦(改)|兴登堡|提尔比茨(改)</t>
  </si>
  <si>
    <t>伊丽莎白女王|光荣|前卫|勇敢|厌战|反击|声望|战列Μ级Ⅰ型|战列Μ级Ⅱ型|战巡Κ级Ⅰ型|战巡Κ级Ⅱ型|皇家橡树|罗伯茨|胡德|阿贝克隆比</t>
  </si>
  <si>
    <t>E国三联16英寸炮</t>
  </si>
  <si>
    <t>战列Μ级Ⅰ型|战列Μ级Ⅱ型|战巡Κ级Ⅰ型|战巡Κ级Ⅱ型|无敌|纳尔逊|罗德尼</t>
  </si>
  <si>
    <t>E国四联14英寸炮</t>
  </si>
  <si>
    <t>威尔士亲王|威尔士亲王(改)|约克公爵|英王乔治五世</t>
  </si>
  <si>
    <t>U国三联12英寸炮</t>
  </si>
  <si>
    <t>关岛|阿拉斯加</t>
  </si>
  <si>
    <t>俄克拉荷马|俄克拉荷马(改)|内华达|内华达(改)|加利福尼亚|宾夕法尼亚|新墨西哥|田纳西</t>
  </si>
  <si>
    <t>U国三联16英寸炮(MK6)</t>
  </si>
  <si>
    <t>北卡罗来纳|北卡罗来纳(改)|华盛顿|华盛顿(改)|南达科他|南达科他(改)|印第安纳|马萨诸塞</t>
  </si>
  <si>
    <t>U国三联16英寸炮(MK7)</t>
  </si>
  <si>
    <t>抗战胜利70周年福利(2015.09.03)；100战利品兑换</t>
  </si>
  <si>
    <t>卡约•杜伊里奥|安德烈亚·多利亚</t>
  </si>
  <si>
    <t>J国15.2厘米单装炮</t>
  </si>
  <si>
    <t>副炮</t>
  </si>
  <si>
    <t>大巡|大巡-|导战|战列|战巡|旗舰|未知|机场|港口|航巡|航巡+|航战|航母|装母|要塞|调谐|轻巡|轻母|重巡|重炮|雷巡</t>
  </si>
  <si>
    <t>山城|扶桑|榛名|比睿|金刚|雾岛</t>
  </si>
  <si>
    <t>J国12.7厘米连装高射炮</t>
  </si>
  <si>
    <t>对空补正20%
对空倍率1.7</t>
  </si>
  <si>
    <t>五十铃(改)|北上(改)|大井(改)|天龙(改)|摩耶(改)|最上(改)|竹|香取|香取(改)</t>
  </si>
  <si>
    <t>E国单装4英寸炮</t>
  </si>
  <si>
    <t>波特|波特(改)|菲尔普斯</t>
  </si>
  <si>
    <t>J国12.7毫米单装机枪</t>
  </si>
  <si>
    <t>防空炮</t>
  </si>
  <si>
    <t>对空补正35%
对空倍率2</t>
  </si>
  <si>
    <t>大巡|大巡-|导战|导驱|战列|战巡|旗舰|未知|机场|港口|航巡|航巡+|航战|航母|装母|要塞|调谐|轻巡|轻母|重巡|重炮|防驱|雷巡|驱逐</t>
  </si>
  <si>
    <t>J国25毫米联装机炮</t>
  </si>
  <si>
    <t>对空补正35%
对空倍率2.1</t>
  </si>
  <si>
    <t>G国双联37毫米防空炮</t>
  </si>
  <si>
    <t>俾斯麦(改)|希佩尔海军上将(改)|提尔比茨(改)</t>
  </si>
  <si>
    <t>G国四联20毫米防空炮</t>
  </si>
  <si>
    <t>对空补正35%
对空倍率2.2</t>
  </si>
  <si>
    <t>E国四联40毫米砰砰炮</t>
  </si>
  <si>
    <t>对空补正35%
对空倍率2.4</t>
  </si>
  <si>
    <t>E国八联40毫米砰砰炮</t>
  </si>
  <si>
    <t>对空补正35%
对空倍率3</t>
  </si>
  <si>
    <t>什罗普郡|厌战|反击(改)|威尔士亲王(改)|罗伯茨(改)|进取(改)|阿贝克隆比(改)</t>
  </si>
  <si>
    <t>U国厄利孔20毫米炮(双联)</t>
  </si>
  <si>
    <t>对空补正35%
对空倍率2.7</t>
  </si>
  <si>
    <t>俄克拉荷马(改)|内华达(改)|北安普顿(改)|突击者(改)</t>
  </si>
  <si>
    <t>对空补正35%
对空倍率3.1</t>
  </si>
  <si>
    <t>伍斯特|关岛(改)|南达科他(改)|巴尔的摩(改)|布雷恩(改)|德梅因|忠武(改)|沙利文(改)|纽波特纽斯|萨勒姆</t>
  </si>
  <si>
    <t>U国博福斯40毫米防空炮(双联)</t>
  </si>
  <si>
    <t>对空补正35%
对空倍率2.8</t>
  </si>
  <si>
    <t>奥马哈(改)|摩尔曼斯克|新奥尔良(改)|昆西(改)</t>
  </si>
  <si>
    <t>亨廷顿|俄克拉荷马(改)|关岛|内华达(改)|加利福尼亚(改)|哥伦比亚|奥克兰|斯普利特|新奥尔良(改)|旧金山(改)|昆西(改)|汉考克|科罗拉多(改)|萨凡纳|西弗吉尼亚(改)|阿拉斯加|黎塞留(改)</t>
  </si>
  <si>
    <t>U国四联1.1英寸防空炮</t>
  </si>
  <si>
    <t>休斯顿|凤凰城|列克星敦(改)|北安普顿|奥古斯塔|新墨西哥</t>
  </si>
  <si>
    <t>九六式舰战</t>
  </si>
  <si>
    <t>战斗机</t>
  </si>
  <si>
    <t>铝耗4</t>
  </si>
  <si>
    <t>旗舰|未知|机场|港口|航巡+|航母|装母|要塞|调谐|轻母</t>
  </si>
  <si>
    <t>零战二一型</t>
  </si>
  <si>
    <t>加贺|大淀(改)|瑞鹤|祥凤(改)|翔鹤|苍龙|赤城|隼鹰|飞鹰|飞龙|龙骧</t>
  </si>
  <si>
    <t>零战五二型</t>
  </si>
  <si>
    <t>铝耗5</t>
  </si>
  <si>
    <t>大凤(改)|神鹰</t>
  </si>
  <si>
    <t>BF109T</t>
  </si>
  <si>
    <t>彼得·施特拉塞尔|齐柏林伯爵</t>
  </si>
  <si>
    <t>海喷火</t>
  </si>
  <si>
    <t>不挠|可畏|怨仇|独角兽|百眼巨人(改)|追赶者</t>
  </si>
  <si>
    <t>海毒牙</t>
  </si>
  <si>
    <t>铝耗6</t>
  </si>
  <si>
    <t>航母Ο级Ⅲ型|轻母Ξ级Ⅱ型</t>
  </si>
  <si>
    <t>企业|兰利|列克星敦|约克城|萨拉托加</t>
  </si>
  <si>
    <t>F4F野猫</t>
  </si>
  <si>
    <t>博格|普林斯顿|瓜达卡纳尔|黄蜂</t>
  </si>
  <si>
    <t>企业(改)|塞班|航母Ο级Ⅱ型|装母Χ级Ⅱ型|轻母Ξ级Ⅰ型</t>
  </si>
  <si>
    <t>九九式舰爆</t>
  </si>
  <si>
    <t>轰炸机</t>
  </si>
  <si>
    <t>加贺|瑞凤|瑞鹤|祥凤|翔鹤|苍龙|赤城|隼鹰|飞鹰|飞龙</t>
  </si>
  <si>
    <t>彗星</t>
  </si>
  <si>
    <t>大凤|瑞凤(改)|祥凤(改)|装母Χ级Ⅱ型|轻母Ξ级Ⅰ型|飞龙(改)</t>
  </si>
  <si>
    <t>Ju-87C斯图卡</t>
  </si>
  <si>
    <t>贼鸥</t>
  </si>
  <si>
    <t>海燕</t>
  </si>
  <si>
    <t>光辉|皇家方舟</t>
  </si>
  <si>
    <t>SBD-3无畏</t>
  </si>
  <si>
    <t>企业|列克星敦|桑提|突击者|约克城|约克城(改)|萨拉托加|黄蜂</t>
  </si>
  <si>
    <t>BTD-1毁灭者</t>
  </si>
  <si>
    <t>列克星敦|萨拉托加</t>
  </si>
  <si>
    <t>九七式舰攻</t>
  </si>
  <si>
    <t>鱼雷机</t>
  </si>
  <si>
    <t>凤翔|加贺|瑞凤|瑞鹤|神鹰|祥凤|翔鹤|苍龙|赤城|隼鹰|飞鹰|飞龙|龙骧</t>
  </si>
  <si>
    <t>天山</t>
  </si>
  <si>
    <t>大凤|瑞鹤(改)</t>
  </si>
  <si>
    <t>流星</t>
  </si>
  <si>
    <t>Shōkaku|信浓|大凤(改)|航母Ο级Ⅱ型|轻母Ξ级Ⅱ型|隼鹰(改)|飞鹰(改)</t>
  </si>
  <si>
    <t>剑鱼</t>
  </si>
  <si>
    <t>光辉|百眼巨人|皇家方舟|竞技神</t>
  </si>
  <si>
    <t>梭鱼</t>
  </si>
  <si>
    <t>TBF复仇者</t>
  </si>
  <si>
    <t>兰利(改)|列克星敦|博格|埃塞克斯|怨仇|提康德罗加|普林斯顿|本宁顿|桑提|汉考克|瓜达卡纳尔|甘比尔湾|突击者|约克城(改)|黄蜂|黄蜂(改)</t>
  </si>
  <si>
    <t>零式水上侦察机</t>
  </si>
  <si>
    <t>侦察机</t>
  </si>
  <si>
    <t>大巡|大巡-|导战|战列|战巡|旗舰|未知|机场|港口|航巡|航巡+|航战|航母|装母|要塞|调谐|轻巡|轻母|重巡|雷巡</t>
  </si>
  <si>
    <t>B65|妙高|爱宕|爱宕(改)|羽黑|香取|高雄|高雄(改)|鸟海(改)</t>
  </si>
  <si>
    <t>海水獭</t>
  </si>
  <si>
    <t>海象式</t>
  </si>
  <si>
    <t>威尔士亲王|罗德尼(改)|胡德</t>
  </si>
  <si>
    <t>OS2U-3翠鸟</t>
  </si>
  <si>
    <t>标准型对空雷达</t>
  </si>
  <si>
    <t>雷达</t>
  </si>
  <si>
    <t>对空补正40%
对空倍率2.8</t>
  </si>
  <si>
    <t>五十铃(改)|凉月(改)|加利福尼亚|圣路易斯|天狼星</t>
  </si>
  <si>
    <t>标准型对海雷达</t>
  </si>
  <si>
    <t>奥希金斯(改)|海伦娜</t>
  </si>
  <si>
    <t>改良型对空雷达</t>
  </si>
  <si>
    <t>对空补正40%
对空倍率3</t>
  </si>
  <si>
    <t>休斯顿(改)|列克星敦(改)|北安普顿(改)|摩耶(改)|突击者(改)|萨拉托加(改)</t>
  </si>
  <si>
    <t>改良型对海雷达</t>
  </si>
  <si>
    <t>伦敦(改)|海伦娜(改)|诺福克|逸仙(改)</t>
  </si>
  <si>
    <t>标准型声纳</t>
  </si>
  <si>
    <t>导驱|旗舰|未知|机场|港口|潜母|潜艇|炮潜|航巡|航巡+|要塞|调谐|轻巡|防驱|雷巡|驱逐</t>
  </si>
  <si>
    <t>哥特兰|岚</t>
  </si>
  <si>
    <t>改良型声纳</t>
  </si>
  <si>
    <t>凯利|哥萨克人(改)|大淀|忠武(改)|机灵(改)|爱斯基摩人(改)|维纳斯(改)|英格兰</t>
  </si>
  <si>
    <t>标准型深弹投射器</t>
  </si>
  <si>
    <t>反潜装备</t>
  </si>
  <si>
    <t>旗舰|未知|机场|港口|航巡|航巡+|要塞|调谐|轻巡|防驱|雷巡|驱逐</t>
  </si>
  <si>
    <t>吸血鬼|岚</t>
  </si>
  <si>
    <t>哥萨克人(改)|塞缪尔•罗伯茨|岚(改)|旁遮普人(改)|海达人|燕八哥|爱斯基摩人(改)|维纳斯(改)|翡翠(改)|香取(改)</t>
  </si>
  <si>
    <t>大巡|大巡-|导战|导驱|战列|战巡|旗舰|未知|机场|港口|潜母|潜艇|炮潜|航巡|航巡+|要塞|调谐|轻巡|重巡|防驱|雷巡|驱逐</t>
  </si>
  <si>
    <t>卡尔斯鲁厄|吸血鬼|哥特兰|塞缪尔•罗伯茨|底特律|摩尔曼斯克|柯尼斯堡|沃克兰|科隆|迪凯纳|闪电|雷鸣</t>
  </si>
  <si>
    <t>M计划|Z1|Z3|Z31|Z31(改)|史密斯|哈曼|哥萨克人|巴夫勒尔|库欣|斯特雷特|果敢|热心|阿卡司塔|马汉</t>
  </si>
  <si>
    <t>五联533毫米鱼雷</t>
  </si>
  <si>
    <t>克拉克斯顿|卫士|基林|威廉·D·波特|希尔曼|康弗斯|弗莱彻|戴森|拉菲|约翰斯顿|萤火虫|雷巡Θ级Ⅱ型|霍埃尔</t>
  </si>
  <si>
    <t>吹雪|天雾|晓|潮|绫波</t>
  </si>
  <si>
    <t>北上|夕立|大井|川内|时雨|木曾|村雨|白露|神通|竹|那珂|野分|阿贺野|雪风|驱逐Α级Ⅰ型</t>
  </si>
  <si>
    <t>三式弹</t>
  </si>
  <si>
    <t>炮弹</t>
  </si>
  <si>
    <t>对空补正60%</t>
  </si>
  <si>
    <t>大巡|大巡-|导战|战列|战巡|旗舰|未知|机场|港口|炮潜|航巡|航巡+|航战|要塞|调谐|轻巡|重巡|重炮|雷巡|驱逐</t>
  </si>
  <si>
    <t>金刚(改)|陆奥</t>
  </si>
  <si>
    <t>乌戈里尼·维瓦尔迪|伊丽莎白女王|夕张|安东尼奥·达诺利|安德烈亚·多利亚|爪哇|狮</t>
  </si>
  <si>
    <t>47工程|B65|乔治莱格|加里波第|可怖|基辅|塔什干|夕张(改)|天津风|奥斯塔公爵|威斯康星|密苏里|岛风|斯特雷特|新泽西|沃克兰(改)|空想|蒂默曼|衣阿华|阿尔维塞·达·摩斯托|阿尔贝托·迪·朱桑诺|阿布鲁奇公爵|齐柏林伯爵</t>
  </si>
  <si>
    <t>旗舰|未知|机场|港口|航巡|航巡+|装母|要塞|调谐|轻母|重巡|重炮</t>
  </si>
  <si>
    <t>埃德加·居内|扎拉|欧根亲王(改)</t>
  </si>
  <si>
    <t>大巡|大巡-|导战|战列|战巡|旗舰|未知|机场|港口|航战|航母|装母|要塞|调谐</t>
  </si>
  <si>
    <t>L20|兴登堡|狮|胡德(改)</t>
  </si>
  <si>
    <t>损害管制小组</t>
  </si>
  <si>
    <t>修理员</t>
  </si>
  <si>
    <t>大巡|大巡-|导战|导驱|战列|战巡|旗舰|未知|机场|港口|潜母|潜艇|炮潜|航巡|航巡+|航战|航母|装母|要塞|调谐|轻巡|轻母|重巡|重炮|防驱|雷巡|驱逐</t>
  </si>
  <si>
    <t>精英损害管制小组</t>
  </si>
  <si>
    <t>AR-196水上侦察机</t>
  </si>
  <si>
    <t>E国三联4英寸炮</t>
  </si>
  <si>
    <t>反击|声望</t>
  </si>
  <si>
    <t>E国4.5英寸连装高炮</t>
  </si>
  <si>
    <t>F国四联380毫米炮</t>
  </si>
  <si>
    <t>弗兰德尔|黎塞留|黎塞留(改)</t>
  </si>
  <si>
    <t>F国四联380毫米炮(炸膛)</t>
  </si>
  <si>
    <t>Z1(改)|Z16(改)|Z17(改)|Z18(改)|Z22(改)|提尔比茨(改)|雷巡Θ级Ⅱ型</t>
  </si>
  <si>
    <t>塞德利茨|毛奇</t>
  </si>
  <si>
    <t>先进型对空雷达</t>
  </si>
  <si>
    <t>对空补正40%
对空倍率3.3</t>
  </si>
  <si>
    <t>亚特兰大(改)|彭萨科拉(改)|拉菲(改)|普林斯顿(改)|波特兰(改)|科罗拉多(改)|西弗吉尼亚(改)</t>
  </si>
  <si>
    <t>先进型对海雷达</t>
  </si>
  <si>
    <t>铁底湾珍品保卫战E5奖励；战利品兑换</t>
  </si>
  <si>
    <t>标准型火控雷达</t>
  </si>
  <si>
    <t>对空补正50%
对空倍率1.8</t>
  </si>
  <si>
    <t>厌战|奥马哈(改)|威尔士亲王(改)|约克公爵|纳尔逊(改)|肯特(改)</t>
  </si>
  <si>
    <t>对空补正50%
对空倍率3</t>
  </si>
  <si>
    <t>亚特兰大(改)|基林(改)|塞缪尔•罗伯茨(改)|威廉·D·波特(改)|布雷恩(改)|弗莱彻(改)|沙利文(改)|波特(改)|约翰斯顿(改)|霍埃尔(改)</t>
  </si>
  <si>
    <t>先进型火控雷达</t>
  </si>
  <si>
    <t>对空补正50%
对空倍率2.2</t>
  </si>
  <si>
    <t>加利福尼亚(改)|北卡罗来纳|北卡罗来纳(改)|华盛顿|华盛顿(改)|南达科他|印第安纳|威斯康星|密苏里|彭萨科拉(改)|新泽西|田纳西(改)|衣阿华|西弗吉尼亚(改)|马萨诸塞|马里兰(改)</t>
  </si>
  <si>
    <t>先进型声纳</t>
  </si>
  <si>
    <t>沸腾的大洋900分奖励</t>
  </si>
  <si>
    <t>先进型深弹投射器</t>
  </si>
  <si>
    <t>天后(改)|巴夫勒尔(改)|标枪(改)|黑背豺(改)</t>
  </si>
  <si>
    <t>捕鼠器深弹投射器</t>
  </si>
  <si>
    <t>女武神行动E1奖励</t>
  </si>
  <si>
    <t>燕八哥|紫石英(改)|英格兰|轻巡ei级Ⅰ型</t>
  </si>
  <si>
    <t>女武神行动E7奖励</t>
  </si>
  <si>
    <t>附加装甲(小型)</t>
  </si>
  <si>
    <t>伏尔塔(改)|基辅(改)|塔什干(改)|早春(改)|空想(改)</t>
  </si>
  <si>
    <t>发烟筒</t>
  </si>
  <si>
    <t>重巡以下船只专用（航母类不能使用）</t>
  </si>
  <si>
    <t>导驱|旗舰|未知|机场|港口|航巡|航巡+|要塞|调谐|轻巡|重巡|重炮|防驱|雷巡|驱逐</t>
  </si>
  <si>
    <t>约翰斯顿(改)|萤火虫(改)|迷路的运输舰|霍埃尔(改)</t>
  </si>
  <si>
    <t>爱丁堡|谢菲尔德|贝尔法斯特</t>
  </si>
  <si>
    <t>什罗普郡|伦敦|伦敦(改)|加纳里亚斯|坎伯兰|埃克赛特|堪培拉|约克|肯特|肯特(改)|萨福克|萨里|诺福克</t>
  </si>
  <si>
    <t>E国双联15英寸炮(改)</t>
  </si>
  <si>
    <t>前卫(改)|反击(改)|声望(改)|罗伯茨(改)|胡德(改)|阿贝克隆比(改)</t>
  </si>
  <si>
    <t>E国三联15英寸炮(试作型)</t>
  </si>
  <si>
    <t>星座|星座(改)|科罗拉多|西弗吉尼亚|马里兰</t>
  </si>
  <si>
    <t>伏尔塔|莫加多尔|驱逐Δ级Ⅲ型</t>
  </si>
  <si>
    <t>S国СМ-2-1双联130毫米炮</t>
  </si>
  <si>
    <t>不惧|驱逐Α级Ⅲ型</t>
  </si>
  <si>
    <t>S国三联Б-38型152毫米炮</t>
  </si>
  <si>
    <t>塔林(改)|库图佐夫|捷尔任斯基|斯维尔德洛夫</t>
  </si>
  <si>
    <t>铝耗15</t>
  </si>
  <si>
    <t>Shōkaku|大黄蜂|航母Ο级Ⅲ型|航母Ο级Ⅳ型|装母Χ级Ⅲ型|装母Χ级Ⅳ型</t>
  </si>
  <si>
    <t>2015年4月“杜立特空袭”活动限时任务奖励</t>
  </si>
  <si>
    <t>VT引信炮弹</t>
  </si>
  <si>
    <t>对空补正80%</t>
  </si>
  <si>
    <t>2015年感恩节限时任务奖励</t>
  </si>
  <si>
    <t>超重弹</t>
  </si>
  <si>
    <t>炮击战阶段增加25%攻击上限（同类弹药效果只会生效一个）</t>
  </si>
  <si>
    <t>北卡罗来纳(改)|华盛顿(改)|南达科他(改)|威奇塔(改)|马萨诸塞</t>
  </si>
  <si>
    <t>91式穿甲弹</t>
  </si>
  <si>
    <t>增加20%护甲穿透（同类弹药效果只生效一个）</t>
  </si>
  <si>
    <t>大巡|大巡-|导战|战列|战巡|旗舰|未知|机场|港口|航战|要塞|调谐|重炮</t>
  </si>
  <si>
    <t>金刚(改)|长门|长门(改)</t>
  </si>
  <si>
    <t>烈风</t>
  </si>
  <si>
    <t>信浓|加贺(改)|翔鹤(改)|赤城(改)</t>
  </si>
  <si>
    <t>震电</t>
  </si>
  <si>
    <t>南洋基地防御战E1奖励；70战利品兑换</t>
  </si>
  <si>
    <t>ME-155</t>
  </si>
  <si>
    <t>女武神行动E2奖励</t>
  </si>
  <si>
    <t>F6F地狱猫</t>
  </si>
  <si>
    <t>企业(改)|列克星敦|圣哈辛托|埃塞克斯|提康德罗加|普林斯顿(改)|本宁顿|桑提|汉考克</t>
  </si>
  <si>
    <t>XF5U“飞行圆饼”</t>
  </si>
  <si>
    <t>零战62型</t>
  </si>
  <si>
    <t>大凤|瑞凤(改)|隼鹰(改)|飞鹰(改)</t>
  </si>
  <si>
    <t>剑鱼MKIII</t>
  </si>
  <si>
    <t>独角兽|追赶者</t>
  </si>
  <si>
    <t>SB2C地狱俯冲者</t>
  </si>
  <si>
    <t>列克星敦|埃塞克斯|本宁顿|萨拉托加(改)</t>
  </si>
  <si>
    <t>TBD蹂躏者</t>
  </si>
  <si>
    <t>企业|约克城</t>
  </si>
  <si>
    <t>XTB2D空中海盗</t>
  </si>
  <si>
    <t>铝耗9</t>
  </si>
  <si>
    <t>中间岛战役E3奖励；60战利品兑换</t>
  </si>
  <si>
    <t>二式舰侦</t>
  </si>
  <si>
    <t>彩云</t>
  </si>
  <si>
    <t>300功勋兑换</t>
  </si>
  <si>
    <t>海喷火舰侦</t>
  </si>
  <si>
    <t>“TALIEDO STIPA”</t>
  </si>
  <si>
    <t>2016年愚人节限时任务奖励</t>
  </si>
  <si>
    <t>瑞云</t>
  </si>
  <si>
    <t>轰炸机(水上)</t>
  </si>
  <si>
    <t>旗舰|未知|机场|港口|航巡|航巡+|航战|航母|装母|要塞|调谐|轻母</t>
  </si>
  <si>
    <t>伊势(改)|日向(改)|最上(改)</t>
  </si>
  <si>
    <t>晴岚</t>
  </si>
  <si>
    <t>E国三联16英寸炮(改)</t>
  </si>
  <si>
    <t>战列Μ级Ⅱ型|战列Μ级Ⅲ型|战巡Κ级Ⅱ型|战巡Κ级Ⅲ型|战巡Κ级Ⅳ型|纳尔逊(改)|罗德尼(改)</t>
  </si>
  <si>
    <t>61厘米五连装鱼雷</t>
  </si>
  <si>
    <t>61厘米三连装氧气鱼雷</t>
  </si>
  <si>
    <t>初雪(改)|吹雪(改)|敷波(改)|晓(改)|最上(改)|深雪 (改)|电(改)|白雪(改)|绫波(改)|雷(改)</t>
  </si>
  <si>
    <t>不知火(改)|五十铃(改)|凉月(改)|加古(改)|北上(改)|古鹰(改)|大井(改)|岚(改)|川内(改)|摩耶(改)|爱宕(改)|秋月(改)|阳炎(改)|青叶(改)|驱逐Α级Ⅰ型|驱逐Α级Ⅱ型|高雄(改)|鸟海(改)|黑潮(改)</t>
  </si>
  <si>
    <t>61厘米五连装氧气鱼雷</t>
  </si>
  <si>
    <t>雷巡Θ级Ⅱ型|雷巡Θ级Ⅲ型|雷巡Θ级Ⅳ型|驱逐Α级Ⅲ型|驱逐Δ级Ⅲ型|驱逐Δ级Ⅳ型</t>
  </si>
  <si>
    <t>旗舰|未知|机场|港口|潜母|潜艇|炮潜|要塞|调谐</t>
  </si>
  <si>
    <t>U-1405|U-35|U1206|U156|U47|U505|U81|U96</t>
  </si>
  <si>
    <t>刺尾鱼|大青花鱼|射水鱼|鲃鱼|鹦鹉螺</t>
  </si>
  <si>
    <t>E国博福斯40毫米防空机炮(六联)</t>
  </si>
  <si>
    <t>前卫|征服者</t>
  </si>
  <si>
    <t>对空倍率1.9</t>
  </si>
  <si>
    <t>冬月|凉月|凉月(改)|初月|大淀(改)|宵月|早春|秋月</t>
  </si>
  <si>
    <t>E国274型雷达</t>
  </si>
  <si>
    <t>卡尔斯鲁厄(改)|吞武里|德意志|托戈|斯佩伯爵海军上将|斯佩伯爵海军上将(改)|柯尼斯堡(改)|科隆(改)|舍尔海军上将|鹰</t>
  </si>
  <si>
    <t>“宁海号”舰载机</t>
  </si>
  <si>
    <t>射击钟</t>
  </si>
  <si>
    <t>对空倍率1.2</t>
  </si>
  <si>
    <t>应瑞|肇和|逸仙</t>
  </si>
  <si>
    <t>金块箱</t>
  </si>
  <si>
    <t>爱丁堡|翡翠</t>
  </si>
  <si>
    <t>S国双联130毫米炮</t>
  </si>
  <si>
    <t>信赖(改)|塔什干</t>
  </si>
  <si>
    <t>信赖(改)|明斯克(改)</t>
  </si>
  <si>
    <t>铁锚</t>
  </si>
  <si>
    <t>I国三联381毫米炮</t>
  </si>
  <si>
    <t>对空倍率1.1</t>
  </si>
  <si>
    <t>维内托|罗马</t>
  </si>
  <si>
    <t>I国三联320毫米炮</t>
  </si>
  <si>
    <t>卡约•杜伊里奥(改)|安德烈亚·多利亚(改)</t>
  </si>
  <si>
    <t>乌戈里尼·维瓦尔迪|卡米契亚·内拉|安东尼奥·达诺利|阿维埃尔</t>
  </si>
  <si>
    <t>普列塞水下防护系统</t>
  </si>
  <si>
    <t>卡约•杜伊里奥(改)|安德烈亚·多利亚(改)|维内托|维内托(改)|罗马|苏联</t>
  </si>
  <si>
    <t>意式餐具套装</t>
  </si>
  <si>
    <t>巨像|怨仇</t>
  </si>
  <si>
    <t>翡翠|龙骑兵</t>
  </si>
  <si>
    <t>F国双联203毫米潜艇主炮</t>
  </si>
  <si>
    <t>炮潜|调谐</t>
  </si>
  <si>
    <t>絮库夫|絮库夫(改)</t>
  </si>
  <si>
    <t>对空喷进炮</t>
  </si>
  <si>
    <t>对空补正30%
对空倍率2.5</t>
  </si>
  <si>
    <t>伊势(改)|大凤(改)|日向(改)|翔鹤(改)</t>
  </si>
  <si>
    <t>海喷火MKXV</t>
  </si>
  <si>
    <t>S国三联180毫米炮</t>
  </si>
  <si>
    <t>雷达告警装置</t>
  </si>
  <si>
    <t>U47(改)|Z31(改)|俾斯麦(改)|卡尔斯鲁厄(改)|斯佩伯爵海军上将(改)|柯尼斯堡(改)|莱比锡(改)</t>
  </si>
  <si>
    <t>极密货物</t>
  </si>
  <si>
    <t>Бе-4舰载侦察机</t>
  </si>
  <si>
    <t>凶猛的大老虎</t>
  </si>
  <si>
    <t>“奥斯卡”</t>
  </si>
  <si>
    <t>“生姜&amp;鱼饼”</t>
  </si>
  <si>
    <t>增加1阶段乳量（同类效果不叠加）</t>
  </si>
  <si>
    <t>SBD(麦克拉斯基队)</t>
  </si>
  <si>
    <t>企业（中间岛战役E5奖励）自带；60战利品兑换</t>
  </si>
  <si>
    <t>F2A(萨奇队)</t>
  </si>
  <si>
    <t>约克城（中间岛战役E4奖励）自带；50战利品兑换</t>
  </si>
  <si>
    <t>一袋土豆</t>
  </si>
  <si>
    <t>雅克-1B(莉莉娅机)</t>
  </si>
  <si>
    <t>中间岛战役战前准备任务奖励；40战利品兑换</t>
  </si>
  <si>
    <t>伊-16(哲生机)</t>
  </si>
  <si>
    <t>中间岛战役战前准备任务奖励；50战利品兑换</t>
  </si>
  <si>
    <t>霍克3(志航机)</t>
  </si>
  <si>
    <t>SBD(百思特机)</t>
  </si>
  <si>
    <t>企业（中间岛战役E5奖励）自带；50战利品兑换</t>
  </si>
  <si>
    <t>威奇塔(改)|巴尔的摩|梅肯|波士顿</t>
  </si>
  <si>
    <t>E国MK.III型三联16英寸炮</t>
  </si>
  <si>
    <t>征服者|狮</t>
  </si>
  <si>
    <t>M1|M2</t>
  </si>
  <si>
    <t>基林(改)|威廉·D·波特(改)|弗莱彻(改)|忠武|拉菲(改)|约翰斯顿(改)|霍埃尔(改)|马汉(改)</t>
  </si>
  <si>
    <t>U国双联16英寸炮（改）</t>
  </si>
  <si>
    <t>科罗拉多(改)|西弗吉尼亚(改)|马里兰(改)</t>
  </si>
  <si>
    <t>剑鱼（810中队）</t>
  </si>
  <si>
    <t>皇家方舟（女武神行动E5奖励）自带</t>
  </si>
  <si>
    <t>食蚜蝇直升机</t>
  </si>
  <si>
    <t>FI-265</t>
  </si>
  <si>
    <t>对空补正60%
对空倍率3.5</t>
  </si>
  <si>
    <t>前卫(改)|天狼星(改)</t>
  </si>
  <si>
    <t>联络电台</t>
  </si>
  <si>
    <t>对空补正75%
对空倍率1.2</t>
  </si>
  <si>
    <t>梳妆台</t>
  </si>
  <si>
    <t>高脚柜炸弹</t>
  </si>
  <si>
    <t>装备时，增加25%开幕轰炸攻击力</t>
  </si>
  <si>
    <t>旗舰|未知|机场|航母|装母|调谐|轻母</t>
  </si>
  <si>
    <t>装母Χ级Ⅳ型</t>
  </si>
  <si>
    <t>女武神行动E4奖励；90战利品兑换</t>
  </si>
  <si>
    <t>J国暂称20.3厘米连装炮3号炮</t>
  </si>
  <si>
    <t>加古(改)|古鹰(改)|摩耶(改)|最上(改)|爱宕(改)|青叶(改)|高雄(改)|鸟海(改)</t>
  </si>
  <si>
    <t>E国双联4.5英寸炮（MK.VI型）</t>
  </si>
  <si>
    <t>对空倍率2.3</t>
  </si>
  <si>
    <t>FM-2</t>
  </si>
  <si>
    <t>兰利(改)|博格(改)|甘比尔湾</t>
  </si>
  <si>
    <t>紫云</t>
  </si>
  <si>
    <t>大淀|大淀(改)</t>
  </si>
  <si>
    <t>J国15.5厘米三联主炮</t>
  </si>
  <si>
    <t>景云改</t>
  </si>
  <si>
    <t>Shōkaku|信浓(改)|大凤(改)|苍龙(改)</t>
  </si>
  <si>
    <t>TBM-3</t>
  </si>
  <si>
    <t>博格(改)|普林斯顿(改)|轻母Ξ级Ⅰ型</t>
  </si>
  <si>
    <t>大青花鱼(改)|射水鱼(改)</t>
  </si>
  <si>
    <t>铝耗7</t>
  </si>
  <si>
    <t>皇家方舟|航母Ο级Ⅱ型|装母Χ级Ⅲ型</t>
  </si>
  <si>
    <t>贝阿朵莉丝·鱼饼</t>
  </si>
  <si>
    <t>装备后舰船耐久+1</t>
  </si>
  <si>
    <t>2016年10月31日完成任务“万圣节巡游”奖励；80战利品兑换</t>
  </si>
  <si>
    <t>贝尔麦坎·三世</t>
  </si>
  <si>
    <t>装备后舰船耐久-1</t>
  </si>
  <si>
    <t>2016年10月31日完成任务“不给经验就捣蛋”奖励；80战利品兑换</t>
  </si>
  <si>
    <t>P-39（波克雷什金机）</t>
  </si>
  <si>
    <t>70战利品兑换</t>
  </si>
  <si>
    <t>F4U（波音顿机）</t>
  </si>
  <si>
    <t>90战利品兑换</t>
  </si>
  <si>
    <t>SB2U（弗莱明机）</t>
  </si>
  <si>
    <t>60战利品兑换</t>
  </si>
  <si>
    <t>BF-109E（加兰德机）</t>
  </si>
  <si>
    <t>LA-7（阔日杜布机）</t>
  </si>
  <si>
    <t>G国双联533毫米炮</t>
  </si>
  <si>
    <t>未实装</t>
  </si>
  <si>
    <t>F国四联37毫米高炮</t>
  </si>
  <si>
    <t>对空补正45%
对空倍率2.9</t>
  </si>
  <si>
    <t>U国双联18英寸炮</t>
  </si>
  <si>
    <t>Monitor(改)</t>
  </si>
  <si>
    <t>80战利品兑换</t>
  </si>
  <si>
    <t>72厘米三连装鱼雷</t>
  </si>
  <si>
    <t>雷巡Θ级Ⅳ型</t>
  </si>
  <si>
    <t>J国试制48厘米连装炮</t>
  </si>
  <si>
    <t>三联550毫米氧气鱼雷</t>
  </si>
  <si>
    <t>伏尔塔(改)|沃克兰(改)</t>
  </si>
  <si>
    <t>豪华木家具</t>
  </si>
  <si>
    <t>U-1405(改)|U47(改)|U81(改)|潜艇Π级Ⅲ型|潜艇Π级Ⅳ型|潜艇Ρ级Ⅲ型|潜艇Ρ级Ⅳ型</t>
  </si>
  <si>
    <t>A-2</t>
  </si>
  <si>
    <t>旗舰Ν级Ⅱ型|旗舰Ν级Ⅲ型|苏赫巴托尔|苏赫巴托尔(改)|装母Χ级Ⅱ型</t>
  </si>
  <si>
    <t>南洋基地防御战E3奖励；80战利品兑换</t>
  </si>
  <si>
    <t>Z字旗</t>
  </si>
  <si>
    <t>二周年庆典活动E1奖励；60战利品兑换</t>
  </si>
  <si>
    <t>早期型U国三联16英寸炮（MK7）</t>
  </si>
  <si>
    <t>早期试用型，仅限衣阿华级装备</t>
  </si>
  <si>
    <t>密苏里|威斯康星|衣阿华|新泽西</t>
  </si>
  <si>
    <t>威斯康星|密苏里|新泽西|衣阿华</t>
  </si>
  <si>
    <t>九七式舰攻（80番）</t>
  </si>
  <si>
    <t>增加20%护甲穿透（同类弹药效果只生效一个）
铝耗4</t>
  </si>
  <si>
    <t>加贺(改)|瑞鹤(改)|翔鹤(改)|苍龙(改)|赤城(改)|飞龙(改)</t>
  </si>
  <si>
    <t>三年式E1高角炮</t>
  </si>
  <si>
    <t>对空补正35%
对空倍率1.6</t>
  </si>
  <si>
    <t>萨博S.17BS</t>
  </si>
  <si>
    <t>天河</t>
  </si>
  <si>
    <t>航母|装母|调谐</t>
  </si>
  <si>
    <t>信浓|信浓(改)</t>
  </si>
  <si>
    <t>MK.16三联8英寸自动炮</t>
  </si>
  <si>
    <t>德梅因|纽波特纽斯|萨勒姆|重巡Ω级Ⅳ型</t>
  </si>
  <si>
    <t>快递箱</t>
  </si>
  <si>
    <t>轰隆轰隆大作战限时任务“先进武器夺取作战”奖励</t>
  </si>
  <si>
    <t>小提姆火箭弹</t>
  </si>
  <si>
    <t>装备时，增加10%开幕轰炸攻击力</t>
  </si>
  <si>
    <t>航巡|航巡+|航战|航母|装母|调谐|轻母</t>
  </si>
  <si>
    <t>轰隆轰隆大作战E7奖励；70战利品兑换</t>
  </si>
  <si>
    <t>HE-119</t>
  </si>
  <si>
    <t>轰隆轰隆大作战E1奖励；70战利品兑换</t>
  </si>
  <si>
    <t>F2H报丧女妖</t>
  </si>
  <si>
    <t>铝耗8</t>
  </si>
  <si>
    <t>Shōkaku(改)</t>
  </si>
  <si>
    <t>轰隆轰隆大作战E4奖励；100战利品兑换</t>
  </si>
  <si>
    <t>F7F虎猫</t>
  </si>
  <si>
    <t>轰隆轰隆大作战E3奖励；60战利品兑换</t>
  </si>
  <si>
    <t>U国三联14英寸炮（改）</t>
  </si>
  <si>
    <t>S国三联406毫米炮</t>
  </si>
  <si>
    <t>F国DRBC火控雷达</t>
  </si>
  <si>
    <t>大巡|大巡-|导战|战列|战巡|航巡|航巡+|航战|调谐|轻巡|重巡|重炮|雷巡</t>
  </si>
  <si>
    <t>PAT-52火箭鱼雷</t>
  </si>
  <si>
    <t>航空战阶段增加10%鱼雷机命中率，炮击战阶段增加5%命中率</t>
  </si>
  <si>
    <t>炮火弧线防御作战E4奖励；50战利品兑换</t>
  </si>
  <si>
    <t>图-91</t>
  </si>
  <si>
    <t>炮火弧线防御作战E2奖励；70战利品兑换</t>
  </si>
  <si>
    <t>FFF动力炸弹</t>
  </si>
  <si>
    <t>航空战阶段增加20%鱼雷机命中率</t>
  </si>
  <si>
    <t>2017年情人节限时任务“爱她就跟她誓约吧！”奖励、45战利品兑换</t>
  </si>
  <si>
    <t>上游-1发射器</t>
  </si>
  <si>
    <t>发射器(反舰)</t>
  </si>
  <si>
    <t>导战|导驱|调谐</t>
  </si>
  <si>
    <t>Zumwalt|Zumwalt(改)|导驱au级Ⅲ型|苏赫巴托尔(改)|长春(改)|鞍山</t>
  </si>
  <si>
    <t>上游-1导弹</t>
  </si>
  <si>
    <t>反舰导弹</t>
  </si>
  <si>
    <t>增加10%护甲穿透效果
铝耗10</t>
  </si>
  <si>
    <t>Zumwalt|Zumwalt(改)|苏赫巴托尔(改)|长春(改)|鞍山</t>
  </si>
  <si>
    <t>MK-10导弹发射器</t>
  </si>
  <si>
    <t>发射器(防空)</t>
  </si>
  <si>
    <t>大巡|大巡-|调谐|防驱</t>
  </si>
  <si>
    <t>关岛(改)|加里波第(改)|查尔斯·亚当斯|防驱be级Ⅲ型</t>
  </si>
  <si>
    <t>小猎犬导弹</t>
  </si>
  <si>
    <t>防空导弹</t>
  </si>
  <si>
    <t>对空补正73%
对空倍率3.7
铝耗9</t>
  </si>
  <si>
    <t>关岛(改)|加里波第(改)|防驱be级Ⅲ型</t>
  </si>
  <si>
    <t>合味道</t>
  </si>
  <si>
    <t>66战利品兑换</t>
  </si>
  <si>
    <t>D.790</t>
  </si>
  <si>
    <t>贝亚恩|霞飞</t>
  </si>
  <si>
    <t>BR.810</t>
  </si>
  <si>
    <t>LN.401</t>
  </si>
  <si>
    <t>青霜</t>
  </si>
  <si>
    <t>瑞鹤(改)|飞龙(改)</t>
  </si>
  <si>
    <t>G国三联203毫米炮</t>
  </si>
  <si>
    <t>重巡Ω级Ⅲ型|重巡Ω级Ⅳ型</t>
  </si>
  <si>
    <t>决战无畏之海E1奖励；50战利品兑换</t>
  </si>
  <si>
    <t>“火把”鱼雷战斗机</t>
  </si>
  <si>
    <t>决战无畏之海E3奖励；60战利品兑换</t>
  </si>
  <si>
    <t>新型高压锅炉</t>
  </si>
  <si>
    <t>迷路的运输舰</t>
  </si>
  <si>
    <t>决战无畏之海E5奖励；50战利品兑换</t>
  </si>
  <si>
    <t>对空倍率2</t>
  </si>
  <si>
    <t>Z46|Z46(改)</t>
  </si>
  <si>
    <t>C-301反舰导弹</t>
  </si>
  <si>
    <t>增加15%护甲穿透效果
铝耗13</t>
  </si>
  <si>
    <t>Zumwalt</t>
  </si>
  <si>
    <t>SR.A/1水上战斗机</t>
  </si>
  <si>
    <t>30战利品兑换</t>
  </si>
  <si>
    <t>“企鹅”反舰导弹</t>
  </si>
  <si>
    <t>增加5%护甲穿透效果
铝耗4</t>
  </si>
  <si>
    <t>导驱au级Ⅲ型</t>
  </si>
  <si>
    <t>20战利品兑换</t>
  </si>
  <si>
    <t>I国三联381毫米炮改</t>
  </si>
  <si>
    <t>战列Μ级Ⅱ型|战巡Κ级Ⅱ型|旗舰Ν级Ⅰ型|旗舰Ν级Ⅱ型|维内托(改)</t>
  </si>
  <si>
    <t>J国短管单装20厘米炮</t>
  </si>
  <si>
    <t>铁底湾珍品保卫战E1奖励；40战利品兑换</t>
  </si>
  <si>
    <t>U国双联12英寸炮（CB）</t>
  </si>
  <si>
    <t>铁底湾珍品保卫战E3奖励；65战利品兑换</t>
  </si>
  <si>
    <t>对空倍率2.2</t>
  </si>
  <si>
    <t>RE.2001</t>
  </si>
  <si>
    <t>天鹰|帝国|鹞鹰</t>
  </si>
  <si>
    <t>G.55S</t>
  </si>
  <si>
    <t>天鹰|帝国|帝国(改)|鹞鹰</t>
  </si>
  <si>
    <t>533毫米2-н鱼雷</t>
  </si>
  <si>
    <t>47工程|基辅|塔什干(改)|摩尔曼斯克(改)</t>
  </si>
  <si>
    <t>大青花鱼鱼雷机</t>
  </si>
  <si>
    <t>不挠|可畏</t>
  </si>
  <si>
    <t>海流星战斗机</t>
  </si>
  <si>
    <t>最长一役E4奖励；95战利品兑换</t>
  </si>
  <si>
    <t>海怒战斗机</t>
  </si>
  <si>
    <t>最长一役E2奖励；85战利品兑换</t>
  </si>
  <si>
    <t>喷火.9374</t>
  </si>
  <si>
    <t>最后一役E8奖励；30战利品兑换</t>
  </si>
  <si>
    <t>MK.N6双联4.5英寸炮</t>
  </si>
  <si>
    <t>对空倍率2.4</t>
  </si>
  <si>
    <t>卫士|巴夫勒尔(改)|海王星</t>
  </si>
  <si>
    <t>E国18英寸双联主炮</t>
  </si>
  <si>
    <t>对空补正35%</t>
  </si>
  <si>
    <t>最长一役E1奖励；80战利品兑换</t>
  </si>
  <si>
    <t>敦刻尔克|斯特拉斯堡</t>
  </si>
  <si>
    <t>暗夜女巫</t>
  </si>
  <si>
    <t>2017年10月31日-11月2日期间完成任务“声望的试炼”奖励；50战利品兑换</t>
  </si>
  <si>
    <t>飞翔的怀特</t>
  </si>
  <si>
    <t>2017年10月31日-11月2日期间完成任务“不招待就导弹”奖励；50战利品兑换</t>
  </si>
  <si>
    <t>乌戈里尼·维瓦尔迪(改)|安东尼奥·达诺利(改)</t>
  </si>
  <si>
    <t>I国单装135炮</t>
  </si>
  <si>
    <t>S国СМ-20-ЗИФ四联45毫米高炮</t>
  </si>
  <si>
    <t>不惧|塔林(改)|摩尔曼斯克(改)|斯大林格勒|莫斯科</t>
  </si>
  <si>
    <t>对空补正45%
对空倍率3.1</t>
  </si>
  <si>
    <t>七省联盟|德格拉斯</t>
  </si>
  <si>
    <t>对空补正45%
对空倍率2.4</t>
  </si>
  <si>
    <t>德格拉斯|马伊·布雷泽</t>
  </si>
  <si>
    <t>MK-12火控雷达</t>
  </si>
  <si>
    <t>对空补正60%
对空倍率3.4</t>
  </si>
  <si>
    <t>急速东方快车(2017年冬活)E1奖励；70战利品兑换</t>
  </si>
  <si>
    <t>G国海军马桶</t>
  </si>
  <si>
    <t>F8F熊猫</t>
  </si>
  <si>
    <t>61厘米四连F3试制鱼雷</t>
  </si>
  <si>
    <t>急速东方快车(2017年冬活)E3奖励；60战利品兑换</t>
  </si>
  <si>
    <t>F4U-7</t>
  </si>
  <si>
    <t>洛克希德“天狼星”</t>
  </si>
  <si>
    <t>铝耗2</t>
  </si>
  <si>
    <t>伟大的庞贝|阿非利加征服者西庇阿</t>
  </si>
  <si>
    <t>神秘电子设备</t>
  </si>
  <si>
    <t>雪崩计划获得100点强袭点数奖励；30战利品兑换</t>
  </si>
  <si>
    <t>S国改良型三联180毫米炮</t>
  </si>
  <si>
    <t>雪崩计划获得200点强袭点数奖励；45战利品兑换</t>
  </si>
  <si>
    <t>F国M1920型三联450毫米主炮</t>
  </si>
  <si>
    <t>雪崩计划获得400点强袭点数奖励；85战利品兑换</t>
  </si>
  <si>
    <t>波音218（罗伯特·肖特）</t>
  </si>
  <si>
    <t>铝耗3</t>
  </si>
  <si>
    <t>40战利品兑换</t>
  </si>
  <si>
    <t>“海猫”近程舰对空导弹</t>
  </si>
  <si>
    <t>对空补正50%
对空倍率3.3</t>
  </si>
  <si>
    <t>85战利品兑换</t>
  </si>
  <si>
    <t>萤火虫AS.MK5</t>
  </si>
  <si>
    <t>山城(改)|长门(改)</t>
  </si>
  <si>
    <t>克莱夫勋爵|暴怒</t>
  </si>
  <si>
    <t>PBJ轰炸机</t>
  </si>
  <si>
    <t>航母Ο级Ⅳ型</t>
  </si>
  <si>
    <t>所罗门之晓E4奖励；70战利品兑换</t>
  </si>
  <si>
    <t>第23驱逐舰中队战旗</t>
  </si>
  <si>
    <t>所罗门之晓E9奖励；65战利品兑换</t>
  </si>
  <si>
    <t>MK13火控雷达</t>
  </si>
  <si>
    <t>所罗门之晓E2奖励；70战利品兑换</t>
  </si>
  <si>
    <t>MK16三联6英寸炮（消焰）</t>
  </si>
  <si>
    <t>所罗门之晓E1奖励；40战利品兑换</t>
  </si>
  <si>
    <t>S国三联СМ-40型220毫米炮</t>
  </si>
  <si>
    <t>S国СМ-5-1双联100毫米高炮</t>
  </si>
  <si>
    <t>塔林(改)|库图佐夫|捷尔任斯基|斯维尔德洛夫|轻巡ei级Ⅰ型</t>
  </si>
  <si>
    <t>P-51（阅兵典礼）</t>
  </si>
  <si>
    <t>Ar国双联24厘米炮</t>
  </si>
  <si>
    <t>圣盾作战200点数兑换；50战利品兑换</t>
  </si>
  <si>
    <t>G7es声导鱼雷</t>
  </si>
  <si>
    <t>潜艇Π级Ⅳ型</t>
  </si>
  <si>
    <t>圣盾作战600点数兑换；80战利品兑换</t>
  </si>
  <si>
    <t>萨博08反舰导弹</t>
  </si>
  <si>
    <t>圣盾作战900点数兑换；50战利品兑换</t>
  </si>
  <si>
    <t>海斗士战斗机（信念号）</t>
  </si>
  <si>
    <t>圣盾作战1100点数兑换；40战利品兑换</t>
  </si>
  <si>
    <t>I国双联45.7厘米炮</t>
  </si>
  <si>
    <t>圣盾作战700点数兑换；85战利品兑换</t>
  </si>
  <si>
    <t>蜘蛛手套</t>
  </si>
  <si>
    <t>战斗结束获得经验增加1%（装备之间不叠加）</t>
  </si>
  <si>
    <t>2018年7月8日完成任务“手套”奖励；20战利品兑换</t>
  </si>
  <si>
    <t>奇迹球鞋</t>
  </si>
  <si>
    <t>2018年7月8日完成任务“球鞋”奖励；20战利品兑换</t>
  </si>
  <si>
    <t>蓝色战袍</t>
  </si>
  <si>
    <t>2018年7月8日完成任务“球衣”奖励；20战利品兑换</t>
  </si>
  <si>
    <t>红黑球袜</t>
  </si>
  <si>
    <t>2018年7月8日完成任务“球袜”奖励；20战利品兑换</t>
  </si>
  <si>
    <t>F4U（足球战争）</t>
  </si>
  <si>
    <t>消声瓦</t>
  </si>
  <si>
    <t>50战利品兑换</t>
  </si>
  <si>
    <t>“狗鱼”反舰导弹</t>
  </si>
  <si>
    <t>S国ЗИФ-75四联57毫米高炮</t>
  </si>
  <si>
    <t>对空倍率3.2</t>
  </si>
  <si>
    <t>对空补正30%
对空倍率2.8</t>
  </si>
  <si>
    <t>СМ-59-1发射架</t>
  </si>
  <si>
    <t>AM-1“拳击手”</t>
  </si>
  <si>
    <t>J国双联长管46厘米主炮</t>
  </si>
  <si>
    <t>对空补正30%</t>
  </si>
  <si>
    <t>幻想舰队歼灭作战重制E3奖励；70战利品兑换</t>
  </si>
  <si>
    <t>“旗鱼”攻击机</t>
  </si>
  <si>
    <t>250功勋兑换</t>
  </si>
  <si>
    <t>九五式2型鱼雷（潜艇）</t>
  </si>
  <si>
    <t>空射火箭弹</t>
  </si>
  <si>
    <t>装备时，增加5%开幕轰炸攻击力，炮击战阶段增加5%命中率</t>
  </si>
  <si>
    <t>200功勋兑换</t>
  </si>
  <si>
    <t>TBD-1A</t>
  </si>
  <si>
    <t>航空战阶段增加10%鱼雷机命中率
铝耗5</t>
  </si>
  <si>
    <t>35战利品兑换</t>
  </si>
  <si>
    <t>РБУ-2500反潜火箭弹</t>
  </si>
  <si>
    <t>九三式3型鱼雷（四联）</t>
  </si>
  <si>
    <t>钢铁启示录E1奖励；60战利品兑换</t>
  </si>
  <si>
    <t>F9F“黑豹”</t>
  </si>
  <si>
    <t>钢铁启示录E4奖励；85战利品兑换</t>
  </si>
  <si>
    <t>TBM-3W</t>
  </si>
  <si>
    <t>降低敌方航空战阶段10%命中率
铝耗6</t>
  </si>
  <si>
    <t>钢铁启示录E3奖励；65战利品兑换</t>
  </si>
  <si>
    <t>U国三联18英寸炮</t>
  </si>
  <si>
    <t>钢铁启示录E7奖励；75战利品兑换</t>
  </si>
  <si>
    <t>液压弹射器</t>
  </si>
  <si>
    <t>钢铁启示录E9奖励；70战利品兑换</t>
  </si>
  <si>
    <t>U国双联背负式12/8英寸炮</t>
  </si>
  <si>
    <t>重巡Ι级Ⅲ型</t>
  </si>
  <si>
    <t>钢铁启示录E6宝箱奖励；70战利品兑换</t>
  </si>
  <si>
    <t>“塘鹅”</t>
  </si>
  <si>
    <t>钢铁启示录E3宝箱奖励；75战利品兑换</t>
  </si>
  <si>
    <t>特制穿甲弹</t>
  </si>
  <si>
    <t>获得经验值提升7%（装备之间不叠加）</t>
  </si>
  <si>
    <t>钢铁启示录E8宝箱奖励；85战利品兑换</t>
  </si>
  <si>
    <t>鱼雷方位盘</t>
  </si>
  <si>
    <t>鱼雷战阶段增加10%命中率</t>
  </si>
  <si>
    <t>钢铁启示录E3宝箱奖励；70战利品兑换</t>
  </si>
  <si>
    <t>荣誉蓝丝带</t>
  </si>
  <si>
    <t>钢铁启示录E5宝箱奖励；40战利品兑换</t>
  </si>
  <si>
    <t>U国MK16DP双联6英寸高射炮</t>
  </si>
  <si>
    <t>对空补正30%
对空倍率2.7</t>
  </si>
  <si>
    <t>伍斯特|轻巡ei级Ⅱ型|轻巡ei级Ⅲ型</t>
  </si>
  <si>
    <t>TapTap冰淇淋</t>
  </si>
  <si>
    <t>2018年9月23日-10月21日期间完成任务“TapTap冰淇淋”奖励</t>
  </si>
  <si>
    <t>E国防空火箭弹</t>
  </si>
  <si>
    <t>降低敌方航空战阶段10%鱼雷机命中率</t>
  </si>
  <si>
    <t>通气管（潜艇）</t>
  </si>
  <si>
    <t>获得经验值提升5%（装备之间不叠加）</t>
  </si>
  <si>
    <t>万圣夜蝙蝠</t>
  </si>
  <si>
    <t>2018年11月万圣节任务奖励</t>
  </si>
  <si>
    <t>糖果捣蛋</t>
  </si>
  <si>
    <t>J国六联61厘米鱼雷</t>
  </si>
  <si>
    <t>早春|早春(改)</t>
  </si>
  <si>
    <t>E国三联6英寸高平两用炮</t>
  </si>
  <si>
    <t>F4F（约翰·萨奇）</t>
  </si>
  <si>
    <t>首次改造约克城后邮件赠送</t>
  </si>
  <si>
    <t>по-2（588航空团）</t>
  </si>
  <si>
    <t>剑鱼（厌战）</t>
  </si>
  <si>
    <t>TBF（乔治·布什）</t>
  </si>
  <si>
    <t>圣哈辛托（决战九段坂强袭点数200点奖励）自带</t>
  </si>
  <si>
    <t>E国三联18英寸主炮（K）</t>
  </si>
  <si>
    <t>Derfflinger</t>
  </si>
  <si>
    <t>决战九段坂450pt奖励</t>
  </si>
  <si>
    <t>一式穿甲弹</t>
  </si>
  <si>
    <t>增加25%护甲穿透（同类弹药效果只生效一个）</t>
  </si>
  <si>
    <t>Cyou-yamato(改)|Erika|Erika(改)|Monitor|Monitor(改)|No.13 Battleship|No.13 Battleship(改)|β·401|β·401(改)|战巡Κ级Ⅲ型|战巡Κ级Ⅳ型</t>
  </si>
  <si>
    <t>决战九段坂750pt奖励；75战利品兑换</t>
  </si>
  <si>
    <t>瑞云12型</t>
  </si>
  <si>
    <t>决战九段坂100pt奖励；65战利品兑换</t>
  </si>
  <si>
    <t>惑星</t>
  </si>
  <si>
    <t>航母Ο级Ⅱ型|轻母Ξ级Ⅱ型</t>
  </si>
  <si>
    <t>决战九段坂1000pt奖励；70战利品兑换</t>
  </si>
  <si>
    <t>S国三联240毫米炮</t>
  </si>
  <si>
    <t>重巡Ω级Ⅳ型</t>
  </si>
  <si>
    <t>决战九段坂300pt奖励；65战利品兑换</t>
  </si>
  <si>
    <t>F4U（冰淇淋）</t>
  </si>
  <si>
    <t>获得经验值提升5%（装备之间不叠加）
铝耗5</t>
  </si>
  <si>
    <t>2018年12月圣诞节任务奖励</t>
  </si>
  <si>
    <t>XFV-1垂直起降战机</t>
  </si>
  <si>
    <t>上游-1甲</t>
  </si>
  <si>
    <t>增加10%护甲穿透（同类弹药效果只生效一个）
铝耗10</t>
  </si>
  <si>
    <t>试制四联41厘米主炮</t>
  </si>
  <si>
    <t>Cyou-yamato</t>
  </si>
  <si>
    <t>地狱群岛攻略作战重制E1奖励；70战利品兑换</t>
  </si>
  <si>
    <t>烈风改J</t>
  </si>
  <si>
    <t>降低敌方航空战阶段5%命中率
铝耗5</t>
  </si>
  <si>
    <t>地狱群岛攻略作战重制E2奖励；75战利品兑换</t>
  </si>
  <si>
    <t>潜用SJ雷达</t>
  </si>
  <si>
    <t>地狱群岛攻略作战重制E3奖励；70战利品兑换</t>
  </si>
  <si>
    <t>双联5英寸平高两用炮（RAT）</t>
  </si>
  <si>
    <t>跨越静海E1奖励；65战利品兑换</t>
  </si>
  <si>
    <t>A2D天鲨</t>
  </si>
  <si>
    <t>Erika|Erika(改)|Shōkaku(改)|旗舰Ν级Ⅰ型|航母Ο级Ⅲ型|航母Ο级Ⅳ型|苏赫巴托尔|苏赫巴托尔(改)|轻母Ξ级Ⅲ型</t>
  </si>
  <si>
    <t>跨越静海E3宝箱奖励；75战利品兑换</t>
  </si>
  <si>
    <t>АК-230</t>
  </si>
  <si>
    <t>对空补正25%
对空倍率3</t>
  </si>
  <si>
    <t>跨越静海E2奖励</t>
  </si>
  <si>
    <t>九二式鱼雷发射器（3型）</t>
  </si>
  <si>
    <t>雷巡Θ级Ⅲ型</t>
  </si>
  <si>
    <t>跨越静海E1宝箱奖励；60战利品兑换</t>
  </si>
  <si>
    <t>Me.P1099</t>
  </si>
  <si>
    <t>跨越静海E3奖励；70战利品兑换</t>
  </si>
  <si>
    <t>超级马林S.6</t>
  </si>
  <si>
    <t>2019年1月30日-2月20日跨越静海活动期间完成任务“城堡”中的“睡美人”奖励</t>
  </si>
  <si>
    <t>六联533毫米鱼雷发射器</t>
  </si>
  <si>
    <t>跨越静海E8奖励；70战利品兑换</t>
  </si>
  <si>
    <t>多层装甲</t>
  </si>
  <si>
    <t>跨越静海E9奖励；70战利品兑换</t>
  </si>
  <si>
    <t>U国双联20英寸主炮</t>
  </si>
  <si>
    <t>Derfflinger(改)</t>
  </si>
  <si>
    <t>跨越静海E6宝箱奖励；75战利品兑换</t>
  </si>
  <si>
    <t>SP指示雷达</t>
  </si>
  <si>
    <t>对空补正75%
对空倍率3.3</t>
  </si>
  <si>
    <t>跨越静海E4宝箱奖励；60战利品兑换</t>
  </si>
  <si>
    <t>仅限圣乔治装备</t>
  </si>
  <si>
    <t>圣乔治|圣乔治(改)</t>
  </si>
  <si>
    <t>C-1</t>
  </si>
  <si>
    <t>装备时，远征获得的资源增加5%
铝耗5</t>
  </si>
  <si>
    <t>舰载火箭弹</t>
  </si>
  <si>
    <t>65战利品兑换</t>
  </si>
  <si>
    <t>QH-50反潜无人机</t>
  </si>
  <si>
    <t>55战利品兑换</t>
  </si>
  <si>
    <t>PBJ-1J轰炸机</t>
  </si>
  <si>
    <t>鞑靼人防空导弹</t>
  </si>
  <si>
    <t>对空补正70%
对空倍率3.9
铝耗8</t>
  </si>
  <si>
    <t>F国单装27厘米炮</t>
  </si>
  <si>
    <t>熔炉大混战E1奖励；60战利品兑换</t>
  </si>
  <si>
    <t>FW-190A5/U14</t>
  </si>
  <si>
    <t>熔炉大混战E2奖励；65战利品兑换</t>
  </si>
  <si>
    <t>XBTC</t>
  </si>
  <si>
    <t>熔炉大混战E3奖励；60战利品兑换(限购买2次)</t>
  </si>
  <si>
    <t>U国18英寸主炮（三联）</t>
  </si>
  <si>
    <t>Monitor</t>
  </si>
  <si>
    <t>熔炉大混战E5奖励；75战利品兑换(限购买1次)</t>
  </si>
  <si>
    <t>弗里茨X</t>
  </si>
  <si>
    <t>装备时，增加20%开幕轰炸攻击力</t>
  </si>
  <si>
    <t>熔炉大混战E6奖励；70战利品兑换(限购买1次)</t>
  </si>
  <si>
    <t>SG雷达（CL-50）</t>
  </si>
  <si>
    <t>熔炉大混战E12奖励；55战利品兑换</t>
  </si>
  <si>
    <t>M4A2谢尔曼</t>
  </si>
  <si>
    <t>2019年愚人节期间完成任务“愚人节建造”奖励</t>
  </si>
  <si>
    <t>流星（弹射）</t>
  </si>
  <si>
    <t>呯呯炮（282）</t>
  </si>
  <si>
    <t>奥托双联76毫米速射炮</t>
  </si>
  <si>
    <t>对空补正40%
对空倍率3.2</t>
  </si>
  <si>
    <t>帕斯塔战役复刻E1奖励；70战利品兑换(限购买1次)</t>
  </si>
  <si>
    <t>JU-87（地中海）</t>
  </si>
  <si>
    <t>增加15%护甲穿透（同类弹药效果只生效一个）
铝耗6</t>
  </si>
  <si>
    <t>帕斯塔战役复刻E2奖励；65战利品兑换(限拥有1个)</t>
  </si>
  <si>
    <t>E国双联15英寸炮（284）</t>
  </si>
  <si>
    <t>帕斯塔战役复刻E3奖励；70战利品兑换(限拥有1个)</t>
  </si>
  <si>
    <t>海参防空导弹</t>
  </si>
  <si>
    <t>对空补正65%
对空倍率3.7
铝耗9</t>
  </si>
  <si>
    <t>海参导弹发射系统</t>
  </si>
  <si>
    <t>格拉摩根|苏赫巴托尔</t>
  </si>
  <si>
    <t>黄铜骑士防空导弹</t>
  </si>
  <si>
    <t>防空导弹(大型)</t>
  </si>
  <si>
    <t>对空补正78%
对空倍率3.8
铝耗10</t>
  </si>
  <si>
    <t>大巡|大巡-|调谐</t>
  </si>
  <si>
    <t>MK12导弹发射系统</t>
  </si>
  <si>
    <t>СМ-24-ЗИФ双联57毫米高炮</t>
  </si>
  <si>
    <t>对空补正38%
对空倍率3</t>
  </si>
  <si>
    <t>黄铜骑士H</t>
  </si>
  <si>
    <t>对空补正60%
对空倍率3
铝耗9</t>
  </si>
  <si>
    <t>三年式20厘米炮（一四式方位盘）</t>
  </si>
  <si>
    <t>炮击战阶段增加10%攻击上限（同类弹药效果只会生效一个）
仅限J国舰船装备</t>
  </si>
  <si>
    <t>J国|旗舰|未知|机场|港口|航巡|航巡+|要塞|调谐|重巡</t>
  </si>
  <si>
    <t>S国三联СМ-31型305毫米主炮</t>
  </si>
  <si>
    <t>“白蚁”M反舰导弹</t>
  </si>
  <si>
    <t>КТ-15М-БРК发射器</t>
  </si>
  <si>
    <t>ЧТА-53-1135鱼雷发射器</t>
  </si>
  <si>
    <t>沸腾的大洋300pt奖励；75战利品兑换(限购买1次)</t>
  </si>
  <si>
    <t>船载弹射战斗机</t>
  </si>
  <si>
    <t>沸腾的大洋100pt奖励；50战利品兑换(限购买2次)</t>
  </si>
  <si>
    <t>G国48厘米双联主炮（43）</t>
  </si>
  <si>
    <t>沸腾的大洋600pt奖励;75战利品兑换(限拥有1个)</t>
  </si>
  <si>
    <t>SBD(VS10)</t>
  </si>
  <si>
    <t>震电改</t>
  </si>
  <si>
    <t>NC.1071攻击机</t>
  </si>
  <si>
    <t>75战利品兑换</t>
  </si>
  <si>
    <t>БР-482炮弹</t>
  </si>
  <si>
    <t>战斗结束获得经验增加7%（装备之间不叠加）</t>
  </si>
  <si>
    <t>彗星（誉）</t>
  </si>
  <si>
    <t>中间岛战役复刻E1奖励;60战利品兑换(限购买1次)</t>
  </si>
  <si>
    <t>5英寸高平两用炮（MK4）</t>
  </si>
  <si>
    <t>对空补正55%
对空倍率3</t>
  </si>
  <si>
    <t>中间岛战役复刻E2奖励;65战利品兑换(限购买1次)</t>
  </si>
  <si>
    <t>SBD（百思特）</t>
  </si>
  <si>
    <t>中间岛战役复刻E3奖励</t>
  </si>
  <si>
    <t>标准-1</t>
  </si>
  <si>
    <t>对空补正70%
对空倍率4
铝耗8</t>
  </si>
  <si>
    <t>MK13导弹发射系统</t>
  </si>
  <si>
    <t>507B迷彩（蒙巴顿粉）</t>
  </si>
  <si>
    <t>FW190(BT)</t>
  </si>
  <si>
    <t>特四式内火艇</t>
  </si>
  <si>
    <t>Ка-15</t>
  </si>
  <si>
    <t>E国双联9.2英寸炮（ACR）</t>
  </si>
  <si>
    <t>战争协奏曲100分奖励;60战利品兑换(限购买2次)</t>
  </si>
  <si>
    <t>雄鹰302乙</t>
  </si>
  <si>
    <t>战争协奏曲600分奖励;75战利品兑换(限购买1次)</t>
  </si>
  <si>
    <t>S国三联460毫米炮</t>
  </si>
  <si>
    <t>Cyou-yamato(改)|Monitor</t>
  </si>
  <si>
    <t>战争协奏曲800分奖励;75战利品兑换(限购买1次)</t>
  </si>
  <si>
    <t>潜用快速装填系统</t>
  </si>
  <si>
    <t>潜艇Ρ级Ⅳ型</t>
  </si>
  <si>
    <t>战争协奏曲500分奖励;65战利品兑换(限购买1次)</t>
  </si>
  <si>
    <t>箱式标准-1</t>
  </si>
  <si>
    <t>对空补正70%
对空倍率4
铝耗7</t>
  </si>
  <si>
    <t>战争协奏曲1600分奖励;65战利品兑换(限购买1次)</t>
  </si>
  <si>
    <t>阿尔法反潜武器</t>
  </si>
  <si>
    <t>驱逐Α级Ⅲ型|驱逐Δ级Ⅳ型</t>
  </si>
  <si>
    <t>战争协奏曲200分奖励;60战利品兑换(限购买2次)</t>
  </si>
  <si>
    <t>MK12型5英寸舰炮</t>
  </si>
  <si>
    <t>对空补正55%
对空倍率2.9</t>
  </si>
  <si>
    <t>战争协奏曲300分奖励</t>
  </si>
  <si>
    <t>MK6三联16英寸主炮（mk8）</t>
  </si>
  <si>
    <t>战争协奏曲900分奖励;75战利品兑换(限购买1次)</t>
  </si>
  <si>
    <t>F3D</t>
  </si>
  <si>
    <t>降低敌方航空战阶段15%命中率
铝耗8</t>
  </si>
  <si>
    <t>战争协奏曲1200分奖励;75战利品兑换(限拥有1个)</t>
  </si>
  <si>
    <t>H-34直升机（武装）</t>
  </si>
  <si>
    <t>AR-231潜载侦察机</t>
  </si>
  <si>
    <t>天袭者</t>
  </si>
  <si>
    <t>2019年万圣节任务"百鬼夜行"奖励</t>
  </si>
  <si>
    <t>暗夜袭击艇</t>
  </si>
  <si>
    <t>2019年万圣节任务"来访者"奖励</t>
  </si>
  <si>
    <t>仅限阿金库尔装备</t>
  </si>
  <si>
    <t>帝国(改)|齐柏林伯爵(改)</t>
  </si>
  <si>
    <t>HA-139</t>
  </si>
  <si>
    <t>T-2V海星</t>
  </si>
  <si>
    <t>271雷达</t>
  </si>
  <si>
    <t>女武神行动复刻E2奖励;65战利品兑换(限购买2次)</t>
  </si>
  <si>
    <t>双联380毫米主炮（SKC/34）</t>
  </si>
  <si>
    <t>女武神行动复刻E3奖励;75战利品兑换(限拥有1个)</t>
  </si>
  <si>
    <t>“海鸥”侦察机</t>
  </si>
  <si>
    <t>400功勋兑换</t>
  </si>
  <si>
    <t>潜用Fat鱼雷</t>
  </si>
  <si>
    <t>潜艇Π级Ⅲ型|潜艇Ρ级Ⅲ型|潜艇Ρ级Ⅳ型</t>
  </si>
  <si>
    <t>女武神行动复刻E1奖励;70战利品兑换(限购买1次)</t>
  </si>
  <si>
    <t>E国四联14英寸主炮（284）</t>
  </si>
  <si>
    <t>2019年12月25日-12月31日期间完成任务“神圣的休战日”奖励</t>
  </si>
  <si>
    <t>F6F（102）</t>
  </si>
  <si>
    <t>2020年1月1日-1月7日期间完成任务“演习就是战场”奖励</t>
  </si>
  <si>
    <t>四联零式72厘米鱼雷</t>
  </si>
  <si>
    <t>博福斯双联120毫米炮</t>
  </si>
  <si>
    <t>对空补正50%
对空倍率2.5</t>
  </si>
  <si>
    <t>5英寸L54双联高平两用炮</t>
  </si>
  <si>
    <t>对空补正50%
对空倍率2.6</t>
  </si>
  <si>
    <t>极地奏鸣曲200分奖励;65战利品兑换(限购买2次)</t>
  </si>
  <si>
    <t>MK27鱼雷</t>
  </si>
  <si>
    <t>极地奏鸣曲300分奖励;70战利品兑换(限购买1次)</t>
  </si>
  <si>
    <t>XA2J</t>
  </si>
  <si>
    <t>Erika|Erika(改)|Shōkaku(改)</t>
  </si>
  <si>
    <t>极地奏鸣曲900分奖励;85战利品兑换(限购买1次)</t>
  </si>
  <si>
    <t>海吸血鬼（弹性甲板）</t>
  </si>
  <si>
    <t>极地奏鸣曲600分奖励;85战利品兑换(限拥有1个)</t>
  </si>
  <si>
    <t>小猎犬F</t>
  </si>
  <si>
    <t>对空补正75%
对空倍率3.8
铝耗8</t>
  </si>
  <si>
    <t>极地奏鸣曲500分奖励;75战利品兑换(限购买1次)</t>
  </si>
  <si>
    <t>潜用减震浮筏</t>
  </si>
  <si>
    <t>潜艇Π级Ⅲ型|潜艇Ρ级Ⅲ型</t>
  </si>
  <si>
    <t>极地奏鸣曲100分奖励;65战利品兑换(限购买2次)</t>
  </si>
  <si>
    <t>E国双联3英寸速射炮</t>
  </si>
  <si>
    <t>褰裳菁华黎明任务奖励</t>
  </si>
  <si>
    <t>E国18英寸主炮（M）</t>
  </si>
  <si>
    <t>极地奏鸣曲700分奖励;75战利品兑换(限购买1次)</t>
  </si>
  <si>
    <t>Br.960</t>
  </si>
  <si>
    <t>黄蜂直升机（AS.12）</t>
  </si>
  <si>
    <t>鱼雷再装填系统</t>
  </si>
  <si>
    <t>轰隆隆大作战复刻E1奖励;75战利品兑换(限拥有1个)</t>
  </si>
  <si>
    <t>三联高平两用主炮（六英寸）</t>
  </si>
  <si>
    <t>轰隆隆大作战复刻E2奖励; 70战利品兑换(限购买1次)</t>
  </si>
  <si>
    <t>试制甲炮</t>
  </si>
  <si>
    <t>Cyou-yamato|Cyou-yamato(改)|Monitor(改)|No.13 Battleship|No.13 Battleship(改)|β·401|β·401(改)</t>
  </si>
  <si>
    <t>轰隆隆大作战复刻E3奖励</t>
  </si>
  <si>
    <t>XF8B</t>
  </si>
  <si>
    <t>轰隆隆大作战复刻E4奖励;75战利品兑换(限购买1次)</t>
  </si>
  <si>
    <t>舰体炫目迷彩</t>
  </si>
  <si>
    <t>神秘武器</t>
  </si>
  <si>
    <t>轰隆隆大作战复刻E6奖励</t>
  </si>
  <si>
    <t>仮装九四式四十厘三联主炮（可回收物）</t>
  </si>
  <si>
    <t>2020愚人节任务奖励</t>
  </si>
  <si>
    <t>博福斯375毫米反潜火箭</t>
  </si>
  <si>
    <t xml:space="preserve">65战利品兑换(限购买1次)
</t>
  </si>
  <si>
    <t>PZL M-15</t>
  </si>
  <si>
    <t>装备时，远征获得的资源增加5%
铝耗4</t>
  </si>
  <si>
    <t>65战利品兑换(限购买1次)</t>
  </si>
  <si>
    <t>SO雷达</t>
  </si>
  <si>
    <t>扑火之蛾E1奖励</t>
  </si>
  <si>
    <t>试制三十厘主炮</t>
  </si>
  <si>
    <t>扑火之蛾E2奖励</t>
  </si>
  <si>
    <t>超战舰三联主炮</t>
  </si>
  <si>
    <t>Monitor|β·401|β·401(改)</t>
  </si>
  <si>
    <t>扑火之蛾E4奖励</t>
  </si>
  <si>
    <t>No.13 Battleship|十三号战舰</t>
  </si>
  <si>
    <t>四一式三十六厘炮（外膛炮）</t>
  </si>
  <si>
    <t>夜间战斗机联队</t>
  </si>
  <si>
    <t>降低敌方航空战阶段5%命中率
对空补正70%
仅限托戈装备</t>
  </si>
  <si>
    <t>三联254毫米主炮</t>
  </si>
  <si>
    <t>三联旋转秋千（六英寸）</t>
  </si>
  <si>
    <t>2020.06.01儿童节-挥斥四海任务奖励</t>
  </si>
  <si>
    <t>海上杀手导弹系统</t>
  </si>
  <si>
    <t>75战利品兑换( 限购买1次)</t>
  </si>
  <si>
    <t>715Ⅱ弹炮合一防空系统</t>
  </si>
  <si>
    <t>对空补正55%
对空倍率3.3</t>
  </si>
  <si>
    <t>75战利品兑换(限购买1次)</t>
  </si>
  <si>
    <t>海标枪（051S）</t>
  </si>
  <si>
    <t>对空补正72%
对空倍率3.5
铝耗8</t>
  </si>
  <si>
    <t>防驱be级Ⅲ型</t>
  </si>
  <si>
    <t>2020.06.25端午节-吃大餐咯任务奖励</t>
  </si>
  <si>
    <t>9.2英寸舰炮（BM）</t>
  </si>
  <si>
    <t>决战无畏之海复刻E1奖励</t>
  </si>
  <si>
    <t>飞龙S.4（红天使）</t>
  </si>
  <si>
    <t>决战无畏之海复刻E2奖励</t>
  </si>
  <si>
    <t>双联15英寸MKII主炮</t>
  </si>
  <si>
    <t>决战无畏之海复刻E3奖励</t>
  </si>
  <si>
    <t>100毫米速射炮（53）</t>
  </si>
  <si>
    <t>驱逐Δ级Ⅳ型</t>
  </si>
  <si>
    <t>立体强袭-盛开之崖100pt奖励</t>
  </si>
  <si>
    <t>152毫米三联高平炮（46）</t>
  </si>
  <si>
    <t>立体强袭-盛开之崖300pt奖励</t>
  </si>
  <si>
    <t>381毫米L40舰炮（BM）</t>
  </si>
  <si>
    <t>立体强袭-盛开之崖450pt奖励</t>
  </si>
  <si>
    <t>G国双联508毫米炮（H）</t>
  </si>
  <si>
    <t>Derfflinger|Derfflinger(改)|Erika|Erika(改)|No.13 Battleship(改)|旗舰Ν级Ⅲ型</t>
  </si>
  <si>
    <t>立体强袭-盛开之崖600pt奖励</t>
  </si>
  <si>
    <t>SK-2对空雷达</t>
  </si>
  <si>
    <t>70战利品兑换(限购买2次)</t>
  </si>
  <si>
    <t>球鼻艏（声纳）</t>
  </si>
  <si>
    <t>70战利品兑换(限购买1次)</t>
  </si>
  <si>
    <t>MK.141导弹发射架</t>
  </si>
  <si>
    <t>密苏里(改)|蔚山</t>
  </si>
  <si>
    <t>RGM-84鱼叉反舰导弹</t>
  </si>
  <si>
    <t>Zumwalt(改)|密苏里(改)|蔚山</t>
  </si>
  <si>
    <t>彩云（舰攻）</t>
  </si>
  <si>
    <t>旗舰Ν级Ⅲ型</t>
  </si>
  <si>
    <t>60战利品兑换(限购买2次)</t>
  </si>
  <si>
    <t>射击方位盘（超战舰）</t>
  </si>
  <si>
    <t>地狱边境深弹投射器</t>
  </si>
  <si>
    <t>轻巡ei级Ⅱ型|轻巡ei级Ⅲ型</t>
  </si>
  <si>
    <t>舰队决战--浩瀚的战场100战备券限时兑换</t>
  </si>
  <si>
    <t>АК-725</t>
  </si>
  <si>
    <t>对空补正50%
对空倍率3.4</t>
  </si>
  <si>
    <t>AD-4W预警机</t>
  </si>
  <si>
    <t>降低敌方航空战阶段15%命中率
铝耗6</t>
  </si>
  <si>
    <t>AD-4</t>
  </si>
  <si>
    <t>航母Ο级Ⅲ型|装母Χ级Ⅲ型</t>
  </si>
  <si>
    <t>海雌狐战斗机</t>
  </si>
  <si>
    <t>Shōkaku|旗舰Ν级Ⅲ型</t>
  </si>
  <si>
    <t>四联406毫米主炮（试制）</t>
  </si>
  <si>
    <t>Cyou-yamato|Derfflinger(改)|旗舰Ν级Ⅱ型</t>
  </si>
  <si>
    <t>三联九四式主炮（MU）</t>
  </si>
  <si>
    <t>Monitor(改)|No.13 Battleship|β·401|战列Μ级Ⅳ型</t>
  </si>
  <si>
    <t>节日庆典礼花</t>
  </si>
  <si>
    <t>舰队决战--浩瀚的战场E4通关任务奖励</t>
  </si>
  <si>
    <t>MK-32鱼雷发射管（MK44）</t>
  </si>
  <si>
    <t xml:space="preserve">巡洋舰鱼雷系统   </t>
  </si>
  <si>
    <t>FD-1鬼怪战斗机</t>
  </si>
  <si>
    <t>万圣夜试胆大会E1奖励</t>
  </si>
  <si>
    <t>G7esT5潜艇鱼雷</t>
  </si>
  <si>
    <t>万圣夜试胆大会E2奖励</t>
  </si>
  <si>
    <t>3英寸改进型高炮</t>
  </si>
  <si>
    <t>急速东方快车复刻E1奖励</t>
  </si>
  <si>
    <t>FR-1火球战斗机</t>
  </si>
  <si>
    <t>装母Χ级Ⅲ型|轻母Ξ级Ⅲ型</t>
  </si>
  <si>
    <t>急速东方快车复刻E3奖励</t>
  </si>
  <si>
    <t>改进型6英寸三联主炮</t>
  </si>
  <si>
    <t>急速东方快车复刻E2奖励</t>
  </si>
  <si>
    <t>“箭”便携舰空导弹</t>
  </si>
  <si>
    <t>对空补正45%
对空倍率3.3</t>
  </si>
  <si>
    <t>85战利品兑换(限购买1次)</t>
  </si>
  <si>
    <t>AN/SPS-10搜索雷达</t>
  </si>
  <si>
    <t>75战利品兑换(限购买2次)</t>
  </si>
  <si>
    <t>MK8炮弹</t>
  </si>
  <si>
    <t>2020双旦活动奖励</t>
  </si>
  <si>
    <t>MK37火控</t>
  </si>
  <si>
    <t>对空补正65%
对空倍率3.4</t>
  </si>
  <si>
    <t>模拟演习作战第二期5层奖励</t>
  </si>
  <si>
    <t xml:space="preserve"> 双联12英寸主炮（Sp）</t>
  </si>
  <si>
    <t>模拟演习作战第二期10层奖励</t>
  </si>
  <si>
    <t>AF-3S</t>
  </si>
  <si>
    <t>模拟演习作战第二期20层奖励</t>
  </si>
  <si>
    <t>509工程攻击机</t>
  </si>
  <si>
    <t>防空导弹作战系统</t>
  </si>
  <si>
    <t>对空补正75%
对空倍率3.5</t>
  </si>
  <si>
    <t>三联鱼雷发射器（萨博）</t>
  </si>
  <si>
    <t>三联长管46厘米炮</t>
  </si>
  <si>
    <t>AN/SPS-43雷达</t>
  </si>
  <si>
    <t>对空补正78%
对空倍率3.7</t>
  </si>
  <si>
    <t>导弹发射箱 （183p）</t>
  </si>
  <si>
    <t>MK7（BM）</t>
  </si>
  <si>
    <t>XFY-1</t>
  </si>
  <si>
    <t>MK-112发射器（反潜）</t>
  </si>
  <si>
    <t>T-34/85炮塔（186）</t>
  </si>
  <si>
    <t>三联18英寸主炮（提尔曼）</t>
  </si>
  <si>
    <t>风帆</t>
  </si>
  <si>
    <t>2021愚人节限时任务奖励</t>
  </si>
  <si>
    <t>F4F（奥黑尔）</t>
  </si>
  <si>
    <t>MK42型5英寸舰炮</t>
  </si>
  <si>
    <t>水下防护系统</t>
  </si>
  <si>
    <t>双联20厘米炮（AH）</t>
  </si>
  <si>
    <t>Yak-9战斗机</t>
  </si>
  <si>
    <t>效果</t>
  </si>
  <si>
    <t>消耗</t>
  </si>
  <si>
    <t>菜谱国籍</t>
  </si>
  <si>
    <t>阶段</t>
  </si>
  <si>
    <t>属性</t>
  </si>
  <si>
    <t>值</t>
  </si>
  <si>
    <t>油</t>
  </si>
  <si>
    <t>弹</t>
  </si>
  <si>
    <t>钢</t>
  </si>
  <si>
    <t>铝</t>
  </si>
  <si>
    <t>rate</t>
  </si>
  <si>
    <t>持续/分钟</t>
  </si>
  <si>
    <t>效果描述</t>
  </si>
  <si>
    <t>获取途径</t>
  </si>
  <si>
    <t>吐司面包</t>
  </si>
  <si>
    <t>通用</t>
  </si>
  <si>
    <t>所有</t>
  </si>
  <si>
    <t>结算</t>
  </si>
  <si>
    <t>经验</t>
  </si>
  <si>
    <t>10%</t>
  </si>
  <si>
    <t>所有小型船战斗中获得的经验值增加10%，持续60分钟</t>
  </si>
  <si>
    <t>F国人意外发明的、在欧美地区极为常见的早餐食品，配合果酱食用更佳。</t>
  </si>
  <si>
    <t>大胃王藏品/珍藏</t>
  </si>
  <si>
    <t>萨拉米披萨</t>
  </si>
  <si>
    <t>I国舰船火力增加10，持续50分钟</t>
  </si>
  <si>
    <t>用特制的萨拉米肉肠做成的披萨，深受欧洲舰娘们喜爱。</t>
  </si>
  <si>
    <t>红菜汤</t>
  </si>
  <si>
    <t>S国舰船火力增加7，持续60分钟</t>
  </si>
  <si>
    <t>起源于东欧的菜式，最出名的是S国红菜汤，C国改良版叫“罗宋汤”。</t>
  </si>
  <si>
    <t>海军烘豆子</t>
  </si>
  <si>
    <t>所有中型船命中增加5，持续75分钟</t>
  </si>
  <si>
    <t>由罐装豆子简单加工而成，平凡的美味。</t>
  </si>
  <si>
    <t>初始菜谱</t>
  </si>
  <si>
    <t>苹果派</t>
  </si>
  <si>
    <t>炮击战</t>
  </si>
  <si>
    <t>伤害</t>
  </si>
  <si>
    <t>5%</t>
  </si>
  <si>
    <t>U国舰船炮击战造成的伤害增加5%，持续60分钟</t>
  </si>
  <si>
    <t>起源于欧洲东部，生活中常见的甜点，便宜、耐饿，是一种很方便的食品。</t>
  </si>
  <si>
    <t>炸鱼薯条</t>
  </si>
  <si>
    <t>E国大型船对空增加5，持续75分钟</t>
  </si>
  <si>
    <t>E国很受欢迎的街边小吃，2012年投票中获得E国人认为最能代表E国的东西。</t>
  </si>
  <si>
    <t>图林根肠啤酒</t>
  </si>
  <si>
    <t>G国战列舰装甲增加7点，持续60分钟</t>
  </si>
  <si>
    <t>没有什么可以和图林根的红肠相媲美的了！没有什么比啤酒更适合香肠的了！</t>
  </si>
  <si>
    <t>白香肠面包圈</t>
  </si>
  <si>
    <t>鱼雷战</t>
  </si>
  <si>
    <t>G国舰船鱼雷战造成的伤害增加5%，持续50分钟</t>
  </si>
  <si>
    <t>G国特色美味，Z16倾力推荐。</t>
  </si>
  <si>
    <t>Z16“新任厨娘”附赠</t>
  </si>
  <si>
    <t>海军咖喱</t>
  </si>
  <si>
    <t>夜战</t>
  </si>
  <si>
    <t>J国驱逐舰夜战造成的伤害增加5%，持续50分钟</t>
  </si>
  <si>
    <t>J国海军特色，营养丰富，将营养学概念加到菜单内。</t>
  </si>
  <si>
    <t>马赛鱼汤</t>
  </si>
  <si>
    <t>F国舰船闪避增加7，持续80分钟</t>
  </si>
  <si>
    <t>造访马赛的人，一定不能错过！</t>
  </si>
  <si>
    <t>麻婆豆腐</t>
  </si>
  <si>
    <t>轻型巡洋舰火力增加7，持续75分钟</t>
  </si>
  <si>
    <t>著名川菜，麻、辣、烫、香、酥、嫩、鲜、活，缺一不可。</t>
  </si>
  <si>
    <t>什锦叉烧炒饭</t>
  </si>
  <si>
    <t>战列舰命中增加5点，持续75分钟</t>
  </si>
  <si>
    <t>精选多种名贵食材配以优质叉烧做成的炒饭，光是闻一闻就走不动路。</t>
  </si>
  <si>
    <t>宁海“中华特级厨师”附赠</t>
  </si>
  <si>
    <t>仰望星空派</t>
  </si>
  <si>
    <t>E国小型船火力增加10点，持续75分钟</t>
  </si>
  <si>
    <t>说到E国人心中的家乡味道怎么会少得了派？海洋的气息汇聚一盘，浓缩了千年的智慧。</t>
  </si>
  <si>
    <t>皇家海军咸牛肉</t>
  </si>
  <si>
    <t>E国战列巡洋舰装甲增加10点，持续60分钟</t>
  </si>
  <si>
    <t>大概生产自50年前，秉承了海军传统的咸牛肉，凭借其坚实的质量击破了好几个无辜的脑袋。</t>
  </si>
  <si>
    <t>鱼雷果汁</t>
  </si>
  <si>
    <t>U国中型船火力增加7点，持续60分钟</t>
  </si>
  <si>
    <t>浓度高达90%的乙醇兑上鲜美的菠萝汁，是这个世界最美味的酒……不对，是饮料！</t>
  </si>
  <si>
    <t>鲱鱼罐头</t>
  </si>
  <si>
    <t>所有小型船火力增加7点，持续50分钟</t>
  </si>
  <si>
    <t>谁敢在公共场合打开这个罐头，谁就是众姐妹的敌人了！</t>
  </si>
  <si>
    <t>黑森林蛋糕</t>
  </si>
  <si>
    <t>G国中型船火力增加7点，持续60分钟</t>
  </si>
  <si>
    <t>风靡G国的甜品，奶油部分严格遵循了G国规定的至少含有80克樱桃汁的规定。</t>
  </si>
  <si>
    <t>墨00尼的屁股</t>
  </si>
  <si>
    <t>I国大型船装甲增加10点，持续70分钟</t>
  </si>
  <si>
    <t>如果说美食的国度I国有什么难以启齿的佳肴，那便是这个了。当你尝过它的味道，便知道它为什么要叫这个名字了。</t>
  </si>
  <si>
    <t>羊羹</t>
  </si>
  <si>
    <t>J国舰船对空增加7点，持续60分钟</t>
  </si>
  <si>
    <t>这个点心里没有羊肉。是深受J国人喜爱的豆制果冻型食品，是J国茶道中一种著名的茶点。</t>
  </si>
  <si>
    <t>超急速快车行动300功勋兑换</t>
  </si>
  <si>
    <t>炸虾天妇罗</t>
  </si>
  <si>
    <t>J国中型船火力增加10点，持续80分钟</t>
  </si>
  <si>
    <t>J国传统美食，外皮酥脆，肉质松软，更重要的是——炸出来的虾必须是直的，不能弯曲。</t>
  </si>
  <si>
    <t>五十铃“食欲之秋”附赠</t>
  </si>
  <si>
    <t>马卡龙</t>
  </si>
  <si>
    <t>F国舰船装甲增加10点，持续70分钟</t>
  </si>
  <si>
    <t>F国甜点，经过几次对原料的改进后才成了现在的模样，因为其色彩鲜艳，外形可爱，深得年轻人的喜爱。</t>
  </si>
  <si>
    <t>超急速快车行动400功勋兑换</t>
  </si>
  <si>
    <t>黑列巴</t>
  </si>
  <si>
    <t>S国舰船命中增加7点，持续60分钟</t>
  </si>
  <si>
    <t>以面粉、燕麦、荞麦为原料烤制而成的黑面包，S国最常见的主食，放了两天后的硬度甚至可以当武器，保质期极长。</t>
  </si>
  <si>
    <t>辣条</t>
  </si>
  <si>
    <t>驱逐舰航速增加3点，持续15分钟</t>
  </si>
  <si>
    <t>用小麦粉和辣椒做出的零食，成本低廉，味道辛辣，小孩子非常喜爱，但不宜多食。</t>
  </si>
  <si>
    <t>任务“食堂开饭”奖励</t>
  </si>
  <si>
    <t>金镶玉包子</t>
  </si>
  <si>
    <t>航空母舰命中增加5点，持续75分钟</t>
  </si>
  <si>
    <t>采用上好的肉类和蟹黄制作而成的包子，深受大家的喜爱。</t>
  </si>
  <si>
    <t>平海“特级面点师”附赠</t>
  </si>
  <si>
    <t>甜豆花</t>
  </si>
  <si>
    <t>C国舰船炮击战造成的伤害增加10%，持续60分钟</t>
  </si>
  <si>
    <t>据说甜豆花可以增强魔法的施法效果，是一种举世无双，完美无瑕食品……</t>
  </si>
  <si>
    <t>跨越静海E8宝箱奖励</t>
  </si>
  <si>
    <t>咸豆花</t>
  </si>
  <si>
    <t>C国舰船鱼雷战造成的伤害增加10%，持续50分钟</t>
  </si>
  <si>
    <t>向多炮塔起誓，再也没有比这更举世无双，完美无瑕的美食了……</t>
  </si>
  <si>
    <t>跨越静海E10宝箱奖励</t>
  </si>
  <si>
    <t>美式汉堡</t>
  </si>
  <si>
    <t>U国战列舰火力增加5点，持续60分钟</t>
  </si>
  <si>
    <t>原汁原味的美式牛肉汉堡，可以根据自己的喜好加多少汉堡肉，风靡整个港区的快捷美食。</t>
  </si>
  <si>
    <t>所罗门之晓400功勋兑换</t>
  </si>
  <si>
    <t>红茶三明治</t>
  </si>
  <si>
    <t>E国舰船火力增加5点，持续60分钟</t>
  </si>
  <si>
    <t>不论情况多么颠簸，都要优雅地享受红茶，尤其红茶不能洒。</t>
  </si>
  <si>
    <t>钢铁启示录E10宝箱奖励</t>
  </si>
  <si>
    <t>烤猪肘</t>
  </si>
  <si>
    <t>G国舰船火力增加5点，持续60分钟</t>
  </si>
  <si>
    <t>烤猪肘是该地区非常风靡的菜肴，皮要烤的脆，浇上酱汁再配上土豆泥。</t>
  </si>
  <si>
    <t>钢铁启示录E11宝箱奖励</t>
  </si>
  <si>
    <t>龙田烧</t>
  </si>
  <si>
    <t>J国小型船鱼雷增加5点，持续60分钟</t>
  </si>
  <si>
    <t>龙田在远征的时候发明的一种油炸食品，因为表面裹了土豆粉而微微泛红。</t>
  </si>
  <si>
    <t>钢铁启示录E7宝箱奖励</t>
  </si>
  <si>
    <t>汤圆</t>
  </si>
  <si>
    <t>C国舰船闪避增加8点，持续60分钟</t>
  </si>
  <si>
    <t>有着美好寓意的美食。港区的C国舰娘们每逢特别节日，都会聚在一起享用汤圆。</t>
  </si>
  <si>
    <t>糖果惊喜藏品/珍藏</t>
  </si>
  <si>
    <t>番茄肉酱千层面</t>
  </si>
  <si>
    <t>I国大型船航速增加2点，持续60分钟</t>
  </si>
  <si>
    <t>“千层面不是一道菜，那是一种生活方式，一种存在的状态，它是人类最完美的成就，这是众神的食物！这是我的午餐。”</t>
  </si>
  <si>
    <t>格瓦斯</t>
  </si>
  <si>
    <t>S国舰船战斗中获得的经验值增加10%，持续60分钟</t>
  </si>
  <si>
    <t>这种面包发酵制成的饮料有着麦香和独特的口味，深受港区一些舰娘的喜爱（多半是因为格瓦斯含有酒精）。</t>
  </si>
  <si>
    <t>班尼迪克蛋</t>
  </si>
  <si>
    <t>U国航空母舰装甲增加7点，持续60分钟</t>
  </si>
  <si>
    <t>大受欢迎的热门美食，舰队成员们甚至专门有点这道菜的灯光信号。</t>
  </si>
  <si>
    <t>熔炉大混战300功勋兑换</t>
  </si>
  <si>
    <t>黑麦面包扁豆汤</t>
  </si>
  <si>
    <t>G国所有舰船回避增加5点，持续50分钟</t>
  </si>
  <si>
    <t>非常地道的民间风味，加了各种辅料的扁豆汤就黑麦面包，那叫一个美。</t>
  </si>
  <si>
    <t>模拟演习第一期奖励</t>
  </si>
  <si>
    <t>红茶司康饼</t>
  </si>
  <si>
    <t>E国大型船装甲增加7，持续60分钟</t>
  </si>
  <si>
    <t>阳光，花园，最重要的下午茶。</t>
  </si>
  <si>
    <t>战争协奏曲隐藏关卡“瓦尔哈拉之战”1500粒子兑换Yamato附赠</t>
  </si>
  <si>
    <t>烤鱼味噌汤</t>
  </si>
  <si>
    <t>J国大型船火力增加5点，持续60分钟</t>
  </si>
  <si>
    <t>越大的战舰料理越丰富，在超战舰和空母上，即使是早餐也如此豪华。</t>
  </si>
  <si>
    <t>熔炉大混战400功勋兑换</t>
  </si>
  <si>
    <t>热狗</t>
  </si>
  <si>
    <t>U国轻型巡洋舰火力增加7，持续60分钟</t>
  </si>
  <si>
    <t>经典快餐，适合快节奏的激烈战斗。</t>
  </si>
  <si>
    <t>中间岛战役复刻300功勋兑换</t>
  </si>
  <si>
    <t>塔坦苹果挞</t>
  </si>
  <si>
    <t>F国战列舰火力增加7，持续60分钟</t>
  </si>
  <si>
    <t>一对姐妹发明的经典甜品，是狩猎季节特别甜品。</t>
  </si>
  <si>
    <t>中间岛战役复刻400功勋兑换</t>
  </si>
  <si>
    <t>天妇罗荞麦面</t>
  </si>
  <si>
    <t>J国中型船鱼雷战造成的伤害增加10%，持续60分钟</t>
  </si>
  <si>
    <t>是炸虾天妇罗，不是鱼雷天妇罗，请放心食用。</t>
  </si>
  <si>
    <t xml:space="preserve">约克郡布丁 </t>
  </si>
  <si>
    <t>E国中型船回避增加5点，持续60分钟</t>
  </si>
  <si>
    <t xml:space="preserve">和烤牛肉一起搭配风味独特，是皇家海军大受欢迎的料理之一。  </t>
  </si>
  <si>
    <t>万圣夜试胆大会450功勋兑换</t>
  </si>
  <si>
    <t>烧烤</t>
  </si>
  <si>
    <t>U国大型船装甲增加5点，持续60分钟</t>
  </si>
  <si>
    <t>“最豪迈的烹饪方式，也是最能体现战舰宽阔甲板的烹饪方式”</t>
  </si>
  <si>
    <t>(2020.04.24)400功勋兑换</t>
  </si>
  <si>
    <t>东坡肉</t>
  </si>
  <si>
    <t>C国舰船火力增加11点，持续60分钟</t>
  </si>
  <si>
    <t>需要耐心的美食，要掌握好火候。</t>
  </si>
  <si>
    <t>女武神行动复刻300功勋兑换</t>
  </si>
  <si>
    <t>俄式饺子</t>
  </si>
  <si>
    <t>S国舰船炮击战造成的伤害增加10%，持续60分钟</t>
  </si>
  <si>
    <t>包上喜欢的土豆馅料，再沾酸奶油，新年宴席自然也要有饺子。</t>
  </si>
  <si>
    <t>极地奏鸣曲600功勋兑换</t>
  </si>
  <si>
    <t>俄式肉冻</t>
  </si>
  <si>
    <t>S国舰船装甲增加10点，持续60分钟</t>
  </si>
  <si>
    <t>宴席上重要的菜式之一，举杯吧，亲爱的同志！</t>
  </si>
  <si>
    <t>极地鸣奏曲隐藏关卡“米尔科维德之战”1500粒子兑换X.401附赠</t>
  </si>
  <si>
    <t xml:space="preserve">威尼斯墨鱼面 </t>
  </si>
  <si>
    <t>I国所有舰船对空增加7点，持续60分钟</t>
  </si>
  <si>
    <t xml:space="preserve"> 似乎带着某种神秘力量的面条，味道鲜美。</t>
  </si>
  <si>
    <t>功勋兑换</t>
  </si>
  <si>
    <t>作用范围</t>
  </si>
  <si>
    <t>胡德船模</t>
  </si>
  <si>
    <t>E国战列舰回避+3</t>
  </si>
  <si>
    <t>皇家海军的荣耀！E国战列舰回避+3</t>
  </si>
  <si>
    <t>现代化港区-收藏品</t>
  </si>
  <si>
    <t>咸鱼</t>
  </si>
  <si>
    <t>J国驱逐舰火力+3</t>
  </si>
  <si>
    <t>超大号的咸鱼！咸鱼中的王者！征服了它的人可以获得强大的力量。J国驱逐舰火力+3</t>
  </si>
  <si>
    <t>简朴的提督-收藏品</t>
  </si>
  <si>
    <t>002A</t>
  </si>
  <si>
    <t>全部</t>
  </si>
  <si>
    <t>C国所有舰船幸运+3</t>
  </si>
  <si>
    <t>美梦实现啦！C国所有舰船幸运+3</t>
  </si>
  <si>
    <t>2017劳动节限时任务(C国船出征一次)奖励</t>
  </si>
  <si>
    <t>坎贝尔敦船模</t>
  </si>
  <si>
    <t>E国驱逐舰火力+3</t>
  </si>
  <si>
    <t>穿越重重阻碍，击败了不可能战胜的敌人，才会授予这样的奖励。E国驱逐舰火力+3</t>
  </si>
  <si>
    <t>最长一役E6通关奖励</t>
  </si>
  <si>
    <t>海军软飞艇</t>
  </si>
  <si>
    <t>U国驱逐舰索敌+3</t>
  </si>
  <si>
    <t>螺旋桨已开动，不要忘记重要物品！U国驱逐舰索敌+3</t>
  </si>
  <si>
    <t>超急速东方快车E5通关奖励</t>
  </si>
  <si>
    <t>摩托鱼雷</t>
  </si>
  <si>
    <t>I国驱逐舰鱼雷+3</t>
  </si>
  <si>
    <t>这个摩托鱼雷甚至能摩擦掉战列舰。I国驱逐舰鱼雷+3</t>
  </si>
  <si>
    <t>雪崩计划800pt奖励</t>
  </si>
  <si>
    <t>千里眼</t>
  </si>
  <si>
    <t>U国轻巡洋舰索敌+3</t>
  </si>
  <si>
    <t>依靠精密的电子设备，在夜晚也可以捕捉到敌人。U国轻巡洋舰索敌+3</t>
  </si>
  <si>
    <t>所罗门之晓E6通关奖励</t>
  </si>
  <si>
    <t>捡到的皮鞋</t>
  </si>
  <si>
    <t>S国所有舰船火力+2</t>
  </si>
  <si>
    <t>在会议室的桌下发现的皮鞋，似乎是某位大人物的。S国所有舰船火力+2</t>
  </si>
  <si>
    <t>圣盾作战1200pt奖励</t>
  </si>
  <si>
    <t>比叡火控仪</t>
  </si>
  <si>
    <t>J国所有舰船命中+2</t>
  </si>
  <si>
    <t>超战舰使用的新式火控仪的测试版。J国所有舰船命中+2</t>
  </si>
  <si>
    <t>幻想舰队歼灭作战(重制)E7通关奖励</t>
  </si>
  <si>
    <t>莫尼特</t>
  </si>
  <si>
    <t>所有战列舰火力+2</t>
  </si>
  <si>
    <t>这个圣物是最早的炮塔。所有战列舰火力+2</t>
  </si>
  <si>
    <t>钢铁启示录E11通关奖励</t>
  </si>
  <si>
    <t>阿图岛战机</t>
  </si>
  <si>
    <t>U国重巡洋舰对空+3</t>
  </si>
  <si>
    <t>在小岛捡到的战机，似乎背后有机密故事。U国重巡洋舰对空+3</t>
  </si>
  <si>
    <t>地狱群岛攻略作战(重制)E7通关奖励</t>
  </si>
  <si>
    <t>大剑（杰克）</t>
  </si>
  <si>
    <t>E国战列巡洋舰火力+2</t>
  </si>
  <si>
    <t>“杰克”曾使用的武器，蕴含了某种强大的魔法力量。E战列巡洋舰火力+2</t>
  </si>
  <si>
    <t>跨越静海E11通关奖励</t>
  </si>
  <si>
    <t>长矛鱼雷</t>
  </si>
  <si>
    <t>J国驱逐舰鱼雷+2</t>
  </si>
  <si>
    <t>时刻警惕暗夜中的长矛。J国驱逐舰鱼雷+2</t>
  </si>
  <si>
    <t>熔炉大混战E11通关奖励</t>
  </si>
  <si>
    <t xml:space="preserve">037战列艇 </t>
  </si>
  <si>
    <t>C国所有舰船火力+3</t>
  </si>
  <si>
    <t>主炮纵列布置的迷你主力舰，战功卓著。C国所有舰船火力+3</t>
  </si>
  <si>
    <t>海军节建军70周年特别奖励</t>
  </si>
  <si>
    <t>马基.72</t>
  </si>
  <si>
    <t>I国所有舰船回避+3</t>
  </si>
  <si>
    <t>“一只会飞的猪”。I国所有舰船回避+3</t>
  </si>
  <si>
    <t>2019帕斯塔战役复刻E7通关奖励</t>
  </si>
  <si>
    <t>桌面战记—深海篇</t>
  </si>
  <si>
    <t>所有舰船幸运+1</t>
  </si>
  <si>
    <t>港区盛行的桌游，由于加入了众人喜爱的敌方舰队而火热异常，密苏里强力推荐。所有舰船幸运+1</t>
  </si>
  <si>
    <t>购买“战舰少女R 桌面战记 [深海篇]桌游”附赠兑换卡兑换</t>
  </si>
  <si>
    <t>袭击舰炮塔</t>
  </si>
  <si>
    <t>G国战列巡洋舰火力+2</t>
  </si>
  <si>
    <t>非常精准的武器。G国战列巡洋舰火力+2</t>
  </si>
  <si>
    <t>沸腾的大洋1000pt奖励</t>
  </si>
  <si>
    <t>第八鱼雷机中队</t>
  </si>
  <si>
    <t>U国航空母舰命中+2</t>
  </si>
  <si>
    <t>“超低空立体攻击”。U国航空母舰命中+2</t>
  </si>
  <si>
    <t>中间岛战役复刻E9通关奖励</t>
  </si>
  <si>
    <t>金笔</t>
  </si>
  <si>
    <t>所有战列舰对空+2</t>
  </si>
  <si>
    <t>重要场合使用的签字金笔。所有战列舰对空+2</t>
  </si>
  <si>
    <t>战争协奏曲1800pt奖励</t>
  </si>
  <si>
    <t>不列颠战机</t>
  </si>
  <si>
    <t>E国所有舰船对空+3</t>
  </si>
  <si>
    <t>上空的鹰保卫着天空的安宁。E国所有舰船对空+3</t>
  </si>
  <si>
    <t>女武神行动复刻E7通关奖励</t>
  </si>
  <si>
    <t>海权</t>
  </si>
  <si>
    <t>所有战列巡洋舰命中+2</t>
  </si>
  <si>
    <t>航速加火力优势等于海权。所有战列巡洋舰命中+2</t>
  </si>
  <si>
    <t>极地奏鸣曲1200pt奖励</t>
  </si>
  <si>
    <t>瓦伦丁</t>
  </si>
  <si>
    <t>所有战列舰装甲+2</t>
  </si>
  <si>
    <t>战场上的钢铁女神。所有战列舰装甲+2</t>
  </si>
  <si>
    <t>2020情人节任务-奇怪的建造计划</t>
  </si>
  <si>
    <t>PT快艇</t>
  </si>
  <si>
    <t>U国所有舰船鱼雷+3</t>
  </si>
  <si>
    <t>“小小的身躯蕴含巨大的战斗力”。U国所有舰船鱼雷+3</t>
  </si>
  <si>
    <t>轰隆隆大作战复刻E7奖励</t>
  </si>
  <si>
    <t>扭曲烟突</t>
  </si>
  <si>
    <t>J国战列舰火力+3</t>
  </si>
  <si>
    <t>“长期以来是最为人熟知的战列舰”。J国战列舰火力+3</t>
  </si>
  <si>
    <t>扑火之蛾E9奖励</t>
  </si>
  <si>
    <t>拖拉机</t>
  </si>
  <si>
    <t>S国所有舰船命中+3</t>
  </si>
  <si>
    <t>保卫战里用拖拉机改造的坦克。S国所有舰船命中+3</t>
  </si>
  <si>
    <t>2020.05.01-05.04潇洒的结束任务奖励</t>
  </si>
  <si>
    <t xml:space="preserve">模拟磁带 </t>
  </si>
  <si>
    <t>S国所有轻巡洋舰火力+3</t>
  </si>
  <si>
    <t>“当年一份插错的磁带差点引发了核大战”。S国所有轻巡洋舰火力+3</t>
  </si>
  <si>
    <t>战列巡洋舰</t>
  </si>
  <si>
    <t>G国所有战列舰回避+2</t>
  </si>
  <si>
    <t>“敌人发起了冲锋”。G国所有战列舰回避+2</t>
  </si>
  <si>
    <t>决战无畏之海复刻E6奖励</t>
  </si>
  <si>
    <t>巨型飞艇</t>
  </si>
  <si>
    <t>G国战列舰火力+2</t>
  </si>
  <si>
    <t>空中的巨人。G国战列舰火力+2</t>
  </si>
  <si>
    <t>立体强袭-盛开之崖1000pt奖励</t>
  </si>
  <si>
    <t>八英寸连装炮</t>
  </si>
  <si>
    <t>U国所有舰船命中+2</t>
  </si>
  <si>
    <t>这座航母的主炮曾经“击沉”过巡洋舰。U国所有舰船命中+2</t>
  </si>
  <si>
    <t>魔鬼鱼雷</t>
  </si>
  <si>
    <t>所有潜水艇鱼雷+2</t>
  </si>
  <si>
    <t>不知道会不会炸，在哪儿炸的鱼雷。所有潜水艇鱼雷+2</t>
  </si>
  <si>
    <t>万圣夜试胆大会E7奖励</t>
  </si>
  <si>
    <t>骑兵之剑</t>
  </si>
  <si>
    <t>F国战列舰火力+2</t>
  </si>
  <si>
    <t>著名战列舰使用的武器。F国战列舰火力+2</t>
  </si>
  <si>
    <t>急速东方快车复刻E5奖励</t>
  </si>
  <si>
    <t>战斗雪橇</t>
  </si>
  <si>
    <t>S国所有舰船回避+2</t>
  </si>
  <si>
    <t>啊，我亲爱的同志快一起乘上雪橇出发吧！S国所有舰船回避+2</t>
  </si>
  <si>
    <t>无人机</t>
  </si>
  <si>
    <t>C国所有舰船命中+3</t>
  </si>
  <si>
    <t>具备人工智能的火蜂，C国所有舰船命中+3</t>
  </si>
  <si>
    <t>模拟演习作战第二期25层奖励</t>
  </si>
  <si>
    <t>探照灯</t>
  </si>
  <si>
    <t>J国驱逐舰命中+3</t>
  </si>
  <si>
    <t>夜战打开探照灯，就是全场焦点。J国驱逐舰命中+3</t>
  </si>
  <si>
    <t>神秘炮塔</t>
  </si>
  <si>
    <t>日本所有舰船幸运+2</t>
  </si>
  <si>
    <t>飞天胡萝卜</t>
  </si>
  <si>
    <t>回避</t>
  </si>
  <si>
    <t>美国轻巡洋舰回避+2</t>
  </si>
  <si>
    <t>神奇的萝卜</t>
  </si>
  <si>
    <t>所有战列舰火力+1</t>
  </si>
  <si>
    <t>最初的甲板</t>
  </si>
  <si>
    <t>美国轻型航空母舰命中+2</t>
  </si>
  <si>
    <t>防空机炮</t>
  </si>
  <si>
    <t>美国战列闪避+2</t>
  </si>
  <si>
    <t>岸防炮</t>
  </si>
  <si>
    <t>德国重巡洋舰火力+2</t>
  </si>
  <si>
    <t>制导武器</t>
  </si>
  <si>
    <t>德国所有舰船命中+2</t>
  </si>
  <si>
    <t>rc虎王</t>
  </si>
  <si>
    <t>所有战列舰命中+2</t>
  </si>
  <si>
    <t>战舰“虎”</t>
  </si>
  <si>
    <t>所有战列巡洋舰装甲+2</t>
  </si>
  <si>
    <t>天空惊雷</t>
  </si>
  <si>
    <t>德国航空母舰火力+5</t>
  </si>
  <si>
    <t>003</t>
  </si>
  <si>
    <t>C国所有舰船火力+5</t>
  </si>
  <si>
    <t>飞行圆桶</t>
  </si>
  <si>
    <t>I国所有舰船火力+3</t>
  </si>
  <si>
    <t>霍兰潜艇</t>
  </si>
  <si>
    <t>所有潜艇鱼雷+3</t>
  </si>
  <si>
    <t>炊事拖车</t>
  </si>
  <si>
    <t>S国所有舰船装甲+2</t>
  </si>
  <si>
    <t>智能地狱猫</t>
  </si>
  <si>
    <t>所有航空母舰回避+3</t>
  </si>
  <si>
    <t>水中杀手</t>
  </si>
  <si>
    <t>所有驱逐舰鱼雷+3</t>
  </si>
  <si>
    <t>制表</t>
  </si>
  <si>
    <t>咕咕咕</t>
  </si>
  <si>
    <t>2019.08.04</t>
  </si>
  <si>
    <t>初版</t>
  </si>
  <si>
    <t>2019.08.18</t>
  </si>
  <si>
    <t>修正舰船数值</t>
  </si>
  <si>
    <t>2019.08.22</t>
  </si>
  <si>
    <t>新增舰船: 怨仇|乔治莱格|吕特晏斯|凯利</t>
  </si>
  <si>
    <t>新增装备: 标准-1|MK13导弹发射系统|507B迷彩（蒙巴顿粉）|FW190(BT)特四式内火艇|Ка-15</t>
  </si>
  <si>
    <t>2019.08.28</t>
  </si>
  <si>
    <t>修改射程的描述方式:--,短,中,长,超长</t>
  </si>
  <si>
    <t>修改船型的描述方式:大型船,中型船,小型船</t>
  </si>
  <si>
    <t>新增分类:主力舰,护卫舰</t>
  </si>
  <si>
    <t>2019.09.04</t>
  </si>
  <si>
    <t>区分改造与非改造</t>
  </si>
  <si>
    <t>修改中保项为中保所需血量</t>
  </si>
  <si>
    <t>2019.09.11</t>
  </si>
  <si>
    <t>更新舰船:鹦鹉螺|怨仇|堪培拉|加里波第|关岛(改)|旧金山(改)</t>
  </si>
  <si>
    <t>2019.09.26</t>
  </si>
  <si>
    <t>新增初始装备链接跳转</t>
  </si>
  <si>
    <t>更新舰船:新泽西|萨勒姆|黛朵|英格兰|47工程|可怖|Yamato|Shōkaku|Akagi&amp;Kaga|Taihō|Pachina|Bismarck|Tirpitz|Peter Strasser|导驱au级（IV型）|战列Ψ级（IV型）|旗舰Ν级（IV型）|航母Ⅱ型|“404”|迷路的运输舰|xxx|战列Λ级（Ⅰ型）|战列M级（Ⅳ型）|航母O级（IV型）|航母Χ级（IV型）|导驱au级（II型）|旗舰Ν级（III型）</t>
  </si>
  <si>
    <t>更新装备:E国双联9.2英寸炮（ACR）|雄鹰302乙|S国三联460毫米炮|潜用快速装填系统|箱式标准-1|阿尔法反潜武器|MK12型5英寸舰炮|MK6三联16英寸主炮（mk8）|F3D</t>
  </si>
  <si>
    <t>更新菜谱:红茶司康饼</t>
  </si>
  <si>
    <t>更新藏品:金笔</t>
  </si>
  <si>
    <t>2019.09.27</t>
  </si>
  <si>
    <t>修正深海舰种部分的描述</t>
  </si>
  <si>
    <t>2019.09.28</t>
  </si>
  <si>
    <t>修正1星装备为蓝链的失误</t>
  </si>
  <si>
    <t>2019.10.03</t>
  </si>
  <si>
    <t>修正不惧神风|好斗的玛丽|球上倒立|统率力|帽子戏法等技能的描述问题</t>
  </si>
  <si>
    <t>2019.10.18</t>
  </si>
  <si>
    <t>更新装备:H-34直升机（武装）|AR-231潜载侦察机</t>
  </si>
  <si>
    <t>2019.10.31</t>
  </si>
  <si>
    <t>更新装备:天袭者|暗夜袭击艇</t>
  </si>
  <si>
    <t>2019.11.08</t>
  </si>
  <si>
    <t>更新舰船:阿金库尔|桑提|萨凡纳|蒂默曼</t>
  </si>
  <si>
    <t>更新装备:一星期主炮群</t>
  </si>
  <si>
    <t>2019.11.19</t>
  </si>
  <si>
    <t>更新装备:P.1099</t>
  </si>
  <si>
    <t>更新舰船:阿金库尔|凤凰城|史密斯|齐柏林伯爵(改)|Z46(改)|U-35</t>
  </si>
  <si>
    <t>2019.11.22</t>
  </si>
  <si>
    <t>更新装备:HA-139|T-2V海星</t>
  </si>
  <si>
    <t>2019.12.13</t>
  </si>
  <si>
    <t>更新舰船:亚尔古水手|燕八哥</t>
  </si>
  <si>
    <t>更新装备:271雷达|双联380毫米主炮（SKC/34）|“海鸥”侦察机|潜用Fat鱼雷</t>
  </si>
  <si>
    <t>更新菜谱:东坡肉</t>
  </si>
  <si>
    <t>更新藏品:不列颠战机</t>
  </si>
  <si>
    <t>2019.12.24</t>
  </si>
  <si>
    <t>更新装备:E国四联14英寸主炮（284）|F6F（102）|四联零式72厘米鱼雷|博福斯双联120毫米炮</t>
  </si>
  <si>
    <t>2020.01.08</t>
  </si>
  <si>
    <t>新增舰船获取途径与部分装备获取方式</t>
  </si>
  <si>
    <t>2020.01.09</t>
  </si>
  <si>
    <t>更新舰船:忠武|马伊·布雷泽|南达科他(改)|U-1405(改)|早春(改)|黎塞留(改)技能</t>
  </si>
  <si>
    <t>2020.01.17</t>
  </si>
  <si>
    <t>更新装备:5英寸L54双联高平两用炮|MK27鱼雷|XA2J|海吸血鬼（弹性甲板）|小猎犬F|潜用减震浮筏|E国双联3英寸速射炮|E国18英寸主炮（M）</t>
  </si>
  <si>
    <t>更新舰船:哥伦比亚|彼得·施特拉塞尔|塞班|尼古拉斯|X.401|Yamato|“401”|Shōkaku|X. Fliegerkorps|Kamikaze|Savoy|Hindenburg|No.13 super Battleship|导驱au级（IV型）|战列Ψ级（IV型）|旗舰Ν级（IV型）|航母Ⅱ型|驱逐Τ级（IV型）|迷路的运输舰|防驱be级（IV型）</t>
  </si>
  <si>
    <t>更新菜谱:俄式饺子|俄式肉冻</t>
  </si>
  <si>
    <t>更新藏品:海权</t>
  </si>
  <si>
    <t>2020.02.05</t>
  </si>
  <si>
    <t>新增菜谱与藏品获取方式</t>
  </si>
  <si>
    <t>2020.02.21</t>
  </si>
  <si>
    <t>更新装备:Br.960|黄蜂直升机（AS.12）</t>
  </si>
  <si>
    <t>2020.03.06</t>
  </si>
  <si>
    <t>更新舰船:捷尔任斯基|什罗普郡|波士顿|提康德罗加</t>
  </si>
  <si>
    <t>2020.03.17</t>
  </si>
  <si>
    <t>更新舰船:亨廷顿|不知火(改)|帝国(改)|江原(改)</t>
  </si>
  <si>
    <t>2020.03.27</t>
  </si>
  <si>
    <t>更新舰船:B65</t>
  </si>
  <si>
    <t>更新装备:鱼雷再装填系统|三联高平两用主炮（六英寸）|试制甲炮|XF8B|舰体炫目迷彩|神秘武器|仮装九四式四十厘三联主炮（可回收物）</t>
  </si>
  <si>
    <t>更新藏品:PT快艇</t>
  </si>
  <si>
    <t>2020.04.11</t>
  </si>
  <si>
    <t>更新装备:博福斯375毫米反潜火箭|PZL M-15</t>
  </si>
  <si>
    <t>2020.04.25</t>
  </si>
  <si>
    <t>更新舰船:十三号战舰|鞍马|冬月|阿尔维塞·达·摩斯托</t>
  </si>
  <si>
    <t>更新装备:SO雷达|试制三十厘主炮|超战舰三联主炮|五年式四十六厘主炮</t>
  </si>
  <si>
    <t>更新菜谱:烧烤</t>
  </si>
  <si>
    <t>更新藏品:扭曲烟突</t>
  </si>
  <si>
    <t>2020.04.30</t>
  </si>
  <si>
    <t>更新藏品:拖拉机</t>
  </si>
  <si>
    <t>2020.05.07</t>
  </si>
  <si>
    <t>修改部分列的显示方式,折叠部分列</t>
  </si>
  <si>
    <r>
      <rPr>
        <sz val="10"/>
        <color theme="1"/>
        <rFont val="微软雅黑"/>
        <charset val="134"/>
      </rPr>
      <t>常规图掉落由原来的地图位置转为掉落统计网页链接
该链接数据来源于</t>
    </r>
    <r>
      <rPr>
        <b/>
        <sz val="10"/>
        <color rgb="FFFF0000"/>
        <rFont val="微软雅黑"/>
        <charset val="134"/>
      </rPr>
      <t>舰R魔盒http://www.jianrmod.cn</t>
    </r>
  </si>
  <si>
    <t>舰船表新增显示改造消耗列,新增等级列以便计算非满级时对潜/索敌/闪避/命中数据
公式为f(Level)=floor(f(1)+(f(100)-f(1))/100*Level)</t>
  </si>
  <si>
    <t>装备表新增显示装备限制列(舰船,国籍与种类限制),携带状况列(自带与改造携带装备的舰船)</t>
  </si>
  <si>
    <t>2020.05.14</t>
  </si>
  <si>
    <t>更新舰船:梅肯|托戈|祥凤(改)|巴尔的摩(改)|忠武(改)</t>
  </si>
  <si>
    <t>更新装备:四一式三十六厘炮（外膛炮）|夜间战斗机联队|三联254毫米主炮</t>
  </si>
  <si>
    <t>舰船新增Cost</t>
  </si>
  <si>
    <t>2020.05.29</t>
  </si>
  <si>
    <t>更新装备:三联旋转秋千（六英寸）|Б-1-К单装180毫米炮|OS2U翠鸟侦察机（DD）|四联340毫米主炮</t>
  </si>
  <si>
    <t>更新菜谱:黑麦面包扁豆汤</t>
  </si>
  <si>
    <t>更新藏品:模拟磁带</t>
  </si>
  <si>
    <t>2020.06.12</t>
  </si>
  <si>
    <t>里昂|阿贺野|红色高加索|哈尔福德</t>
  </si>
  <si>
    <t>2020.06.26</t>
  </si>
  <si>
    <t>更新装备:海上杀手导弹系统|715Ⅱ弹炮合一防空系统|海标枪（051S）</t>
  </si>
  <si>
    <t>2020.07.03</t>
  </si>
  <si>
    <t>更新舰船:狮</t>
  </si>
  <si>
    <t>更新装备:9.2英寸舰炮（BM）|飞龙S.4（红天使）|双联15英寸MKII主炮</t>
  </si>
  <si>
    <t>更新藏品:战列巡洋舰</t>
  </si>
  <si>
    <t>2020.07.15</t>
  </si>
  <si>
    <t>更新舰船:迪凯纳|安东尼奥·达诺利(改)|巴夫勒尔(改)|圣乔治(改)</t>
  </si>
  <si>
    <t>2020.07.16</t>
  </si>
  <si>
    <t>新增计算装备提供的减伤对空值:2.5*(装备对空值*防空倍率)</t>
  </si>
  <si>
    <r>
      <rPr>
        <sz val="10"/>
        <color theme="1"/>
        <rFont val="微软雅黑"/>
        <charset val="134"/>
      </rPr>
      <t xml:space="preserve">航空机制与公式: </t>
    </r>
    <r>
      <rPr>
        <b/>
        <sz val="10"/>
        <color rgb="FFFF0000"/>
        <rFont val="微软雅黑"/>
        <charset val="134"/>
      </rPr>
      <t>https://nga.178.com/read.php?tid=16676818</t>
    </r>
  </si>
  <si>
    <t>新增计算装备提供的击坠对空值:装备对空值+Max(设置的对空补正,不为0的装备补正)*装备对空值*设置的舰船数</t>
  </si>
  <si>
    <t>修正舰船名显示错误</t>
  </si>
  <si>
    <t>2020.07.24</t>
  </si>
  <si>
    <t>更新舰船:莫加多尔|L20</t>
  </si>
  <si>
    <t>更新装备:100毫米速射炮（53）|152毫米三联高平炮（46）|381毫米L40舰炮（BM）|G国双联508毫米炮（H）</t>
  </si>
  <si>
    <t>更新藏品:巨型飞艇</t>
  </si>
  <si>
    <t>2020.08.08</t>
  </si>
  <si>
    <t>SK-2对空雷达|球鼻艏（声纳）</t>
  </si>
  <si>
    <t>2020.08.21</t>
  </si>
  <si>
    <t>更新舰船:蔚山|弗兰德尔|萨里|野分</t>
  </si>
  <si>
    <t>更新装备:MK.141导弹发射架|RGM-84鱼叉反舰导弹</t>
  </si>
  <si>
    <t>2020.09.05</t>
  </si>
  <si>
    <t>更新装备:彩云（舰攻）|射击方位盘（超战舰）</t>
  </si>
  <si>
    <t>2020.09.17</t>
  </si>
  <si>
    <t>更新舰船:密苏里(改)|基辅(改)</t>
  </si>
  <si>
    <t>更新藏品:骑兵之剑</t>
  </si>
  <si>
    <t>2020.09.23</t>
  </si>
  <si>
    <t>更新舰船:征服者|彼得罗巴甫洛夫斯克</t>
  </si>
  <si>
    <t>新增策略</t>
  </si>
  <si>
    <t>2020.09.27</t>
  </si>
  <si>
    <t>更新舰船:皇家方舟|潮</t>
  </si>
  <si>
    <t>更新装备:地狱边境深弹投射器|АК-725|AD-4W预警机|AD-4|海雌狐战斗机|四联406毫米主炮（试制）|三联九四式主炮（MU）|节日庆典礼花</t>
  </si>
  <si>
    <t>特殊:“401”|胡德|俾斯麦|L20|毛奇|德意志|舍尔海军上将|斯佩伯爵海军上将|纽伦堡|突击者|列克星敦|萨拉托加|企业|扎拉|卡米契亚·内拉|阿维埃尔|天鹰|密苏里|密苏里|齐柏林伯爵|密苏里</t>
  </si>
  <si>
    <t>2020.10.20</t>
  </si>
  <si>
    <t xml:space="preserve">MK-32鱼雷发射管（MK44）|巡洋舰鱼雷系统  </t>
  </si>
  <si>
    <t>2020.10.30</t>
  </si>
  <si>
    <t>更新舰船:U-14</t>
  </si>
  <si>
    <t>更新装备:FD-1鬼怪战斗机|G7esT5潜艇鱼雷</t>
  </si>
  <si>
    <t xml:space="preserve">更新菜谱:约克郡布丁 </t>
  </si>
  <si>
    <t>更新藏品:魔鬼鱼雷</t>
  </si>
  <si>
    <t>2020.11.20</t>
  </si>
  <si>
    <t>更新舰船:无敌|多摩|鹰</t>
  </si>
  <si>
    <t>2020.12.03</t>
  </si>
  <si>
    <t>更新舰船:伊吹|阳炎(改)|卡约•杜伊里奥(改)</t>
  </si>
  <si>
    <t>更新装备:3英寸改进型高炮|FR-1火球战斗机|改进型6英寸三联主炮</t>
  </si>
  <si>
    <t xml:space="preserve">更新菜谱:威尼斯墨鱼面 </t>
  </si>
  <si>
    <t>2020.12.11</t>
  </si>
  <si>
    <t>更新装备:“箭”便携舰空导弹|AN/SPS-10搜索雷达</t>
  </si>
  <si>
    <t>2020.12.24</t>
  </si>
  <si>
    <t>更新装备:MK8炮弹</t>
  </si>
  <si>
    <t>更新藏品:战斗雪橇</t>
  </si>
  <si>
    <t>2020.12.31</t>
  </si>
  <si>
    <t>更新舰船:宾夕法尼亚</t>
  </si>
  <si>
    <t>更新装备:MK37火控| 双联12英寸主炮（Sp）|AF-3S</t>
  </si>
  <si>
    <t>更新藏品:无人机</t>
  </si>
  <si>
    <t>2021.01.29</t>
  </si>
  <si>
    <t>更新舰船:黑潮(改)|大淀(改)|加里波第(改)</t>
  </si>
  <si>
    <t>2021.02.05</t>
  </si>
  <si>
    <t>更新舰船:驱逐Α级Ⅰ型|驱逐Α级Ⅱ型|驱逐Α级Ⅲ型|驱逐Δ级Ⅲ型|驱逐Δ级Ⅳ型|航母Ο级Ⅱ型|航母Ο级Ⅲ型|航母Ο级Ⅳ型|轻母Ξ级Ⅰ型|轻母Ξ级Ⅱ型|轻母Ξ级Ⅲ型|装母Χ级Ⅱ型|装母Χ级Ⅲ型|装母Χ级Ⅳ型|战列Μ级Ⅰ型|战列Μ级Ⅱ型|战列Μ级Ⅲ型|战列Μ级Ⅳ型|战巡Κ级Ⅰ型|战巡Κ级Ⅱ型|战巡Κ级Ⅲ型|战巡Κ级Ⅳ型|重巡Ι级Ⅰ型|重巡Ι级Ⅱ型|重巡Ι级Ⅲ型|重巡Ω级Ⅲ型|重巡Ω级Ⅳ型|雷巡Θ级Ⅱ型|雷巡Θ级Ⅲ型|雷巡Θ级Ⅳ型|轻巡ei级Ⅰ型|轻巡ei级Ⅱ型|轻巡ei级Ⅲ型|潜艇Π级Ⅲ型|潜艇Ρ级Ⅲ型|潜艇Π级Ⅳ型|潜艇Ρ级Ⅳ型|旗舰Ν级Ⅰ型|旗舰Ν级Ⅱ型|旗舰Ν级Ⅲ型|迷路的运输舰|导驱au级Ⅲ型|防驱be级Ⅲ型|调谐舰Ⅰ型|调谐舰Ⅱ型|调谐舰Ⅲ型|调谐舰Ⅳ型|苏赫巴托尔|β·401|No.13 Battleship|Shōkaku|Cyou-yamato|Erika|Monitor|Derfflinger|Zumwalt|底特律|南达科他|爪哇|鞍山|B-65|Kiso|Kongō|B-65|Hyuga|Shigure|Ise|Hyuga|B-65|Junyo|I-42|Isuzu|Ise|Hyuga|B-65|Junyo|I-42|Isuzu|Nassau|Königsberg|Nürnberg|Von der Tann|Roon|Lützow|AIII|FW-200|AIV|Hipper|U-123|Gneisenau|Pachina|Caracciolo|UP-41|Schlieffen|FW-200|AIV|Bismarck|Prinz Eugen|Rommel|Tirpitz|Prinz Eugen|Rommel|Tirpitz|Prinz Eugen|Rommel|苏赫巴托尔(改)|β·401(改)|No.13 Battleship(改)|Shōkaku(改)|Cyou-yamato(改)|Erika(改)|Monitor(改)|Derfflinger(改)|Zumwalt(改)</t>
  </si>
  <si>
    <t>更新装备:509工程攻击机|防空导弹作战系统|三联鱼雷发射器（萨博）|三联长管46厘米炮|AN/SPS-43雷达|导弹发射箱 （183p）|MK7（BM）|三联16英寸主炮（MK2）</t>
  </si>
  <si>
    <t>更新藏品:探照灯</t>
  </si>
  <si>
    <t>新增种类项;修改舰种显示方式;修改装备限制显示</t>
  </si>
  <si>
    <t>2021.03.12</t>
  </si>
  <si>
    <t>更新舰船 猎户座|本宁顿|甘比尔湾|阿非利加征服者西庇阿</t>
  </si>
  <si>
    <t>更新装备 XFY-1|MK-112发射器（反潜）</t>
  </si>
  <si>
    <t>2021.04.09</t>
  </si>
  <si>
    <t>更新舰船 S-56|霞飞|明斯克(改)|星座(改)|塔林(改)</t>
  </si>
  <si>
    <t>更新装备 T-34/85炮塔（186）|三联18英寸主炮（提尔曼）|风帆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</si>
</sst>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[$-F400]h:mm:ss\ AM/PM"/>
  </numFmts>
  <fonts count="39">
    <font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9"/>
      <color rgb="FFFF0000"/>
      <name val="微软雅黑"/>
      <charset val="134"/>
    </font>
    <font>
      <b/>
      <sz val="11"/>
      <name val="微软雅黑"/>
      <charset val="134"/>
    </font>
    <font>
      <b/>
      <sz val="9"/>
      <name val="微软雅黑"/>
      <charset val="134"/>
    </font>
    <font>
      <sz val="10"/>
      <color theme="1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微软雅黑"/>
      <charset val="134"/>
    </font>
    <font>
      <b/>
      <sz val="10"/>
      <color theme="1"/>
      <name val="微软雅黑"/>
      <charset val="134"/>
    </font>
    <font>
      <b/>
      <sz val="10"/>
      <name val="微软雅黑"/>
      <charset val="134"/>
    </font>
    <font>
      <b/>
      <sz val="10"/>
      <color rgb="FFFF0000"/>
      <name val="微软雅黑"/>
      <charset val="134"/>
    </font>
    <font>
      <b/>
      <sz val="11"/>
      <color theme="1"/>
      <name val="微软雅黑"/>
      <charset val="134"/>
    </font>
    <font>
      <sz val="10"/>
      <name val="微软雅黑"/>
      <charset val="134"/>
    </font>
    <font>
      <b/>
      <sz val="9"/>
      <color rgb="FFFF0066"/>
      <name val="微软雅黑"/>
      <charset val="134"/>
    </font>
    <font>
      <sz val="8"/>
      <color theme="1"/>
      <name val="微软雅黑"/>
      <charset val="134"/>
    </font>
    <font>
      <b/>
      <sz val="10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8"/>
      <color rgb="FFFF0000"/>
      <name val="微软雅黑"/>
      <charset val="134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3" fillId="7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5" borderId="21" applyNumberFormat="0" applyFont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3" fillId="8" borderId="22" applyNumberFormat="0" applyAlignment="0" applyProtection="0">
      <alignment vertical="center"/>
    </xf>
    <xf numFmtId="0" fontId="25" fillId="8" borderId="16" applyNumberFormat="0" applyAlignment="0" applyProtection="0">
      <alignment vertical="center"/>
    </xf>
    <xf numFmtId="0" fontId="36" fillId="21" borderId="23" applyNumberFormat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0" borderId="0"/>
  </cellStyleXfs>
  <cellXfs count="13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>
      <alignment vertical="center"/>
    </xf>
    <xf numFmtId="0" fontId="6" fillId="0" borderId="7" xfId="0" applyFont="1" applyBorder="1" applyAlignment="1">
      <alignment vertical="center" wrapText="1"/>
    </xf>
    <xf numFmtId="0" fontId="7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8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7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left" vertical="center"/>
    </xf>
    <xf numFmtId="0" fontId="12" fillId="3" borderId="15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2" fillId="3" borderId="14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21" fontId="7" fillId="0" borderId="7" xfId="0" applyNumberFormat="1" applyFont="1" applyBorder="1" applyAlignment="1">
      <alignment horizontal="center" vertical="center" wrapText="1"/>
    </xf>
    <xf numFmtId="21" fontId="6" fillId="0" borderId="8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49" fontId="6" fillId="0" borderId="9" xfId="0" applyNumberFormat="1" applyFont="1" applyBorder="1" applyAlignment="1">
      <alignment horizontal="center" vertical="top"/>
    </xf>
    <xf numFmtId="49" fontId="14" fillId="0" borderId="7" xfId="0" applyNumberFormat="1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/>
    </xf>
    <xf numFmtId="0" fontId="15" fillId="0" borderId="9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176" fontId="16" fillId="0" borderId="0" xfId="0" applyNumberFormat="1" applyFont="1" applyAlignment="1">
      <alignment horizontal="center" vertical="top"/>
    </xf>
    <xf numFmtId="0" fontId="15" fillId="0" borderId="7" xfId="0" applyFont="1" applyBorder="1" applyAlignment="1">
      <alignment vertical="top" wrapText="1"/>
    </xf>
    <xf numFmtId="0" fontId="15" fillId="0" borderId="8" xfId="0" applyFont="1" applyBorder="1" applyAlignment="1">
      <alignment vertical="top" wrapText="1"/>
    </xf>
    <xf numFmtId="49" fontId="10" fillId="2" borderId="9" xfId="0" applyNumberFormat="1" applyFont="1" applyFill="1" applyBorder="1" applyAlignment="1">
      <alignment horizontal="center" vertical="center" wrapText="1"/>
    </xf>
    <xf numFmtId="49" fontId="10" fillId="2" borderId="4" xfId="0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8" fillId="0" borderId="0" xfId="10" applyFont="1" applyBorder="1" applyAlignment="1">
      <alignment horizontal="left" vertical="top"/>
    </xf>
    <xf numFmtId="176" fontId="10" fillId="2" borderId="0" xfId="0" applyNumberFormat="1" applyFont="1" applyFill="1" applyBorder="1" applyAlignment="1">
      <alignment horizontal="center" vertical="center" wrapText="1"/>
    </xf>
    <xf numFmtId="0" fontId="17" fillId="0" borderId="7" xfId="10" applyBorder="1" applyAlignment="1">
      <alignment vertical="top" wrapText="1"/>
    </xf>
    <xf numFmtId="21" fontId="15" fillId="0" borderId="8" xfId="0" applyNumberFormat="1" applyFont="1" applyBorder="1" applyAlignment="1">
      <alignment vertical="top" wrapText="1"/>
    </xf>
    <xf numFmtId="0" fontId="15" fillId="0" borderId="8" xfId="0" applyFont="1" applyBorder="1" applyAlignment="1">
      <alignment horizontal="left" vertical="center" wrapText="1"/>
    </xf>
    <xf numFmtId="0" fontId="18" fillId="0" borderId="7" xfId="0" applyFont="1" applyBorder="1" applyAlignment="1">
      <alignment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8" xfId="0" applyFont="1" applyBorder="1" applyAlignment="1">
      <alignment vertical="top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9">
    <dxf>
      <font>
        <color rgb="FFFF0000"/>
      </font>
      <fill>
        <patternFill patternType="none"/>
      </fill>
    </dxf>
    <dxf>
      <font>
        <color theme="2" tint="-0.249946592608417"/>
      </font>
      <fill>
        <patternFill patternType="solid">
          <bgColor theme="2" tint="-0.249946592608417"/>
        </patternFill>
      </fill>
    </dxf>
    <dxf>
      <font>
        <color rgb="FFFF0000"/>
      </font>
    </dxf>
    <dxf>
      <font>
        <color rgb="FFFF990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B050"/>
      </font>
      <fill>
        <patternFill patternType="none"/>
      </fill>
    </dxf>
    <dxf>
      <font>
        <color rgb="FFEE8800"/>
      </font>
    </dxf>
  </dxfs>
  <tableStyles count="0" defaultTableStyle="TableStyleMedium2" defaultPivotStyle="PivotStyleLight16"/>
  <colors>
    <mruColors>
      <color rgb="00FFCC00"/>
      <color rgb="00FF0066"/>
      <color rgb="00EE8800"/>
      <color rgb="00FF9900"/>
      <color rgb="00F5A623"/>
      <color rgb="00FCB11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624"/>
  <sheetViews>
    <sheetView workbookViewId="0">
      <pane xSplit="4" ySplit="1" topLeftCell="E618" activePane="bottomRight" state="frozen"/>
      <selection/>
      <selection pane="topRight"/>
      <selection pane="bottomLeft"/>
      <selection pane="bottomRight" activeCell="Q66" sqref="Q66"/>
    </sheetView>
  </sheetViews>
  <sheetFormatPr defaultColWidth="9" defaultRowHeight="13.8"/>
  <cols>
    <col min="1" max="1" width="8.11111111111111" style="100" customWidth="1"/>
    <col min="2" max="2" width="3.77777777777778" style="101" customWidth="1"/>
    <col min="3" max="3" width="3.22222222222222" style="102" customWidth="1"/>
    <col min="4" max="4" width="14.8888888888889" style="103" customWidth="1"/>
    <col min="5" max="5" width="5.33333333333333" style="103" customWidth="1"/>
    <col min="6" max="6" width="10.7777777777778" style="103" customWidth="1"/>
    <col min="7" max="8" width="4.77777777777778" style="103" customWidth="1"/>
    <col min="9" max="9" width="3.33333333333333" style="104" customWidth="1"/>
    <col min="10" max="10" width="4.33333333333333" style="102" customWidth="1"/>
    <col min="11" max="11" width="3.33333333333333" style="102" customWidth="1"/>
    <col min="12" max="12" width="3.33333333333333" style="103" customWidth="1"/>
    <col min="13" max="13" width="3.33333333333333" style="104" customWidth="1"/>
    <col min="14" max="16" width="3.33333333333333" style="102" customWidth="1"/>
    <col min="17" max="17" width="3.33333333333333" style="104" customWidth="1"/>
    <col min="18" max="19" width="3.33333333333333" style="102" customWidth="1"/>
    <col min="20" max="20" width="3.33333333333333" style="105" customWidth="1"/>
    <col min="21" max="22" width="3.33333333333333" style="102" customWidth="1"/>
    <col min="23" max="23" width="3.33333333333333" style="106" customWidth="1"/>
    <col min="24" max="24" width="34.2222222222222" style="106" customWidth="1"/>
    <col min="25" max="25" width="5.22222222222222" style="102" customWidth="1"/>
    <col min="26" max="26" width="5.66666666666667" style="102" customWidth="1"/>
    <col min="27" max="27" width="16.2222222222222" style="104" hidden="1" customWidth="1" outlineLevel="1"/>
    <col min="28" max="28" width="3.33333333333333" style="105" hidden="1" customWidth="1" outlineLevel="1"/>
    <col min="29" max="29" width="3.33333333333333" style="104" hidden="1" customWidth="1" outlineLevel="1"/>
    <col min="30" max="30" width="76.7777777777778" style="107" hidden="1" customWidth="1" outlineLevel="1"/>
    <col min="31" max="31" width="3.33333333333333" style="104" hidden="1" customWidth="1" outlineLevel="1"/>
    <col min="32" max="32" width="3.33333333333333" style="105" hidden="1" customWidth="1" outlineLevel="1"/>
    <col min="33" max="33" width="3.33333333333333" style="104" hidden="1" customWidth="1" outlineLevel="1"/>
    <col min="34" max="34" width="3.33333333333333" style="102" hidden="1" customWidth="1" outlineLevel="1"/>
    <col min="35" max="35" width="3.33333333333333" style="105" hidden="1" customWidth="1" outlineLevel="1"/>
    <col min="36" max="36" width="3.33333333333333" style="104" hidden="1" customWidth="1" outlineLevel="1"/>
    <col min="37" max="38" width="3.33333333333333" style="102" hidden="1" customWidth="1" outlineLevel="1"/>
    <col min="39" max="39" width="3.33333333333333" style="105" hidden="1" customWidth="1" outlineLevel="1"/>
    <col min="40" max="40" width="3.33333333333333" style="104" hidden="1" customWidth="1" outlineLevel="1"/>
    <col min="41" max="42" width="3.33333333333333" style="102" hidden="1" customWidth="1" outlineLevel="1"/>
    <col min="43" max="43" width="3.33333333333333" style="105" hidden="1" customWidth="1" outlineLevel="1"/>
    <col min="44" max="44" width="19.8888888888889" style="108" customWidth="1" collapsed="1"/>
    <col min="45" max="45" width="21.6666666666667" style="109" customWidth="1"/>
    <col min="46" max="46" width="7.44444444444444" style="110" customWidth="1"/>
    <col min="47" max="47" width="5.11111111111111" style="111" customWidth="1"/>
    <col min="48" max="48" width="23.8888888888889" style="112" customWidth="1"/>
  </cols>
  <sheetData>
    <row r="1" s="99" customFormat="1" ht="89.25" customHeight="1" spans="1:48">
      <c r="A1" s="113" t="s">
        <v>0</v>
      </c>
      <c r="B1" s="114" t="s">
        <v>1</v>
      </c>
      <c r="C1" s="115" t="s">
        <v>2</v>
      </c>
      <c r="D1" s="115" t="s">
        <v>3</v>
      </c>
      <c r="E1" s="115" t="s">
        <v>4</v>
      </c>
      <c r="F1" s="115" t="s">
        <v>5</v>
      </c>
      <c r="G1" s="116" t="s">
        <v>6</v>
      </c>
      <c r="H1" s="116" t="s">
        <v>7</v>
      </c>
      <c r="I1" s="117" t="s">
        <v>8</v>
      </c>
      <c r="J1" s="115" t="s">
        <v>9</v>
      </c>
      <c r="K1" s="115" t="s">
        <v>10</v>
      </c>
      <c r="L1" s="115" t="s">
        <v>11</v>
      </c>
      <c r="M1" s="117" t="s">
        <v>12</v>
      </c>
      <c r="N1" s="115" t="s">
        <v>13</v>
      </c>
      <c r="O1" s="115" t="s">
        <v>14</v>
      </c>
      <c r="P1" s="115" t="s">
        <v>15</v>
      </c>
      <c r="Q1" s="118" t="s">
        <v>16</v>
      </c>
      <c r="R1" s="116" t="s">
        <v>17</v>
      </c>
      <c r="S1" s="116" t="s">
        <v>18</v>
      </c>
      <c r="T1" s="119" t="s">
        <v>19</v>
      </c>
      <c r="U1" s="115" t="s">
        <v>20</v>
      </c>
      <c r="V1" s="115" t="s">
        <v>21</v>
      </c>
      <c r="W1" s="120" t="s">
        <v>22</v>
      </c>
      <c r="X1" s="121" t="s">
        <v>23</v>
      </c>
      <c r="Y1" s="115" t="s">
        <v>24</v>
      </c>
      <c r="Z1" s="115" t="s">
        <v>25</v>
      </c>
      <c r="AA1" s="117" t="s">
        <v>26</v>
      </c>
      <c r="AB1" s="122" t="s">
        <v>27</v>
      </c>
      <c r="AC1" s="117" t="s">
        <v>28</v>
      </c>
      <c r="AD1" s="115" t="s">
        <v>29</v>
      </c>
      <c r="AE1" s="117" t="s">
        <v>30</v>
      </c>
      <c r="AF1" s="122" t="s">
        <v>31</v>
      </c>
      <c r="AG1" s="117" t="s">
        <v>32</v>
      </c>
      <c r="AH1" s="115" t="s">
        <v>33</v>
      </c>
      <c r="AI1" s="122" t="s">
        <v>34</v>
      </c>
      <c r="AJ1" s="117" t="s">
        <v>35</v>
      </c>
      <c r="AK1" s="115" t="s">
        <v>36</v>
      </c>
      <c r="AL1" s="115" t="s">
        <v>37</v>
      </c>
      <c r="AM1" s="122" t="s">
        <v>38</v>
      </c>
      <c r="AN1" s="117" t="s">
        <v>39</v>
      </c>
      <c r="AO1" s="115" t="s">
        <v>40</v>
      </c>
      <c r="AP1" s="115" t="s">
        <v>41</v>
      </c>
      <c r="AQ1" s="122" t="s">
        <v>42</v>
      </c>
      <c r="AR1" s="117" t="s">
        <v>43</v>
      </c>
      <c r="AS1" s="122" t="s">
        <v>44</v>
      </c>
      <c r="AT1" s="124" t="s">
        <v>45</v>
      </c>
      <c r="AU1" s="120" t="s">
        <v>46</v>
      </c>
      <c r="AV1" s="122" t="s">
        <v>47</v>
      </c>
    </row>
    <row r="2" spans="1:47">
      <c r="A2" s="100">
        <v>10000113</v>
      </c>
      <c r="B2" s="101">
        <v>110</v>
      </c>
      <c r="C2" s="102">
        <v>5</v>
      </c>
      <c r="D2" s="103" t="s">
        <v>48</v>
      </c>
      <c r="F2" s="103" t="s">
        <v>49</v>
      </c>
      <c r="G2" s="103">
        <v>3</v>
      </c>
      <c r="H2" s="103">
        <v>3</v>
      </c>
      <c r="I2" s="104" t="s">
        <v>50</v>
      </c>
      <c r="J2" s="102" t="s">
        <v>51</v>
      </c>
      <c r="K2" s="102">
        <v>75</v>
      </c>
      <c r="L2" s="103">
        <v>1</v>
      </c>
      <c r="M2" s="104">
        <v>93</v>
      </c>
      <c r="N2" s="102">
        <v>80</v>
      </c>
      <c r="O2" s="102">
        <v>0</v>
      </c>
      <c r="P2" s="102">
        <v>70</v>
      </c>
      <c r="Q2" s="104">
        <f>_xlfn.FLOOR.MATH(0+0*B2)</f>
        <v>0</v>
      </c>
      <c r="R2" s="102">
        <f>_xlfn.FLOOR.MATH(13+0.25*B2)</f>
        <v>40</v>
      </c>
      <c r="S2" s="102">
        <f>_xlfn.FLOOR.MATH(27+0.3*B2)</f>
        <v>60</v>
      </c>
      <c r="T2" s="105">
        <f>_xlfn.FLOOR.MATH(40+0.51*B2)</f>
        <v>96</v>
      </c>
      <c r="U2" s="102">
        <v>5</v>
      </c>
      <c r="V2" s="102">
        <v>31</v>
      </c>
      <c r="W2" s="106" t="s">
        <v>52</v>
      </c>
      <c r="X2" s="106" t="s">
        <v>53</v>
      </c>
      <c r="Y2" s="102" t="s">
        <v>54</v>
      </c>
      <c r="Z2" s="102" t="s">
        <v>55</v>
      </c>
      <c r="AA2" s="104" t="s">
        <v>56</v>
      </c>
      <c r="AB2" s="105">
        <v>12</v>
      </c>
      <c r="AC2" s="104">
        <v>4</v>
      </c>
      <c r="AD2" s="123" t="s">
        <v>57</v>
      </c>
      <c r="AE2" s="104">
        <v>70</v>
      </c>
      <c r="AF2" s="105">
        <v>120</v>
      </c>
      <c r="AG2" s="104">
        <v>2.88</v>
      </c>
      <c r="AH2" s="102">
        <v>5.4</v>
      </c>
      <c r="AI2" s="105">
        <v>0.75</v>
      </c>
      <c r="AJ2" s="104">
        <v>40</v>
      </c>
      <c r="AK2" s="102">
        <v>50</v>
      </c>
      <c r="AL2" s="102">
        <v>40</v>
      </c>
      <c r="AM2" s="105">
        <v>0</v>
      </c>
      <c r="AN2" s="104">
        <v>73</v>
      </c>
      <c r="AO2" s="102">
        <v>0</v>
      </c>
      <c r="AP2" s="102">
        <v>65</v>
      </c>
      <c r="AQ2" s="105">
        <v>24</v>
      </c>
      <c r="AU2" s="125" t="str">
        <f>HYPERLINK("http://www.jianrmod.cn/data/shipGetInfo.html?type=0&amp;cid=10000113","详细")</f>
        <v>详细</v>
      </c>
    </row>
    <row r="3" spans="1:47">
      <c r="A3" s="100">
        <v>10000213</v>
      </c>
      <c r="B3" s="101">
        <v>110</v>
      </c>
      <c r="C3" s="102">
        <v>3</v>
      </c>
      <c r="D3" s="103" t="s">
        <v>58</v>
      </c>
      <c r="E3" s="103" t="s">
        <v>59</v>
      </c>
      <c r="F3" s="103" t="s">
        <v>49</v>
      </c>
      <c r="G3" s="103">
        <v>2</v>
      </c>
      <c r="H3" s="103">
        <v>2</v>
      </c>
      <c r="I3" s="104" t="s">
        <v>60</v>
      </c>
      <c r="J3" s="102" t="s">
        <v>61</v>
      </c>
      <c r="K3" s="102">
        <v>67</v>
      </c>
      <c r="L3" s="103">
        <v>1</v>
      </c>
      <c r="M3" s="104">
        <v>90</v>
      </c>
      <c r="N3" s="102">
        <v>81</v>
      </c>
      <c r="O3" s="102">
        <v>0</v>
      </c>
      <c r="P3" s="102">
        <v>50</v>
      </c>
      <c r="Q3" s="104">
        <f>_xlfn.FLOOR.MATH(0+0*B3)</f>
        <v>0</v>
      </c>
      <c r="R3" s="102">
        <f>_xlfn.FLOOR.MATH(9+0.25*B3)</f>
        <v>36</v>
      </c>
      <c r="S3" s="102">
        <f>_xlfn.FLOOR.MATH(21+0.2*B3)</f>
        <v>43</v>
      </c>
      <c r="T3" s="105">
        <f>_xlfn.FLOOR.MATH(38+0.51*B3)</f>
        <v>94</v>
      </c>
      <c r="U3" s="102">
        <v>7</v>
      </c>
      <c r="V3" s="102">
        <v>25</v>
      </c>
      <c r="W3" s="106" t="s">
        <v>52</v>
      </c>
      <c r="X3" s="106" t="s">
        <v>62</v>
      </c>
      <c r="Y3" s="102" t="s">
        <v>54</v>
      </c>
      <c r="Z3" s="102" t="s">
        <v>55</v>
      </c>
      <c r="AA3" s="104" t="s">
        <v>56</v>
      </c>
      <c r="AB3" s="105">
        <v>12</v>
      </c>
      <c r="AC3" s="104">
        <v>4</v>
      </c>
      <c r="AD3" s="123" t="s">
        <v>63</v>
      </c>
      <c r="AE3" s="104">
        <v>85</v>
      </c>
      <c r="AF3" s="105">
        <v>120</v>
      </c>
      <c r="AG3" s="104">
        <v>2.5</v>
      </c>
      <c r="AH3" s="102">
        <v>5.1</v>
      </c>
      <c r="AI3" s="105">
        <v>1</v>
      </c>
      <c r="AJ3" s="104">
        <v>50</v>
      </c>
      <c r="AK3" s="102">
        <v>60</v>
      </c>
      <c r="AL3" s="102">
        <v>60</v>
      </c>
      <c r="AM3" s="105">
        <v>0</v>
      </c>
      <c r="AN3" s="104">
        <v>70</v>
      </c>
      <c r="AO3" s="102">
        <v>0</v>
      </c>
      <c r="AP3" s="102">
        <v>61</v>
      </c>
      <c r="AQ3" s="105">
        <v>10</v>
      </c>
      <c r="AU3" s="125" t="str">
        <f>HYPERLINK("http://www.jianrmod.cn/data/shipGetInfo.html?type=0&amp;cid=10000213","详细")</f>
        <v>详细</v>
      </c>
    </row>
    <row r="4" spans="1:47">
      <c r="A4" s="100">
        <v>10000313</v>
      </c>
      <c r="B4" s="101">
        <v>110</v>
      </c>
      <c r="C4" s="102">
        <v>3</v>
      </c>
      <c r="D4" s="103" t="s">
        <v>64</v>
      </c>
      <c r="E4" s="103" t="s">
        <v>65</v>
      </c>
      <c r="F4" s="103" t="s">
        <v>49</v>
      </c>
      <c r="G4" s="103">
        <v>2</v>
      </c>
      <c r="H4" s="103">
        <v>2</v>
      </c>
      <c r="I4" s="104" t="s">
        <v>60</v>
      </c>
      <c r="J4" s="102" t="s">
        <v>61</v>
      </c>
      <c r="K4" s="102">
        <v>67</v>
      </c>
      <c r="L4" s="103">
        <v>1</v>
      </c>
      <c r="M4" s="104">
        <v>90</v>
      </c>
      <c r="N4" s="102">
        <v>81</v>
      </c>
      <c r="O4" s="102">
        <v>0</v>
      </c>
      <c r="P4" s="102">
        <v>50</v>
      </c>
      <c r="Q4" s="104">
        <f>_xlfn.FLOOR.MATH(0+0*B4)</f>
        <v>0</v>
      </c>
      <c r="R4" s="102">
        <f>_xlfn.FLOOR.MATH(9+0.25*B4)</f>
        <v>36</v>
      </c>
      <c r="S4" s="102">
        <f>_xlfn.FLOOR.MATH(21+0.2*B4)</f>
        <v>43</v>
      </c>
      <c r="T4" s="105">
        <f>_xlfn.FLOOR.MATH(38+0.51*B4)</f>
        <v>94</v>
      </c>
      <c r="U4" s="102">
        <v>7</v>
      </c>
      <c r="V4" s="102">
        <v>25</v>
      </c>
      <c r="W4" s="106" t="s">
        <v>52</v>
      </c>
      <c r="X4" s="106" t="s">
        <v>62</v>
      </c>
      <c r="Y4" s="102" t="s">
        <v>54</v>
      </c>
      <c r="Z4" s="102" t="s">
        <v>55</v>
      </c>
      <c r="AA4" s="104" t="s">
        <v>56</v>
      </c>
      <c r="AB4" s="105">
        <v>12</v>
      </c>
      <c r="AC4" s="104">
        <v>4</v>
      </c>
      <c r="AD4" s="123" t="s">
        <v>63</v>
      </c>
      <c r="AE4" s="104">
        <v>85</v>
      </c>
      <c r="AF4" s="105">
        <v>120</v>
      </c>
      <c r="AG4" s="104">
        <v>2.5</v>
      </c>
      <c r="AH4" s="102">
        <v>5.1</v>
      </c>
      <c r="AI4" s="105">
        <v>1</v>
      </c>
      <c r="AJ4" s="104">
        <v>50</v>
      </c>
      <c r="AK4" s="102">
        <v>60</v>
      </c>
      <c r="AL4" s="102">
        <v>60</v>
      </c>
      <c r="AM4" s="105">
        <v>0</v>
      </c>
      <c r="AN4" s="104">
        <v>70</v>
      </c>
      <c r="AO4" s="102">
        <v>0</v>
      </c>
      <c r="AP4" s="102">
        <v>61</v>
      </c>
      <c r="AQ4" s="105">
        <v>10</v>
      </c>
      <c r="AT4" s="110">
        <v>0.180555555555556</v>
      </c>
      <c r="AU4" s="125" t="str">
        <f>HYPERLINK("http://www.jianrmod.cn/data/shipGetInfo.html?type=0&amp;cid=10000313","详细")</f>
        <v>详细</v>
      </c>
    </row>
    <row r="5" spans="1:47">
      <c r="A5" s="100">
        <v>10000413</v>
      </c>
      <c r="B5" s="101">
        <v>110</v>
      </c>
      <c r="C5" s="102">
        <v>3</v>
      </c>
      <c r="D5" s="103" t="s">
        <v>66</v>
      </c>
      <c r="E5" s="103" t="s">
        <v>67</v>
      </c>
      <c r="F5" s="103" t="s">
        <v>49</v>
      </c>
      <c r="G5" s="103">
        <v>2</v>
      </c>
      <c r="H5" s="103">
        <v>2</v>
      </c>
      <c r="I5" s="104" t="s">
        <v>60</v>
      </c>
      <c r="J5" s="102" t="s">
        <v>61</v>
      </c>
      <c r="K5" s="102">
        <v>74</v>
      </c>
      <c r="L5" s="103">
        <v>2</v>
      </c>
      <c r="M5" s="104">
        <v>91</v>
      </c>
      <c r="N5" s="102">
        <v>82</v>
      </c>
      <c r="O5" s="102">
        <v>0</v>
      </c>
      <c r="P5" s="102">
        <v>52</v>
      </c>
      <c r="Q5" s="104">
        <f>_xlfn.FLOOR.MATH(0+0*B5)</f>
        <v>0</v>
      </c>
      <c r="R5" s="102">
        <f>_xlfn.FLOOR.MATH(10+0.25*B5)</f>
        <v>37</v>
      </c>
      <c r="S5" s="102">
        <f>_xlfn.FLOOR.MATH(24+0.2*B5)</f>
        <v>46</v>
      </c>
      <c r="T5" s="105">
        <f>_xlfn.FLOOR.MATH(38+0.51*B5)</f>
        <v>94</v>
      </c>
      <c r="U5" s="102">
        <v>16</v>
      </c>
      <c r="V5" s="102">
        <v>24.5</v>
      </c>
      <c r="W5" s="106" t="s">
        <v>52</v>
      </c>
      <c r="X5" s="106" t="s">
        <v>68</v>
      </c>
      <c r="Y5" s="102" t="s">
        <v>54</v>
      </c>
      <c r="Z5" s="102" t="s">
        <v>55</v>
      </c>
      <c r="AA5" s="104" t="s">
        <v>56</v>
      </c>
      <c r="AB5" s="105">
        <v>12</v>
      </c>
      <c r="AC5" s="104">
        <v>4</v>
      </c>
      <c r="AD5" s="123" t="s">
        <v>69</v>
      </c>
      <c r="AE5" s="104">
        <v>85</v>
      </c>
      <c r="AF5" s="105">
        <v>120</v>
      </c>
      <c r="AG5" s="104">
        <v>2.5</v>
      </c>
      <c r="AH5" s="102">
        <v>5.1</v>
      </c>
      <c r="AI5" s="105">
        <v>1</v>
      </c>
      <c r="AJ5" s="104">
        <v>50</v>
      </c>
      <c r="AK5" s="102">
        <v>60</v>
      </c>
      <c r="AL5" s="102">
        <v>60</v>
      </c>
      <c r="AM5" s="105">
        <v>0</v>
      </c>
      <c r="AN5" s="104">
        <v>71</v>
      </c>
      <c r="AO5" s="102">
        <v>0</v>
      </c>
      <c r="AP5" s="102">
        <v>62</v>
      </c>
      <c r="AQ5" s="105">
        <v>11</v>
      </c>
      <c r="AU5" s="125" t="str">
        <f>HYPERLINK("http://www.jianrmod.cn/data/shipGetInfo.html?type=0&amp;cid=10000413","详细")</f>
        <v>详细</v>
      </c>
    </row>
    <row r="6" spans="1:47">
      <c r="A6" s="100">
        <v>10000513</v>
      </c>
      <c r="B6" s="101">
        <v>110</v>
      </c>
      <c r="C6" s="102">
        <v>3</v>
      </c>
      <c r="D6" s="103" t="s">
        <v>70</v>
      </c>
      <c r="E6" s="103" t="s">
        <v>71</v>
      </c>
      <c r="F6" s="103" t="s">
        <v>49</v>
      </c>
      <c r="G6" s="103">
        <v>2</v>
      </c>
      <c r="H6" s="103">
        <v>2</v>
      </c>
      <c r="I6" s="104" t="s">
        <v>60</v>
      </c>
      <c r="J6" s="102" t="s">
        <v>61</v>
      </c>
      <c r="K6" s="102">
        <v>74</v>
      </c>
      <c r="L6" s="103">
        <v>2</v>
      </c>
      <c r="M6" s="104">
        <v>91</v>
      </c>
      <c r="N6" s="102">
        <v>82</v>
      </c>
      <c r="O6" s="102">
        <v>0</v>
      </c>
      <c r="P6" s="102">
        <v>52</v>
      </c>
      <c r="Q6" s="104">
        <f>_xlfn.FLOOR.MATH(0+0*B6)</f>
        <v>0</v>
      </c>
      <c r="R6" s="102">
        <f>_xlfn.FLOOR.MATH(10+0.25*B6)</f>
        <v>37</v>
      </c>
      <c r="S6" s="102">
        <f>_xlfn.FLOOR.MATH(24+0.2*B6)</f>
        <v>46</v>
      </c>
      <c r="T6" s="105">
        <f>_xlfn.FLOOR.MATH(38+0.51*B6)</f>
        <v>94</v>
      </c>
      <c r="U6" s="102">
        <v>16</v>
      </c>
      <c r="V6" s="102">
        <v>24.5</v>
      </c>
      <c r="W6" s="106" t="s">
        <v>52</v>
      </c>
      <c r="X6" s="106" t="s">
        <v>68</v>
      </c>
      <c r="Y6" s="102" t="s">
        <v>54</v>
      </c>
      <c r="Z6" s="102" t="s">
        <v>55</v>
      </c>
      <c r="AA6" s="104" t="s">
        <v>56</v>
      </c>
      <c r="AB6" s="105">
        <v>12</v>
      </c>
      <c r="AC6" s="104">
        <v>4</v>
      </c>
      <c r="AD6" s="123" t="s">
        <v>69</v>
      </c>
      <c r="AE6" s="104">
        <v>85</v>
      </c>
      <c r="AF6" s="105">
        <v>120</v>
      </c>
      <c r="AG6" s="104">
        <v>2.5</v>
      </c>
      <c r="AH6" s="102">
        <v>5.1</v>
      </c>
      <c r="AI6" s="105">
        <v>1</v>
      </c>
      <c r="AJ6" s="104">
        <v>50</v>
      </c>
      <c r="AK6" s="102">
        <v>60</v>
      </c>
      <c r="AL6" s="102">
        <v>60</v>
      </c>
      <c r="AM6" s="105">
        <v>0</v>
      </c>
      <c r="AN6" s="104">
        <v>71</v>
      </c>
      <c r="AO6" s="102">
        <v>0</v>
      </c>
      <c r="AP6" s="102">
        <v>62</v>
      </c>
      <c r="AQ6" s="105">
        <v>11</v>
      </c>
      <c r="AT6" s="110">
        <v>0.1875</v>
      </c>
      <c r="AU6" s="125" t="str">
        <f>HYPERLINK("http://www.jianrmod.cn/data/shipGetInfo.html?type=0&amp;cid=10000513","详细")</f>
        <v>详细</v>
      </c>
    </row>
    <row r="7" spans="1:47">
      <c r="A7" s="100">
        <v>10000613</v>
      </c>
      <c r="B7" s="101">
        <v>110</v>
      </c>
      <c r="C7" s="102">
        <v>5</v>
      </c>
      <c r="D7" s="103" t="s">
        <v>72</v>
      </c>
      <c r="F7" s="103" t="s">
        <v>49</v>
      </c>
      <c r="G7" s="103">
        <v>3</v>
      </c>
      <c r="H7" s="103">
        <v>3</v>
      </c>
      <c r="I7" s="104" t="s">
        <v>73</v>
      </c>
      <c r="J7" s="102" t="s">
        <v>61</v>
      </c>
      <c r="K7" s="102">
        <v>90</v>
      </c>
      <c r="L7" s="103">
        <v>2</v>
      </c>
      <c r="M7" s="104">
        <v>92</v>
      </c>
      <c r="N7" s="102">
        <v>100</v>
      </c>
      <c r="O7" s="102">
        <v>0</v>
      </c>
      <c r="P7" s="102">
        <v>55</v>
      </c>
      <c r="Q7" s="104">
        <f>_xlfn.FLOOR.MATH(0+0*B7)</f>
        <v>0</v>
      </c>
      <c r="R7" s="102">
        <f>_xlfn.FLOOR.MATH(16+0.25*B7)</f>
        <v>43</v>
      </c>
      <c r="S7" s="102">
        <f>_xlfn.FLOOR.MATH(26+0.2*B7)</f>
        <v>48</v>
      </c>
      <c r="T7" s="105">
        <f>_xlfn.FLOOR.MATH(40+0.51*B7)</f>
        <v>96</v>
      </c>
      <c r="U7" s="102">
        <v>15</v>
      </c>
      <c r="V7" s="102">
        <v>30</v>
      </c>
      <c r="W7" s="106" t="s">
        <v>52</v>
      </c>
      <c r="X7" s="106" t="s">
        <v>74</v>
      </c>
      <c r="Y7" s="102" t="s">
        <v>54</v>
      </c>
      <c r="Z7" s="102" t="s">
        <v>55</v>
      </c>
      <c r="AA7" s="104" t="s">
        <v>75</v>
      </c>
      <c r="AB7" s="105">
        <v>16</v>
      </c>
      <c r="AC7" s="104">
        <v>4</v>
      </c>
      <c r="AD7" s="123" t="s">
        <v>76</v>
      </c>
      <c r="AE7" s="104">
        <v>90</v>
      </c>
      <c r="AF7" s="105">
        <v>130</v>
      </c>
      <c r="AG7" s="104">
        <v>4.2</v>
      </c>
      <c r="AH7" s="102">
        <v>8.8</v>
      </c>
      <c r="AI7" s="105">
        <v>1</v>
      </c>
      <c r="AJ7" s="104">
        <v>50</v>
      </c>
      <c r="AK7" s="102">
        <v>60</v>
      </c>
      <c r="AL7" s="102">
        <v>60</v>
      </c>
      <c r="AM7" s="105">
        <v>0</v>
      </c>
      <c r="AN7" s="104">
        <v>72</v>
      </c>
      <c r="AO7" s="102">
        <v>0</v>
      </c>
      <c r="AP7" s="102">
        <v>84</v>
      </c>
      <c r="AQ7" s="105">
        <v>13</v>
      </c>
      <c r="AT7" s="110">
        <v>0.229166666666667</v>
      </c>
      <c r="AU7" s="125" t="str">
        <f>HYPERLINK("http://www.jianrmod.cn/data/shipGetInfo.html?type=0&amp;cid=10000613","详细")</f>
        <v>详细</v>
      </c>
    </row>
    <row r="8" spans="1:47">
      <c r="A8" s="100">
        <v>10000713</v>
      </c>
      <c r="B8" s="101">
        <v>110</v>
      </c>
      <c r="C8" s="102">
        <v>5</v>
      </c>
      <c r="D8" s="103" t="s">
        <v>77</v>
      </c>
      <c r="F8" s="103" t="s">
        <v>49</v>
      </c>
      <c r="G8" s="103">
        <v>3</v>
      </c>
      <c r="H8" s="103">
        <v>3</v>
      </c>
      <c r="I8" s="104" t="s">
        <v>73</v>
      </c>
      <c r="J8" s="102" t="s">
        <v>61</v>
      </c>
      <c r="K8" s="102">
        <v>91</v>
      </c>
      <c r="L8" s="103">
        <v>1</v>
      </c>
      <c r="M8" s="104">
        <v>92</v>
      </c>
      <c r="N8" s="102">
        <v>100</v>
      </c>
      <c r="O8" s="102">
        <v>0</v>
      </c>
      <c r="P8" s="102">
        <v>55</v>
      </c>
      <c r="Q8" s="104">
        <f>_xlfn.FLOOR.MATH(0+0*B8)</f>
        <v>0</v>
      </c>
      <c r="R8" s="102">
        <f>_xlfn.FLOOR.MATH(16+0.25*B8)</f>
        <v>43</v>
      </c>
      <c r="S8" s="102">
        <f>_xlfn.FLOOR.MATH(26+0.2*B8)</f>
        <v>48</v>
      </c>
      <c r="T8" s="105">
        <f>_xlfn.FLOOR.MATH(40+0.51*B8)</f>
        <v>96</v>
      </c>
      <c r="U8" s="102">
        <v>16</v>
      </c>
      <c r="V8" s="102">
        <v>30.8</v>
      </c>
      <c r="W8" s="106" t="s">
        <v>52</v>
      </c>
      <c r="X8" s="106" t="s">
        <v>74</v>
      </c>
      <c r="Y8" s="102" t="s">
        <v>54</v>
      </c>
      <c r="Z8" s="102" t="s">
        <v>55</v>
      </c>
      <c r="AA8" s="104" t="s">
        <v>75</v>
      </c>
      <c r="AB8" s="105">
        <v>16</v>
      </c>
      <c r="AC8" s="104">
        <v>4</v>
      </c>
      <c r="AD8" s="123" t="s">
        <v>76</v>
      </c>
      <c r="AE8" s="104">
        <v>90</v>
      </c>
      <c r="AF8" s="105">
        <v>130</v>
      </c>
      <c r="AG8" s="104">
        <v>4.2</v>
      </c>
      <c r="AH8" s="102">
        <v>8.8</v>
      </c>
      <c r="AI8" s="105">
        <v>1</v>
      </c>
      <c r="AJ8" s="104">
        <v>50</v>
      </c>
      <c r="AK8" s="102">
        <v>60</v>
      </c>
      <c r="AL8" s="102">
        <v>60</v>
      </c>
      <c r="AM8" s="105">
        <v>0</v>
      </c>
      <c r="AN8" s="104">
        <v>72</v>
      </c>
      <c r="AO8" s="102">
        <v>0</v>
      </c>
      <c r="AP8" s="102">
        <v>84</v>
      </c>
      <c r="AQ8" s="105">
        <v>13</v>
      </c>
      <c r="AT8" s="110">
        <v>0.229166666666667</v>
      </c>
      <c r="AU8" s="125"/>
    </row>
    <row r="9" spans="1:47">
      <c r="A9" s="100">
        <v>10000813</v>
      </c>
      <c r="B9" s="101">
        <v>110</v>
      </c>
      <c r="C9" s="102">
        <v>4</v>
      </c>
      <c r="D9" s="103" t="s">
        <v>78</v>
      </c>
      <c r="F9" s="103" t="s">
        <v>49</v>
      </c>
      <c r="G9" s="103">
        <v>3</v>
      </c>
      <c r="H9" s="103">
        <v>3</v>
      </c>
      <c r="I9" s="104" t="s">
        <v>50</v>
      </c>
      <c r="J9" s="102" t="s">
        <v>61</v>
      </c>
      <c r="K9" s="102">
        <v>72</v>
      </c>
      <c r="L9" s="103">
        <v>0</v>
      </c>
      <c r="M9" s="104">
        <v>104</v>
      </c>
      <c r="N9" s="102">
        <v>92</v>
      </c>
      <c r="O9" s="102">
        <v>0</v>
      </c>
      <c r="P9" s="102">
        <v>72</v>
      </c>
      <c r="Q9" s="104">
        <f>_xlfn.FLOOR.MATH(0+0*B9)</f>
        <v>0</v>
      </c>
      <c r="R9" s="102">
        <f>_xlfn.FLOOR.MATH(12+0.25*B9)</f>
        <v>39</v>
      </c>
      <c r="S9" s="102">
        <f>_xlfn.FLOOR.MATH(19+0.2*B9)</f>
        <v>41</v>
      </c>
      <c r="T9" s="105">
        <f>_xlfn.FLOOR.MATH(39+0.51*B9)</f>
        <v>95</v>
      </c>
      <c r="U9" s="102">
        <v>20</v>
      </c>
      <c r="V9" s="102">
        <v>23.5</v>
      </c>
      <c r="W9" s="106" t="s">
        <v>52</v>
      </c>
      <c r="X9" s="106" t="s">
        <v>79</v>
      </c>
      <c r="Y9" s="102" t="s">
        <v>54</v>
      </c>
      <c r="Z9" s="102" t="s">
        <v>55</v>
      </c>
      <c r="AA9" s="104">
        <v>0</v>
      </c>
      <c r="AB9" s="105">
        <v>0</v>
      </c>
      <c r="AC9" s="104">
        <v>4</v>
      </c>
      <c r="AD9" s="123" t="s">
        <v>80</v>
      </c>
      <c r="AE9" s="104">
        <v>90</v>
      </c>
      <c r="AF9" s="105">
        <v>140</v>
      </c>
      <c r="AG9" s="104">
        <v>3.2</v>
      </c>
      <c r="AH9" s="102">
        <v>6</v>
      </c>
      <c r="AI9" s="105">
        <v>1</v>
      </c>
      <c r="AJ9" s="104">
        <v>50</v>
      </c>
      <c r="AK9" s="102">
        <v>60</v>
      </c>
      <c r="AL9" s="102">
        <v>60</v>
      </c>
      <c r="AM9" s="105">
        <v>0</v>
      </c>
      <c r="AN9" s="104">
        <v>89</v>
      </c>
      <c r="AO9" s="102">
        <v>0</v>
      </c>
      <c r="AP9" s="102">
        <v>72</v>
      </c>
      <c r="AQ9" s="105">
        <v>27</v>
      </c>
      <c r="AU9" s="125" t="str">
        <f>HYPERLINK("http://www.jianrmod.cn/data/shipGetInfo.html?type=0&amp;cid=10000813","详细")</f>
        <v>详细</v>
      </c>
    </row>
    <row r="10" spans="1:47">
      <c r="A10" s="100">
        <v>10000913</v>
      </c>
      <c r="B10" s="101">
        <v>110</v>
      </c>
      <c r="C10" s="102">
        <v>4</v>
      </c>
      <c r="D10" s="103" t="s">
        <v>81</v>
      </c>
      <c r="F10" s="103" t="s">
        <v>49</v>
      </c>
      <c r="G10" s="103">
        <v>3</v>
      </c>
      <c r="H10" s="103">
        <v>3</v>
      </c>
      <c r="I10" s="104" t="s">
        <v>50</v>
      </c>
      <c r="J10" s="102" t="s">
        <v>61</v>
      </c>
      <c r="K10" s="102">
        <v>72</v>
      </c>
      <c r="L10" s="103">
        <v>0</v>
      </c>
      <c r="M10" s="104">
        <v>104</v>
      </c>
      <c r="N10" s="102">
        <v>92</v>
      </c>
      <c r="O10" s="102">
        <v>0</v>
      </c>
      <c r="P10" s="102">
        <v>72</v>
      </c>
      <c r="Q10" s="104">
        <f>_xlfn.FLOOR.MATH(0+0*B10)</f>
        <v>0</v>
      </c>
      <c r="R10" s="102">
        <f>_xlfn.FLOOR.MATH(12+0.25*B10)</f>
        <v>39</v>
      </c>
      <c r="S10" s="102">
        <f>_xlfn.FLOOR.MATH(19+0.2*B10)</f>
        <v>41</v>
      </c>
      <c r="T10" s="105">
        <f>_xlfn.FLOOR.MATH(39+0.51*B10)</f>
        <v>95</v>
      </c>
      <c r="U10" s="102">
        <v>20</v>
      </c>
      <c r="V10" s="102">
        <v>23.5</v>
      </c>
      <c r="W10" s="106" t="s">
        <v>52</v>
      </c>
      <c r="X10" s="106" t="s">
        <v>79</v>
      </c>
      <c r="Y10" s="102" t="s">
        <v>54</v>
      </c>
      <c r="Z10" s="102" t="s">
        <v>55</v>
      </c>
      <c r="AA10" s="104">
        <v>0</v>
      </c>
      <c r="AB10" s="105">
        <v>0</v>
      </c>
      <c r="AC10" s="104">
        <v>4</v>
      </c>
      <c r="AD10" s="123" t="s">
        <v>80</v>
      </c>
      <c r="AE10" s="104">
        <v>90</v>
      </c>
      <c r="AF10" s="105">
        <v>140</v>
      </c>
      <c r="AG10" s="104">
        <v>3.2</v>
      </c>
      <c r="AH10" s="102">
        <v>6</v>
      </c>
      <c r="AI10" s="105">
        <v>1</v>
      </c>
      <c r="AJ10" s="104">
        <v>50</v>
      </c>
      <c r="AK10" s="102">
        <v>60</v>
      </c>
      <c r="AL10" s="102">
        <v>60</v>
      </c>
      <c r="AM10" s="105">
        <v>0</v>
      </c>
      <c r="AN10" s="104">
        <v>89</v>
      </c>
      <c r="AO10" s="102">
        <v>0</v>
      </c>
      <c r="AP10" s="102">
        <v>72</v>
      </c>
      <c r="AQ10" s="105">
        <v>27</v>
      </c>
      <c r="AT10" s="110">
        <v>0.201388888888889</v>
      </c>
      <c r="AU10" s="125" t="str">
        <f>HYPERLINK("http://www.jianrmod.cn/data/shipGetInfo.html?type=0&amp;cid=10000913","详细")</f>
        <v>详细</v>
      </c>
    </row>
    <row r="11" spans="1:47">
      <c r="A11" s="100">
        <v>10001013</v>
      </c>
      <c r="B11" s="101">
        <v>110</v>
      </c>
      <c r="C11" s="102">
        <v>5</v>
      </c>
      <c r="D11" s="103" t="s">
        <v>82</v>
      </c>
      <c r="F11" s="103" t="s">
        <v>49</v>
      </c>
      <c r="G11" s="103">
        <v>3</v>
      </c>
      <c r="H11" s="103">
        <v>3</v>
      </c>
      <c r="I11" s="104" t="s">
        <v>50</v>
      </c>
      <c r="J11" s="102" t="s">
        <v>61</v>
      </c>
      <c r="K11" s="102">
        <v>74</v>
      </c>
      <c r="L11" s="103">
        <v>2</v>
      </c>
      <c r="M11" s="104">
        <v>95</v>
      </c>
      <c r="N11" s="102">
        <v>95</v>
      </c>
      <c r="O11" s="102">
        <v>0</v>
      </c>
      <c r="P11" s="102">
        <v>82</v>
      </c>
      <c r="Q11" s="104">
        <f>_xlfn.FLOOR.MATH(0+0*B11)</f>
        <v>0</v>
      </c>
      <c r="R11" s="102">
        <f>_xlfn.FLOOR.MATH(15+0.25*B11)</f>
        <v>42</v>
      </c>
      <c r="S11" s="102">
        <f>_xlfn.FLOOR.MATH(26+0.2*B11)</f>
        <v>48</v>
      </c>
      <c r="T11" s="105">
        <f>_xlfn.FLOOR.MATH(40+0.51*B11)</f>
        <v>96</v>
      </c>
      <c r="U11" s="102">
        <v>10</v>
      </c>
      <c r="V11" s="102">
        <v>29</v>
      </c>
      <c r="W11" s="106" t="s">
        <v>52</v>
      </c>
      <c r="X11" s="106" t="s">
        <v>83</v>
      </c>
      <c r="Y11" s="102" t="s">
        <v>54</v>
      </c>
      <c r="Z11" s="102" t="s">
        <v>55</v>
      </c>
      <c r="AA11" s="104" t="s">
        <v>75</v>
      </c>
      <c r="AB11" s="105">
        <v>16</v>
      </c>
      <c r="AC11" s="104">
        <v>4</v>
      </c>
      <c r="AD11" s="123" t="s">
        <v>84</v>
      </c>
      <c r="AE11" s="104">
        <v>90</v>
      </c>
      <c r="AF11" s="105">
        <v>140</v>
      </c>
      <c r="AG11" s="104">
        <v>4.2</v>
      </c>
      <c r="AH11" s="102">
        <v>8</v>
      </c>
      <c r="AI11" s="105">
        <v>1</v>
      </c>
      <c r="AJ11" s="104">
        <v>50</v>
      </c>
      <c r="AK11" s="102">
        <v>60</v>
      </c>
      <c r="AL11" s="102">
        <v>60</v>
      </c>
      <c r="AM11" s="105">
        <v>0</v>
      </c>
      <c r="AN11" s="104">
        <v>80</v>
      </c>
      <c r="AO11" s="102">
        <v>0</v>
      </c>
      <c r="AP11" s="102">
        <v>75</v>
      </c>
      <c r="AQ11" s="105">
        <v>42</v>
      </c>
      <c r="AU11" s="125" t="str">
        <f>HYPERLINK("http://www.jianrmod.cn/data/shipGetInfo.html?type=0&amp;cid=10001013","详细")</f>
        <v>详细</v>
      </c>
    </row>
    <row r="12" spans="1:47">
      <c r="A12" s="100">
        <v>10001113</v>
      </c>
      <c r="B12" s="101">
        <v>110</v>
      </c>
      <c r="C12" s="102">
        <v>3</v>
      </c>
      <c r="D12" s="103" t="s">
        <v>85</v>
      </c>
      <c r="F12" s="103" t="s">
        <v>49</v>
      </c>
      <c r="G12" s="103">
        <v>2</v>
      </c>
      <c r="H12" s="103">
        <v>2</v>
      </c>
      <c r="I12" s="104" t="s">
        <v>86</v>
      </c>
      <c r="J12" s="102" t="s">
        <v>61</v>
      </c>
      <c r="K12" s="102">
        <v>64</v>
      </c>
      <c r="L12" s="103">
        <v>0</v>
      </c>
      <c r="M12" s="104">
        <v>85</v>
      </c>
      <c r="N12" s="102">
        <v>88</v>
      </c>
      <c r="O12" s="102">
        <v>0</v>
      </c>
      <c r="P12" s="102">
        <v>63</v>
      </c>
      <c r="Q12" s="104">
        <f>_xlfn.FLOOR.MATH(0+0*B12)</f>
        <v>0</v>
      </c>
      <c r="R12" s="102">
        <f>_xlfn.FLOOR.MATH(10+0.25*B12)</f>
        <v>37</v>
      </c>
      <c r="S12" s="102">
        <f>_xlfn.FLOOR.MATH(15+0.2*B12)</f>
        <v>37</v>
      </c>
      <c r="T12" s="105">
        <f>_xlfn.FLOOR.MATH(38+0.51*B12)</f>
        <v>94</v>
      </c>
      <c r="U12" s="102">
        <v>25</v>
      </c>
      <c r="V12" s="102">
        <v>21</v>
      </c>
      <c r="W12" s="106" t="s">
        <v>52</v>
      </c>
      <c r="X12" s="106" t="s">
        <v>87</v>
      </c>
      <c r="Y12" s="102" t="s">
        <v>54</v>
      </c>
      <c r="Z12" s="102" t="s">
        <v>55</v>
      </c>
      <c r="AA12" s="104" t="s">
        <v>56</v>
      </c>
      <c r="AB12" s="105">
        <v>12</v>
      </c>
      <c r="AC12" s="104">
        <v>4</v>
      </c>
      <c r="AD12" s="123" t="s">
        <v>88</v>
      </c>
      <c r="AE12" s="104">
        <v>85</v>
      </c>
      <c r="AF12" s="105">
        <v>125</v>
      </c>
      <c r="AG12" s="104">
        <v>2.5</v>
      </c>
      <c r="AH12" s="102">
        <v>5.1</v>
      </c>
      <c r="AI12" s="105">
        <v>0.8</v>
      </c>
      <c r="AJ12" s="104">
        <v>50</v>
      </c>
      <c r="AK12" s="102">
        <v>60</v>
      </c>
      <c r="AL12" s="102">
        <v>60</v>
      </c>
      <c r="AM12" s="105">
        <v>0</v>
      </c>
      <c r="AN12" s="104">
        <v>65</v>
      </c>
      <c r="AO12" s="102">
        <v>0</v>
      </c>
      <c r="AP12" s="102">
        <v>68</v>
      </c>
      <c r="AQ12" s="105">
        <v>22</v>
      </c>
      <c r="AU12" s="125" t="str">
        <f>HYPERLINK("http://www.jianrmod.cn/data/shipGetInfo.html?type=0&amp;cid=10001113","详细")</f>
        <v>详细</v>
      </c>
    </row>
    <row r="13" spans="1:47">
      <c r="A13" s="100">
        <v>10001213</v>
      </c>
      <c r="B13" s="101">
        <v>110</v>
      </c>
      <c r="C13" s="102">
        <v>3</v>
      </c>
      <c r="D13" s="103" t="s">
        <v>89</v>
      </c>
      <c r="F13" s="103" t="s">
        <v>49</v>
      </c>
      <c r="G13" s="103">
        <v>2</v>
      </c>
      <c r="H13" s="103">
        <v>2</v>
      </c>
      <c r="I13" s="104" t="s">
        <v>86</v>
      </c>
      <c r="J13" s="102" t="s">
        <v>61</v>
      </c>
      <c r="K13" s="102">
        <v>64</v>
      </c>
      <c r="L13" s="103">
        <v>0</v>
      </c>
      <c r="M13" s="104">
        <v>85</v>
      </c>
      <c r="N13" s="102">
        <v>88</v>
      </c>
      <c r="O13" s="102">
        <v>0</v>
      </c>
      <c r="P13" s="102">
        <v>63</v>
      </c>
      <c r="Q13" s="104">
        <f>_xlfn.FLOOR.MATH(0+0*B13)</f>
        <v>0</v>
      </c>
      <c r="R13" s="102">
        <f>_xlfn.FLOOR.MATH(10+0.25*B13)</f>
        <v>37</v>
      </c>
      <c r="S13" s="102">
        <f>_xlfn.FLOOR.MATH(15+0.2*B13)</f>
        <v>37</v>
      </c>
      <c r="T13" s="105">
        <f>_xlfn.FLOOR.MATH(38+0.51*B13)</f>
        <v>94</v>
      </c>
      <c r="U13" s="102">
        <v>10</v>
      </c>
      <c r="V13" s="102">
        <v>21</v>
      </c>
      <c r="W13" s="106" t="s">
        <v>52</v>
      </c>
      <c r="X13" s="106" t="s">
        <v>87</v>
      </c>
      <c r="Y13" s="102" t="s">
        <v>54</v>
      </c>
      <c r="Z13" s="102" t="s">
        <v>55</v>
      </c>
      <c r="AA13" s="104" t="s">
        <v>56</v>
      </c>
      <c r="AB13" s="105">
        <v>12</v>
      </c>
      <c r="AC13" s="104">
        <v>4</v>
      </c>
      <c r="AD13" s="123" t="s">
        <v>88</v>
      </c>
      <c r="AE13" s="104">
        <v>85</v>
      </c>
      <c r="AF13" s="105">
        <v>125</v>
      </c>
      <c r="AG13" s="104">
        <v>2.5</v>
      </c>
      <c r="AH13" s="102">
        <v>5.1</v>
      </c>
      <c r="AI13" s="105">
        <v>0.8</v>
      </c>
      <c r="AJ13" s="104">
        <v>50</v>
      </c>
      <c r="AK13" s="102">
        <v>60</v>
      </c>
      <c r="AL13" s="102">
        <v>60</v>
      </c>
      <c r="AM13" s="105">
        <v>0</v>
      </c>
      <c r="AN13" s="104">
        <v>65</v>
      </c>
      <c r="AO13" s="102">
        <v>0</v>
      </c>
      <c r="AP13" s="102">
        <v>68</v>
      </c>
      <c r="AQ13" s="105">
        <v>22</v>
      </c>
      <c r="AU13" s="125" t="str">
        <f>HYPERLINK("http://www.jianrmod.cn/data/shipGetInfo.html?type=0&amp;cid=10001213","详细")</f>
        <v>详细</v>
      </c>
    </row>
    <row r="14" spans="1:47">
      <c r="A14" s="100">
        <v>10001313</v>
      </c>
      <c r="B14" s="101">
        <v>110</v>
      </c>
      <c r="C14" s="102">
        <v>5</v>
      </c>
      <c r="D14" s="103" t="s">
        <v>90</v>
      </c>
      <c r="F14" s="103" t="s">
        <v>49</v>
      </c>
      <c r="G14" s="103">
        <v>2</v>
      </c>
      <c r="H14" s="103">
        <v>2</v>
      </c>
      <c r="I14" s="104" t="s">
        <v>91</v>
      </c>
      <c r="J14" s="102" t="s">
        <v>61</v>
      </c>
      <c r="K14" s="102">
        <v>54</v>
      </c>
      <c r="L14" s="103">
        <v>2</v>
      </c>
      <c r="M14" s="104">
        <v>79</v>
      </c>
      <c r="N14" s="102">
        <v>79</v>
      </c>
      <c r="O14" s="102">
        <v>0</v>
      </c>
      <c r="P14" s="102">
        <v>48</v>
      </c>
      <c r="Q14" s="104">
        <f>_xlfn.FLOOR.MATH(0+0*B14)</f>
        <v>0</v>
      </c>
      <c r="R14" s="102">
        <f>_xlfn.FLOOR.MATH(10+0.25*B14)</f>
        <v>37</v>
      </c>
      <c r="S14" s="102">
        <f>_xlfn.FLOOR.MATH(22+0.2*B14)</f>
        <v>44</v>
      </c>
      <c r="T14" s="105">
        <f>_xlfn.FLOOR.MATH(40+0.51*B14)</f>
        <v>96</v>
      </c>
      <c r="U14" s="102">
        <v>20</v>
      </c>
      <c r="V14" s="102">
        <v>22</v>
      </c>
      <c r="W14" s="106" t="s">
        <v>52</v>
      </c>
      <c r="X14" s="106" t="s">
        <v>92</v>
      </c>
      <c r="Y14" s="102" t="s">
        <v>54</v>
      </c>
      <c r="Z14" s="102" t="s">
        <v>55</v>
      </c>
      <c r="AA14" s="104" t="s">
        <v>56</v>
      </c>
      <c r="AB14" s="105">
        <v>12</v>
      </c>
      <c r="AC14" s="104">
        <v>4</v>
      </c>
      <c r="AD14" s="123" t="s">
        <v>93</v>
      </c>
      <c r="AE14" s="104">
        <v>70</v>
      </c>
      <c r="AF14" s="105">
        <v>110</v>
      </c>
      <c r="AG14" s="104">
        <v>2.25</v>
      </c>
      <c r="AH14" s="102">
        <v>4.55</v>
      </c>
      <c r="AI14" s="105">
        <v>1</v>
      </c>
      <c r="AJ14" s="104">
        <v>50</v>
      </c>
      <c r="AK14" s="102">
        <v>60</v>
      </c>
      <c r="AL14" s="102">
        <v>60</v>
      </c>
      <c r="AM14" s="105">
        <v>0</v>
      </c>
      <c r="AN14" s="104">
        <v>59</v>
      </c>
      <c r="AO14" s="102">
        <v>0</v>
      </c>
      <c r="AP14" s="102">
        <v>59</v>
      </c>
      <c r="AQ14" s="105">
        <v>9</v>
      </c>
      <c r="AT14" s="110">
        <v>0.173611111111111</v>
      </c>
      <c r="AU14" s="125" t="str">
        <f>HYPERLINK("http://www.jianrmod.cn/data/shipGetInfo.html?type=0&amp;cid=10001313","详细")</f>
        <v>详细</v>
      </c>
    </row>
    <row r="15" spans="1:47">
      <c r="A15" s="100">
        <v>10001413</v>
      </c>
      <c r="B15" s="101">
        <v>110</v>
      </c>
      <c r="C15" s="102">
        <v>3</v>
      </c>
      <c r="D15" s="103" t="s">
        <v>94</v>
      </c>
      <c r="E15" s="103" t="s">
        <v>95</v>
      </c>
      <c r="F15" s="103" t="s">
        <v>49</v>
      </c>
      <c r="G15" s="103">
        <v>2</v>
      </c>
      <c r="H15" s="103">
        <v>2</v>
      </c>
      <c r="I15" s="104" t="s">
        <v>60</v>
      </c>
      <c r="J15" s="102" t="s">
        <v>51</v>
      </c>
      <c r="K15" s="102">
        <v>63</v>
      </c>
      <c r="L15" s="103">
        <v>1</v>
      </c>
      <c r="M15" s="104">
        <v>90</v>
      </c>
      <c r="N15" s="102">
        <v>70</v>
      </c>
      <c r="O15" s="102">
        <v>0</v>
      </c>
      <c r="P15" s="102">
        <v>56</v>
      </c>
      <c r="Q15" s="104">
        <f>_xlfn.FLOOR.MATH(0+0*B15)</f>
        <v>0</v>
      </c>
      <c r="R15" s="102">
        <f>_xlfn.FLOOR.MATH(13+0.25*B15)</f>
        <v>40</v>
      </c>
      <c r="S15" s="102">
        <f>_xlfn.FLOOR.MATH(32+0.3*B15)</f>
        <v>65</v>
      </c>
      <c r="T15" s="105">
        <f>_xlfn.FLOOR.MATH(38+0.51*B15)</f>
        <v>94</v>
      </c>
      <c r="U15" s="102">
        <v>15</v>
      </c>
      <c r="V15" s="102">
        <v>30.3</v>
      </c>
      <c r="W15" s="106" t="s">
        <v>52</v>
      </c>
      <c r="X15" s="106" t="s">
        <v>96</v>
      </c>
      <c r="Y15" s="102" t="s">
        <v>54</v>
      </c>
      <c r="Z15" s="102" t="s">
        <v>55</v>
      </c>
      <c r="AA15" s="104" t="s">
        <v>56</v>
      </c>
      <c r="AB15" s="105">
        <v>12</v>
      </c>
      <c r="AC15" s="104">
        <v>4</v>
      </c>
      <c r="AD15" s="123" t="s">
        <v>63</v>
      </c>
      <c r="AE15" s="104">
        <v>80</v>
      </c>
      <c r="AF15" s="105">
        <v>110</v>
      </c>
      <c r="AG15" s="104">
        <v>2.88</v>
      </c>
      <c r="AH15" s="102">
        <v>5.4</v>
      </c>
      <c r="AI15" s="105">
        <v>0.75</v>
      </c>
      <c r="AJ15" s="104">
        <v>40</v>
      </c>
      <c r="AK15" s="102">
        <v>50</v>
      </c>
      <c r="AL15" s="102">
        <v>40</v>
      </c>
      <c r="AM15" s="105">
        <v>0</v>
      </c>
      <c r="AN15" s="104">
        <v>65</v>
      </c>
      <c r="AO15" s="102">
        <v>0</v>
      </c>
      <c r="AP15" s="102">
        <v>55</v>
      </c>
      <c r="AQ15" s="105">
        <v>13</v>
      </c>
      <c r="AU15" s="125" t="str">
        <f>HYPERLINK("http://www.jianrmod.cn/data/shipGetInfo.html?type=0&amp;cid=10001413","详细")</f>
        <v>详细</v>
      </c>
    </row>
    <row r="16" spans="1:47">
      <c r="A16" s="100">
        <v>10001513</v>
      </c>
      <c r="B16" s="101">
        <v>110</v>
      </c>
      <c r="C16" s="102">
        <v>3</v>
      </c>
      <c r="D16" s="103" t="s">
        <v>97</v>
      </c>
      <c r="E16" s="103" t="s">
        <v>98</v>
      </c>
      <c r="F16" s="103" t="s">
        <v>49</v>
      </c>
      <c r="G16" s="103">
        <v>2</v>
      </c>
      <c r="H16" s="103">
        <v>2</v>
      </c>
      <c r="I16" s="104" t="s">
        <v>60</v>
      </c>
      <c r="J16" s="102" t="s">
        <v>51</v>
      </c>
      <c r="K16" s="102">
        <v>63</v>
      </c>
      <c r="L16" s="103">
        <v>1</v>
      </c>
      <c r="M16" s="104">
        <v>90</v>
      </c>
      <c r="N16" s="102">
        <v>70</v>
      </c>
      <c r="O16" s="102">
        <v>0</v>
      </c>
      <c r="P16" s="102">
        <v>50</v>
      </c>
      <c r="Q16" s="104">
        <f>_xlfn.FLOOR.MATH(0+0*B16)</f>
        <v>0</v>
      </c>
      <c r="R16" s="102">
        <f>_xlfn.FLOOR.MATH(13+0.25*B16)</f>
        <v>40</v>
      </c>
      <c r="S16" s="102">
        <f>_xlfn.FLOOR.MATH(32+0.3*B16)</f>
        <v>65</v>
      </c>
      <c r="T16" s="105">
        <f>_xlfn.FLOOR.MATH(38+0.51*B16)</f>
        <v>94</v>
      </c>
      <c r="U16" s="102">
        <v>7</v>
      </c>
      <c r="V16" s="102">
        <v>30.3</v>
      </c>
      <c r="W16" s="106" t="s">
        <v>52</v>
      </c>
      <c r="Y16" s="102" t="s">
        <v>54</v>
      </c>
      <c r="Z16" s="102" t="s">
        <v>55</v>
      </c>
      <c r="AA16" s="104" t="s">
        <v>56</v>
      </c>
      <c r="AB16" s="105">
        <v>12</v>
      </c>
      <c r="AC16" s="104">
        <v>4</v>
      </c>
      <c r="AD16" s="123" t="s">
        <v>63</v>
      </c>
      <c r="AE16" s="104">
        <v>80</v>
      </c>
      <c r="AF16" s="105">
        <v>110</v>
      </c>
      <c r="AG16" s="104">
        <v>2.88</v>
      </c>
      <c r="AH16" s="102">
        <v>5.4</v>
      </c>
      <c r="AI16" s="105">
        <v>0.75</v>
      </c>
      <c r="AJ16" s="104">
        <v>40</v>
      </c>
      <c r="AK16" s="102">
        <v>50</v>
      </c>
      <c r="AL16" s="102">
        <v>40</v>
      </c>
      <c r="AM16" s="105">
        <v>0</v>
      </c>
      <c r="AN16" s="104">
        <v>65</v>
      </c>
      <c r="AO16" s="102">
        <v>0</v>
      </c>
      <c r="AP16" s="102">
        <v>55</v>
      </c>
      <c r="AQ16" s="105">
        <v>10</v>
      </c>
      <c r="AU16" s="125" t="str">
        <f>HYPERLINK("http://www.jianrmod.cn/data/shipGetInfo.html?type=0&amp;cid=10001513","详细")</f>
        <v>详细</v>
      </c>
    </row>
    <row r="17" spans="1:47">
      <c r="A17" s="100">
        <v>10001613</v>
      </c>
      <c r="B17" s="101">
        <v>110</v>
      </c>
      <c r="C17" s="102">
        <v>3</v>
      </c>
      <c r="D17" s="103" t="s">
        <v>99</v>
      </c>
      <c r="E17" s="103" t="s">
        <v>100</v>
      </c>
      <c r="F17" s="103" t="s">
        <v>49</v>
      </c>
      <c r="G17" s="103">
        <v>2</v>
      </c>
      <c r="H17" s="103">
        <v>2</v>
      </c>
      <c r="I17" s="104" t="s">
        <v>60</v>
      </c>
      <c r="J17" s="102" t="s">
        <v>51</v>
      </c>
      <c r="K17" s="102">
        <v>63</v>
      </c>
      <c r="L17" s="103">
        <v>1</v>
      </c>
      <c r="M17" s="104">
        <v>90</v>
      </c>
      <c r="N17" s="102">
        <v>70</v>
      </c>
      <c r="O17" s="102">
        <v>0</v>
      </c>
      <c r="P17" s="102">
        <v>50</v>
      </c>
      <c r="Q17" s="104">
        <f>_xlfn.FLOOR.MATH(0+0*B17)</f>
        <v>0</v>
      </c>
      <c r="R17" s="102">
        <f>_xlfn.FLOOR.MATH(13+0.25*B17)</f>
        <v>40</v>
      </c>
      <c r="S17" s="102">
        <f>_xlfn.FLOOR.MATH(32+0.3*B17)</f>
        <v>65</v>
      </c>
      <c r="T17" s="105">
        <f>_xlfn.FLOOR.MATH(38+0.51*B17)</f>
        <v>94</v>
      </c>
      <c r="U17" s="102">
        <v>22</v>
      </c>
      <c r="V17" s="102">
        <v>30.3</v>
      </c>
      <c r="W17" s="106" t="s">
        <v>52</v>
      </c>
      <c r="Y17" s="102" t="s">
        <v>54</v>
      </c>
      <c r="Z17" s="102" t="s">
        <v>55</v>
      </c>
      <c r="AA17" s="104" t="s">
        <v>56</v>
      </c>
      <c r="AB17" s="105">
        <v>12</v>
      </c>
      <c r="AC17" s="104">
        <v>4</v>
      </c>
      <c r="AD17" s="123" t="s">
        <v>63</v>
      </c>
      <c r="AE17" s="104">
        <v>80</v>
      </c>
      <c r="AF17" s="105">
        <v>110</v>
      </c>
      <c r="AG17" s="104">
        <v>2.88</v>
      </c>
      <c r="AH17" s="102">
        <v>5.4</v>
      </c>
      <c r="AI17" s="105">
        <v>0.75</v>
      </c>
      <c r="AJ17" s="104">
        <v>40</v>
      </c>
      <c r="AK17" s="102">
        <v>50</v>
      </c>
      <c r="AL17" s="102">
        <v>40</v>
      </c>
      <c r="AM17" s="105">
        <v>0</v>
      </c>
      <c r="AN17" s="104">
        <v>65</v>
      </c>
      <c r="AO17" s="102">
        <v>0</v>
      </c>
      <c r="AP17" s="102">
        <v>55</v>
      </c>
      <c r="AQ17" s="105">
        <v>10</v>
      </c>
      <c r="AU17" s="125" t="str">
        <f>HYPERLINK("http://www.jianrmod.cn/data/shipGetInfo.html?type=0&amp;cid=10001613","详细")</f>
        <v>详细</v>
      </c>
    </row>
    <row r="18" spans="1:47">
      <c r="A18" s="100">
        <v>10001713</v>
      </c>
      <c r="B18" s="101">
        <v>110</v>
      </c>
      <c r="C18" s="102">
        <v>3</v>
      </c>
      <c r="D18" s="103" t="s">
        <v>101</v>
      </c>
      <c r="E18" s="103" t="s">
        <v>102</v>
      </c>
      <c r="F18" s="103" t="s">
        <v>49</v>
      </c>
      <c r="G18" s="103">
        <v>2</v>
      </c>
      <c r="H18" s="103">
        <v>2</v>
      </c>
      <c r="I18" s="104" t="s">
        <v>60</v>
      </c>
      <c r="J18" s="102" t="s">
        <v>51</v>
      </c>
      <c r="K18" s="102">
        <v>63</v>
      </c>
      <c r="L18" s="103">
        <v>1</v>
      </c>
      <c r="M18" s="104">
        <v>90</v>
      </c>
      <c r="N18" s="102">
        <v>70</v>
      </c>
      <c r="O18" s="102">
        <v>0</v>
      </c>
      <c r="P18" s="102">
        <v>50</v>
      </c>
      <c r="Q18" s="104">
        <f>_xlfn.FLOOR.MATH(0+0*B18)</f>
        <v>0</v>
      </c>
      <c r="R18" s="102">
        <f>_xlfn.FLOOR.MATH(13+0.25*B18)</f>
        <v>40</v>
      </c>
      <c r="S18" s="102">
        <f>_xlfn.FLOOR.MATH(32+0.3*B18)</f>
        <v>65</v>
      </c>
      <c r="T18" s="105">
        <f>_xlfn.FLOOR.MATH(38+0.51*B18)</f>
        <v>94</v>
      </c>
      <c r="U18" s="102">
        <v>9</v>
      </c>
      <c r="V18" s="102">
        <v>30.3</v>
      </c>
      <c r="W18" s="106" t="s">
        <v>52</v>
      </c>
      <c r="Y18" s="102" t="s">
        <v>54</v>
      </c>
      <c r="Z18" s="102" t="s">
        <v>55</v>
      </c>
      <c r="AA18" s="104" t="s">
        <v>56</v>
      </c>
      <c r="AB18" s="105">
        <v>12</v>
      </c>
      <c r="AC18" s="104">
        <v>4</v>
      </c>
      <c r="AD18" s="123" t="s">
        <v>63</v>
      </c>
      <c r="AE18" s="104">
        <v>80</v>
      </c>
      <c r="AF18" s="105">
        <v>110</v>
      </c>
      <c r="AG18" s="104">
        <v>2.88</v>
      </c>
      <c r="AH18" s="102">
        <v>5.4</v>
      </c>
      <c r="AI18" s="105">
        <v>0.75</v>
      </c>
      <c r="AJ18" s="104">
        <v>40</v>
      </c>
      <c r="AK18" s="102">
        <v>50</v>
      </c>
      <c r="AL18" s="102">
        <v>40</v>
      </c>
      <c r="AM18" s="105">
        <v>0</v>
      </c>
      <c r="AN18" s="104">
        <v>65</v>
      </c>
      <c r="AO18" s="102">
        <v>0</v>
      </c>
      <c r="AP18" s="102">
        <v>55</v>
      </c>
      <c r="AQ18" s="105">
        <v>10</v>
      </c>
      <c r="AU18" s="125" t="str">
        <f>HYPERLINK("http://www.jianrmod.cn/data/shipGetInfo.html?type=0&amp;cid=10001713","详细")</f>
        <v>详细</v>
      </c>
    </row>
    <row r="19" spans="1:47">
      <c r="A19" s="100">
        <v>10001813</v>
      </c>
      <c r="B19" s="101">
        <v>110</v>
      </c>
      <c r="C19" s="102">
        <v>3</v>
      </c>
      <c r="D19" s="103" t="s">
        <v>103</v>
      </c>
      <c r="F19" s="103" t="s">
        <v>49</v>
      </c>
      <c r="G19" s="103">
        <v>2</v>
      </c>
      <c r="H19" s="103">
        <v>2</v>
      </c>
      <c r="I19" s="104" t="s">
        <v>50</v>
      </c>
      <c r="J19" s="102" t="s">
        <v>51</v>
      </c>
      <c r="K19" s="102">
        <v>65</v>
      </c>
      <c r="L19" s="103">
        <v>-1</v>
      </c>
      <c r="M19" s="104">
        <v>83</v>
      </c>
      <c r="N19" s="102">
        <v>71</v>
      </c>
      <c r="O19" s="102">
        <v>0</v>
      </c>
      <c r="P19" s="102">
        <v>82</v>
      </c>
      <c r="Q19" s="104">
        <f>_xlfn.FLOOR.MATH(0+0*B19)</f>
        <v>0</v>
      </c>
      <c r="R19" s="102">
        <f>_xlfn.FLOOR.MATH(14+0.25*B19)</f>
        <v>41</v>
      </c>
      <c r="S19" s="102">
        <f>_xlfn.FLOOR.MATH(30+0.3*B19)</f>
        <v>63</v>
      </c>
      <c r="T19" s="105">
        <f>_xlfn.FLOOR.MATH(38+0.51*B19)</f>
        <v>94</v>
      </c>
      <c r="U19" s="102">
        <v>25</v>
      </c>
      <c r="V19" s="102">
        <v>31.5</v>
      </c>
      <c r="W19" s="106" t="s">
        <v>52</v>
      </c>
      <c r="X19" s="106" t="s">
        <v>104</v>
      </c>
      <c r="Y19" s="102" t="s">
        <v>54</v>
      </c>
      <c r="Z19" s="102" t="s">
        <v>55</v>
      </c>
      <c r="AA19" s="104" t="s">
        <v>75</v>
      </c>
      <c r="AB19" s="105">
        <v>16</v>
      </c>
      <c r="AC19" s="104">
        <v>4</v>
      </c>
      <c r="AD19" s="123" t="s">
        <v>105</v>
      </c>
      <c r="AE19" s="104">
        <v>70</v>
      </c>
      <c r="AF19" s="105">
        <v>120</v>
      </c>
      <c r="AG19" s="104">
        <v>2.88</v>
      </c>
      <c r="AH19" s="102">
        <v>5.4</v>
      </c>
      <c r="AI19" s="105">
        <v>0.75</v>
      </c>
      <c r="AJ19" s="104">
        <v>40</v>
      </c>
      <c r="AK19" s="102">
        <v>50</v>
      </c>
      <c r="AL19" s="102">
        <v>40</v>
      </c>
      <c r="AM19" s="105">
        <v>0</v>
      </c>
      <c r="AN19" s="104">
        <v>63</v>
      </c>
      <c r="AO19" s="102">
        <v>0</v>
      </c>
      <c r="AP19" s="102">
        <v>56</v>
      </c>
      <c r="AQ19" s="105">
        <v>42</v>
      </c>
      <c r="AT19" s="110">
        <v>0.173611111111111</v>
      </c>
      <c r="AU19" s="125" t="str">
        <f>HYPERLINK("http://www.jianrmod.cn/data/shipGetInfo.html?type=0&amp;cid=10001813","详细")</f>
        <v>详细</v>
      </c>
    </row>
    <row r="20" spans="1:47">
      <c r="A20" s="100">
        <v>10001913</v>
      </c>
      <c r="B20" s="101">
        <v>110</v>
      </c>
      <c r="C20" s="102">
        <v>3</v>
      </c>
      <c r="D20" s="103" t="s">
        <v>106</v>
      </c>
      <c r="F20" s="103" t="s">
        <v>49</v>
      </c>
      <c r="G20" s="103">
        <v>2</v>
      </c>
      <c r="H20" s="103">
        <v>2</v>
      </c>
      <c r="I20" s="104" t="s">
        <v>50</v>
      </c>
      <c r="J20" s="102" t="s">
        <v>51</v>
      </c>
      <c r="K20" s="102">
        <v>65</v>
      </c>
      <c r="L20" s="103">
        <v>-1</v>
      </c>
      <c r="M20" s="104">
        <v>83</v>
      </c>
      <c r="N20" s="102">
        <v>71</v>
      </c>
      <c r="O20" s="102">
        <v>0</v>
      </c>
      <c r="P20" s="102">
        <v>70</v>
      </c>
      <c r="Q20" s="104">
        <f>_xlfn.FLOOR.MATH(0+0*B20)</f>
        <v>0</v>
      </c>
      <c r="R20" s="102">
        <f>_xlfn.FLOOR.MATH(14+0.25*B20)</f>
        <v>41</v>
      </c>
      <c r="S20" s="102">
        <f>_xlfn.FLOOR.MATH(30+0.3*B20)</f>
        <v>63</v>
      </c>
      <c r="T20" s="105">
        <f>_xlfn.FLOOR.MATH(38+0.51*B20)</f>
        <v>94</v>
      </c>
      <c r="U20" s="102">
        <v>12</v>
      </c>
      <c r="V20" s="102">
        <v>31.5</v>
      </c>
      <c r="W20" s="106" t="s">
        <v>52</v>
      </c>
      <c r="X20" s="106" t="s">
        <v>107</v>
      </c>
      <c r="Y20" s="102" t="s">
        <v>54</v>
      </c>
      <c r="Z20" s="102" t="s">
        <v>55</v>
      </c>
      <c r="AA20" s="104" t="s">
        <v>75</v>
      </c>
      <c r="AB20" s="105">
        <v>16</v>
      </c>
      <c r="AC20" s="104">
        <v>4</v>
      </c>
      <c r="AD20" s="123" t="s">
        <v>105</v>
      </c>
      <c r="AE20" s="104">
        <v>70</v>
      </c>
      <c r="AF20" s="105">
        <v>120</v>
      </c>
      <c r="AG20" s="104">
        <v>2.88</v>
      </c>
      <c r="AH20" s="102">
        <v>5.4</v>
      </c>
      <c r="AI20" s="105">
        <v>0.75</v>
      </c>
      <c r="AJ20" s="104">
        <v>40</v>
      </c>
      <c r="AK20" s="102">
        <v>50</v>
      </c>
      <c r="AL20" s="102">
        <v>40</v>
      </c>
      <c r="AM20" s="105">
        <v>0</v>
      </c>
      <c r="AN20" s="104">
        <v>63</v>
      </c>
      <c r="AO20" s="102">
        <v>0</v>
      </c>
      <c r="AP20" s="102">
        <v>56</v>
      </c>
      <c r="AQ20" s="105">
        <v>24</v>
      </c>
      <c r="AU20" s="125" t="str">
        <f>HYPERLINK("http://www.jianrmod.cn/data/shipGetInfo.html?type=0&amp;cid=10001913","详细")</f>
        <v>详细</v>
      </c>
    </row>
    <row r="21" spans="1:47">
      <c r="A21" s="100">
        <v>10002013</v>
      </c>
      <c r="B21" s="101">
        <v>110</v>
      </c>
      <c r="C21" s="102">
        <v>5</v>
      </c>
      <c r="D21" s="103" t="s">
        <v>108</v>
      </c>
      <c r="F21" s="103" t="s">
        <v>49</v>
      </c>
      <c r="G21" s="103">
        <v>2</v>
      </c>
      <c r="H21" s="103">
        <v>3</v>
      </c>
      <c r="I21" s="104" t="s">
        <v>86</v>
      </c>
      <c r="J21" s="102" t="s">
        <v>51</v>
      </c>
      <c r="K21" s="102">
        <v>58</v>
      </c>
      <c r="L21" s="103">
        <v>2</v>
      </c>
      <c r="M21" s="104">
        <v>85</v>
      </c>
      <c r="N21" s="102">
        <v>69</v>
      </c>
      <c r="O21" s="102">
        <v>0</v>
      </c>
      <c r="P21" s="102">
        <v>100</v>
      </c>
      <c r="Q21" s="104">
        <f>_xlfn.FLOOR.MATH(0+0*B21)</f>
        <v>0</v>
      </c>
      <c r="R21" s="102">
        <f>_xlfn.FLOOR.MATH(18+0.25*B21)</f>
        <v>45</v>
      </c>
      <c r="S21" s="102">
        <f>_xlfn.FLOOR.MATH(31+0.3*B21)</f>
        <v>64</v>
      </c>
      <c r="T21" s="105">
        <f>_xlfn.FLOOR.MATH(40+0.51*B21)</f>
        <v>96</v>
      </c>
      <c r="U21" s="102">
        <v>15</v>
      </c>
      <c r="V21" s="102">
        <v>33</v>
      </c>
      <c r="W21" s="106" t="s">
        <v>52</v>
      </c>
      <c r="X21" s="106" t="s">
        <v>109</v>
      </c>
      <c r="Y21" s="102" t="s">
        <v>54</v>
      </c>
      <c r="Z21" s="102" t="s">
        <v>55</v>
      </c>
      <c r="AA21" s="104" t="s">
        <v>75</v>
      </c>
      <c r="AB21" s="105">
        <v>16</v>
      </c>
      <c r="AC21" s="104">
        <v>4</v>
      </c>
      <c r="AD21" s="123" t="s">
        <v>110</v>
      </c>
      <c r="AE21" s="104">
        <v>80</v>
      </c>
      <c r="AF21" s="105">
        <v>120</v>
      </c>
      <c r="AG21" s="104">
        <v>2.88</v>
      </c>
      <c r="AH21" s="102">
        <v>5.4</v>
      </c>
      <c r="AI21" s="105">
        <v>0.625</v>
      </c>
      <c r="AJ21" s="104">
        <v>40</v>
      </c>
      <c r="AK21" s="102">
        <v>50</v>
      </c>
      <c r="AL21" s="102">
        <v>40</v>
      </c>
      <c r="AM21" s="105">
        <v>0</v>
      </c>
      <c r="AN21" s="104">
        <v>60</v>
      </c>
      <c r="AO21" s="102">
        <v>0</v>
      </c>
      <c r="AP21" s="102">
        <v>54</v>
      </c>
      <c r="AQ21" s="105">
        <v>76</v>
      </c>
      <c r="AT21" s="110">
        <v>0.180555555555556</v>
      </c>
      <c r="AU21" s="125" t="str">
        <f>HYPERLINK("http://www.jianrmod.cn/data/shipGetInfo.html?type=0&amp;cid=10002013","详细")</f>
        <v>详细</v>
      </c>
    </row>
    <row r="22" spans="1:47">
      <c r="A22" s="100">
        <v>10002113</v>
      </c>
      <c r="B22" s="101">
        <v>110</v>
      </c>
      <c r="C22" s="102">
        <v>5</v>
      </c>
      <c r="D22" s="103" t="s">
        <v>111</v>
      </c>
      <c r="F22" s="103" t="s">
        <v>49</v>
      </c>
      <c r="G22" s="103">
        <v>2</v>
      </c>
      <c r="H22" s="103">
        <v>3</v>
      </c>
      <c r="I22" s="104" t="s">
        <v>86</v>
      </c>
      <c r="J22" s="102" t="s">
        <v>51</v>
      </c>
      <c r="K22" s="102">
        <v>58</v>
      </c>
      <c r="L22" s="103">
        <v>2</v>
      </c>
      <c r="M22" s="104">
        <v>85</v>
      </c>
      <c r="N22" s="102">
        <v>69</v>
      </c>
      <c r="O22" s="102">
        <v>0</v>
      </c>
      <c r="P22" s="102">
        <v>100</v>
      </c>
      <c r="Q22" s="104">
        <f>_xlfn.FLOOR.MATH(0+0*B22)</f>
        <v>0</v>
      </c>
      <c r="R22" s="102">
        <f>_xlfn.FLOOR.MATH(18+0.25*B22)</f>
        <v>45</v>
      </c>
      <c r="S22" s="102">
        <f>_xlfn.FLOOR.MATH(31+0.3*B22)</f>
        <v>64</v>
      </c>
      <c r="T22" s="105">
        <f>_xlfn.FLOOR.MATH(40+0.51*B22)</f>
        <v>96</v>
      </c>
      <c r="U22" s="102">
        <v>15</v>
      </c>
      <c r="V22" s="102">
        <v>33</v>
      </c>
      <c r="W22" s="106" t="s">
        <v>52</v>
      </c>
      <c r="X22" s="106" t="s">
        <v>109</v>
      </c>
      <c r="Y22" s="102" t="s">
        <v>54</v>
      </c>
      <c r="Z22" s="102" t="s">
        <v>55</v>
      </c>
      <c r="AA22" s="104" t="s">
        <v>75</v>
      </c>
      <c r="AB22" s="105">
        <v>16</v>
      </c>
      <c r="AC22" s="104">
        <v>4</v>
      </c>
      <c r="AD22" s="123" t="s">
        <v>110</v>
      </c>
      <c r="AE22" s="104">
        <v>80</v>
      </c>
      <c r="AF22" s="105">
        <v>120</v>
      </c>
      <c r="AG22" s="104">
        <v>2.88</v>
      </c>
      <c r="AH22" s="102">
        <v>5.4</v>
      </c>
      <c r="AI22" s="105">
        <v>0.625</v>
      </c>
      <c r="AJ22" s="104">
        <v>40</v>
      </c>
      <c r="AK22" s="102">
        <v>50</v>
      </c>
      <c r="AL22" s="102">
        <v>40</v>
      </c>
      <c r="AM22" s="105">
        <v>0</v>
      </c>
      <c r="AN22" s="104">
        <v>60</v>
      </c>
      <c r="AO22" s="102">
        <v>0</v>
      </c>
      <c r="AP22" s="102">
        <v>54</v>
      </c>
      <c r="AQ22" s="105">
        <v>76</v>
      </c>
      <c r="AT22" s="110">
        <v>0.180555555555556</v>
      </c>
      <c r="AU22" s="125" t="str">
        <f>HYPERLINK("http://www.jianrmod.cn/data/shipGetInfo.html?type=0&amp;cid=10002113","详细")</f>
        <v>详细</v>
      </c>
    </row>
    <row r="23" spans="1:47">
      <c r="A23" s="100">
        <v>10002213</v>
      </c>
      <c r="B23" s="101">
        <v>110</v>
      </c>
      <c r="C23" s="102">
        <v>5</v>
      </c>
      <c r="D23" s="103" t="s">
        <v>112</v>
      </c>
      <c r="E23" s="103" t="s">
        <v>113</v>
      </c>
      <c r="F23" s="103" t="s">
        <v>49</v>
      </c>
      <c r="G23" s="103">
        <v>3</v>
      </c>
      <c r="H23" s="103">
        <v>3</v>
      </c>
      <c r="I23" s="104" t="s">
        <v>60</v>
      </c>
      <c r="J23" s="102" t="s">
        <v>114</v>
      </c>
      <c r="K23" s="102">
        <v>69</v>
      </c>
      <c r="L23" s="103">
        <v>-1</v>
      </c>
      <c r="M23" s="104">
        <v>40</v>
      </c>
      <c r="N23" s="102">
        <v>55</v>
      </c>
      <c r="O23" s="102">
        <v>0</v>
      </c>
      <c r="P23" s="102">
        <v>57</v>
      </c>
      <c r="Q23" s="104">
        <f>_xlfn.FLOOR.MATH(0+0*B23)</f>
        <v>0</v>
      </c>
      <c r="R23" s="102">
        <f>_xlfn.FLOOR.MATH(46+0.25*B23)</f>
        <v>73</v>
      </c>
      <c r="S23" s="102">
        <f>_xlfn.FLOOR.MATH(30+0.2*B23)</f>
        <v>52</v>
      </c>
      <c r="T23" s="105">
        <f>_xlfn.FLOOR.MATH(37+0.54*B23)</f>
        <v>96</v>
      </c>
      <c r="U23" s="102">
        <v>10</v>
      </c>
      <c r="V23" s="102">
        <v>31.2</v>
      </c>
      <c r="W23" s="106" t="s">
        <v>115</v>
      </c>
      <c r="X23" s="106" t="s">
        <v>116</v>
      </c>
      <c r="Y23" s="102" t="s">
        <v>54</v>
      </c>
      <c r="Z23" s="102" t="s">
        <v>55</v>
      </c>
      <c r="AA23" s="104" t="s">
        <v>117</v>
      </c>
      <c r="AB23" s="105">
        <v>76</v>
      </c>
      <c r="AC23" s="104">
        <v>4</v>
      </c>
      <c r="AD23" s="123" t="s">
        <v>118</v>
      </c>
      <c r="AE23" s="104">
        <v>60</v>
      </c>
      <c r="AF23" s="105">
        <v>55</v>
      </c>
      <c r="AG23" s="104">
        <v>2.4</v>
      </c>
      <c r="AH23" s="102">
        <v>4.5</v>
      </c>
      <c r="AI23" s="105">
        <v>1</v>
      </c>
      <c r="AJ23" s="104">
        <v>30</v>
      </c>
      <c r="AK23" s="102">
        <v>40</v>
      </c>
      <c r="AL23" s="102">
        <v>60</v>
      </c>
      <c r="AM23" s="105">
        <v>40</v>
      </c>
      <c r="AN23" s="104">
        <v>0</v>
      </c>
      <c r="AO23" s="102">
        <v>0</v>
      </c>
      <c r="AP23" s="102">
        <v>15</v>
      </c>
      <c r="AQ23" s="105">
        <v>27</v>
      </c>
      <c r="AU23" s="125" t="str">
        <f>HYPERLINK("http://www.jianrmod.cn/data/shipGetInfo.html?type=0&amp;cid=10002213","详细")</f>
        <v>详细</v>
      </c>
    </row>
    <row r="24" spans="1:47">
      <c r="A24" s="100">
        <v>10002313</v>
      </c>
      <c r="B24" s="101">
        <v>110</v>
      </c>
      <c r="C24" s="102">
        <v>5</v>
      </c>
      <c r="D24" s="103" t="s">
        <v>119</v>
      </c>
      <c r="E24" s="103" t="s">
        <v>120</v>
      </c>
      <c r="F24" s="103" t="s">
        <v>49</v>
      </c>
      <c r="G24" s="103">
        <v>3</v>
      </c>
      <c r="H24" s="103">
        <v>3</v>
      </c>
      <c r="I24" s="104" t="s">
        <v>60</v>
      </c>
      <c r="J24" s="102" t="s">
        <v>114</v>
      </c>
      <c r="K24" s="102">
        <v>71</v>
      </c>
      <c r="L24" s="103">
        <v>1</v>
      </c>
      <c r="M24" s="104">
        <v>40</v>
      </c>
      <c r="N24" s="102">
        <v>62</v>
      </c>
      <c r="O24" s="102">
        <v>0</v>
      </c>
      <c r="P24" s="102">
        <v>62</v>
      </c>
      <c r="Q24" s="104">
        <f>_xlfn.FLOOR.MATH(0+0*B24)</f>
        <v>0</v>
      </c>
      <c r="R24" s="102">
        <f>_xlfn.FLOOR.MATH(43+0.25*B24)</f>
        <v>70</v>
      </c>
      <c r="S24" s="102">
        <f>_xlfn.FLOOR.MATH(26+0.2*B24)</f>
        <v>48</v>
      </c>
      <c r="T24" s="105">
        <f>_xlfn.FLOOR.MATH(37+0.54*B24)</f>
        <v>96</v>
      </c>
      <c r="U24" s="102">
        <v>13</v>
      </c>
      <c r="V24" s="102">
        <v>28</v>
      </c>
      <c r="W24" s="106" t="s">
        <v>115</v>
      </c>
      <c r="X24" s="106" t="s">
        <v>121</v>
      </c>
      <c r="Y24" s="102" t="s">
        <v>54</v>
      </c>
      <c r="Z24" s="102" t="s">
        <v>55</v>
      </c>
      <c r="AA24" s="104" t="s">
        <v>122</v>
      </c>
      <c r="AB24" s="105">
        <v>90</v>
      </c>
      <c r="AC24" s="104">
        <v>4</v>
      </c>
      <c r="AD24" s="123" t="s">
        <v>118</v>
      </c>
      <c r="AE24" s="104">
        <v>60</v>
      </c>
      <c r="AF24" s="105">
        <v>55</v>
      </c>
      <c r="AG24" s="104">
        <v>2.56</v>
      </c>
      <c r="AH24" s="102">
        <v>4.8</v>
      </c>
      <c r="AI24" s="105">
        <v>1</v>
      </c>
      <c r="AJ24" s="104">
        <v>30</v>
      </c>
      <c r="AK24" s="102">
        <v>40</v>
      </c>
      <c r="AL24" s="102">
        <v>60</v>
      </c>
      <c r="AM24" s="105">
        <v>40</v>
      </c>
      <c r="AN24" s="104">
        <v>0</v>
      </c>
      <c r="AO24" s="102">
        <v>0</v>
      </c>
      <c r="AP24" s="102">
        <v>16</v>
      </c>
      <c r="AQ24" s="105">
        <v>32</v>
      </c>
      <c r="AT24" s="110">
        <v>0.180555555555556</v>
      </c>
      <c r="AU24" s="125" t="str">
        <f>HYPERLINK("http://www.jianrmod.cn/data/shipGetInfo.html?type=0&amp;cid=10002313","详细")</f>
        <v>详细</v>
      </c>
    </row>
    <row r="25" spans="1:47">
      <c r="A25" s="100">
        <v>10002412</v>
      </c>
      <c r="B25" s="101">
        <v>110</v>
      </c>
      <c r="C25" s="102">
        <v>4</v>
      </c>
      <c r="D25" s="103" t="s">
        <v>123</v>
      </c>
      <c r="E25" s="103" t="s">
        <v>124</v>
      </c>
      <c r="F25" s="103" t="s">
        <v>49</v>
      </c>
      <c r="G25" s="103">
        <v>2</v>
      </c>
      <c r="H25" s="103">
        <v>3</v>
      </c>
      <c r="I25" s="104" t="s">
        <v>60</v>
      </c>
      <c r="J25" s="102" t="s">
        <v>125</v>
      </c>
      <c r="K25" s="102">
        <v>32</v>
      </c>
      <c r="L25" s="103">
        <v>0</v>
      </c>
      <c r="M25" s="104">
        <v>20</v>
      </c>
      <c r="N25" s="102">
        <v>37</v>
      </c>
      <c r="O25" s="102">
        <v>0</v>
      </c>
      <c r="P25" s="102">
        <v>48</v>
      </c>
      <c r="Q25" s="104">
        <f>_xlfn.FLOOR.MATH(0+0*B25)</f>
        <v>0</v>
      </c>
      <c r="R25" s="102">
        <f>_xlfn.FLOOR.MATH(36+0.25*B25)</f>
        <v>63</v>
      </c>
      <c r="S25" s="102">
        <f>_xlfn.FLOOR.MATH(30+0.2*B25)</f>
        <v>52</v>
      </c>
      <c r="T25" s="105">
        <f>_xlfn.FLOOR.MATH(34+0.51*B25)</f>
        <v>90</v>
      </c>
      <c r="U25" s="102">
        <v>12</v>
      </c>
      <c r="V25" s="102">
        <v>29</v>
      </c>
      <c r="W25" s="106" t="s">
        <v>115</v>
      </c>
      <c r="X25" s="106" t="s">
        <v>126</v>
      </c>
      <c r="Y25" s="102" t="s">
        <v>127</v>
      </c>
      <c r="Z25" s="102" t="s">
        <v>128</v>
      </c>
      <c r="AA25" s="104" t="s">
        <v>129</v>
      </c>
      <c r="AB25" s="105">
        <v>32</v>
      </c>
      <c r="AC25" s="104">
        <v>3</v>
      </c>
      <c r="AD25" s="123" t="s">
        <v>130</v>
      </c>
      <c r="AE25" s="104">
        <v>35</v>
      </c>
      <c r="AF25" s="105">
        <v>35</v>
      </c>
      <c r="AG25" s="104">
        <v>1.28</v>
      </c>
      <c r="AH25" s="102">
        <v>2.4</v>
      </c>
      <c r="AI25" s="105">
        <v>0.75</v>
      </c>
      <c r="AJ25" s="104">
        <v>20</v>
      </c>
      <c r="AK25" s="102">
        <v>30</v>
      </c>
      <c r="AL25" s="102">
        <v>50</v>
      </c>
      <c r="AM25" s="105">
        <v>20</v>
      </c>
      <c r="AN25" s="104">
        <v>0</v>
      </c>
      <c r="AO25" s="102">
        <v>0</v>
      </c>
      <c r="AP25" s="102">
        <v>9</v>
      </c>
      <c r="AQ25" s="105">
        <v>18</v>
      </c>
      <c r="AU25" s="125" t="str">
        <f>HYPERLINK("http://www.jianrmod.cn/data/shipGetInfo.html?type=0&amp;cid=10002412","详细")</f>
        <v>详细</v>
      </c>
    </row>
    <row r="26" spans="1:47">
      <c r="A26" s="100">
        <v>10002512</v>
      </c>
      <c r="B26" s="101">
        <v>110</v>
      </c>
      <c r="C26" s="102">
        <v>4</v>
      </c>
      <c r="D26" s="103" t="s">
        <v>131</v>
      </c>
      <c r="E26" s="103" t="s">
        <v>132</v>
      </c>
      <c r="F26" s="103" t="s">
        <v>49</v>
      </c>
      <c r="G26" s="103">
        <v>2</v>
      </c>
      <c r="H26" s="103">
        <v>3</v>
      </c>
      <c r="I26" s="104" t="s">
        <v>60</v>
      </c>
      <c r="J26" s="102" t="s">
        <v>125</v>
      </c>
      <c r="K26" s="102">
        <v>32</v>
      </c>
      <c r="L26" s="103">
        <v>0</v>
      </c>
      <c r="M26" s="104">
        <v>20</v>
      </c>
      <c r="N26" s="102">
        <v>37</v>
      </c>
      <c r="O26" s="102">
        <v>0</v>
      </c>
      <c r="P26" s="102">
        <v>48</v>
      </c>
      <c r="Q26" s="104">
        <f>_xlfn.FLOOR.MATH(0+0*B26)</f>
        <v>0</v>
      </c>
      <c r="R26" s="102">
        <f>_xlfn.FLOOR.MATH(36+0.25*B26)</f>
        <v>63</v>
      </c>
      <c r="S26" s="102">
        <f>_xlfn.FLOOR.MATH(30+0.2*B26)</f>
        <v>52</v>
      </c>
      <c r="T26" s="105">
        <f>_xlfn.FLOOR.MATH(34+0.51*B26)</f>
        <v>90</v>
      </c>
      <c r="U26" s="102">
        <v>20</v>
      </c>
      <c r="V26" s="102">
        <v>29</v>
      </c>
      <c r="W26" s="106" t="s">
        <v>115</v>
      </c>
      <c r="X26" s="106" t="s">
        <v>133</v>
      </c>
      <c r="Y26" s="102" t="s">
        <v>127</v>
      </c>
      <c r="Z26" s="102" t="s">
        <v>128</v>
      </c>
      <c r="AA26" s="104" t="s">
        <v>129</v>
      </c>
      <c r="AB26" s="105">
        <v>32</v>
      </c>
      <c r="AC26" s="104">
        <v>3</v>
      </c>
      <c r="AD26" s="123" t="s">
        <v>130</v>
      </c>
      <c r="AE26" s="104">
        <v>35</v>
      </c>
      <c r="AF26" s="105">
        <v>35</v>
      </c>
      <c r="AG26" s="104">
        <v>1.28</v>
      </c>
      <c r="AH26" s="102">
        <v>2.4</v>
      </c>
      <c r="AI26" s="105">
        <v>0.75</v>
      </c>
      <c r="AJ26" s="104">
        <v>20</v>
      </c>
      <c r="AK26" s="102">
        <v>30</v>
      </c>
      <c r="AL26" s="102">
        <v>50</v>
      </c>
      <c r="AM26" s="105">
        <v>20</v>
      </c>
      <c r="AN26" s="104">
        <v>0</v>
      </c>
      <c r="AO26" s="102">
        <v>0</v>
      </c>
      <c r="AP26" s="102">
        <v>9</v>
      </c>
      <c r="AQ26" s="105">
        <v>18</v>
      </c>
      <c r="AT26" s="110">
        <v>0.111111111111111</v>
      </c>
      <c r="AU26" s="125" t="str">
        <f>HYPERLINK("http://www.jianrmod.cn/data/shipGetInfo.html?type=0&amp;cid=10002512","详细")</f>
        <v>详细</v>
      </c>
    </row>
    <row r="27" spans="1:47">
      <c r="A27" s="100">
        <v>10002612</v>
      </c>
      <c r="B27" s="101">
        <v>110</v>
      </c>
      <c r="C27" s="102">
        <v>3</v>
      </c>
      <c r="D27" s="103" t="s">
        <v>134</v>
      </c>
      <c r="F27" s="103" t="s">
        <v>49</v>
      </c>
      <c r="G27" s="103">
        <v>0</v>
      </c>
      <c r="H27" s="103">
        <v>2</v>
      </c>
      <c r="I27" s="104" t="s">
        <v>50</v>
      </c>
      <c r="J27" s="102" t="s">
        <v>125</v>
      </c>
      <c r="K27" s="102">
        <v>23</v>
      </c>
      <c r="L27" s="103">
        <v>1</v>
      </c>
      <c r="M27" s="104">
        <v>15</v>
      </c>
      <c r="N27" s="102">
        <v>26</v>
      </c>
      <c r="O27" s="102">
        <v>0</v>
      </c>
      <c r="P27" s="102">
        <v>40</v>
      </c>
      <c r="Q27" s="104">
        <f>_xlfn.FLOOR.MATH(0+0*B27)</f>
        <v>0</v>
      </c>
      <c r="R27" s="102">
        <f>_xlfn.FLOOR.MATH(30+0.25*B27)</f>
        <v>57</v>
      </c>
      <c r="S27" s="102">
        <f>_xlfn.FLOOR.MATH(16+0.2*B27)</f>
        <v>38</v>
      </c>
      <c r="T27" s="105">
        <f>_xlfn.FLOOR.MATH(33+0.51*B27)</f>
        <v>89</v>
      </c>
      <c r="U27" s="102">
        <v>20</v>
      </c>
      <c r="V27" s="102">
        <v>20.7</v>
      </c>
      <c r="W27" s="106" t="s">
        <v>115</v>
      </c>
      <c r="X27" s="106" t="s">
        <v>135</v>
      </c>
      <c r="Y27" s="102" t="s">
        <v>127</v>
      </c>
      <c r="Z27" s="102" t="s">
        <v>128</v>
      </c>
      <c r="AA27" s="104" t="s">
        <v>136</v>
      </c>
      <c r="AB27" s="105">
        <v>20</v>
      </c>
      <c r="AC27" s="104">
        <v>3</v>
      </c>
      <c r="AD27" s="123" t="s">
        <v>137</v>
      </c>
      <c r="AE27" s="104">
        <v>20</v>
      </c>
      <c r="AF27" s="105">
        <v>30</v>
      </c>
      <c r="AG27" s="104">
        <v>0.96</v>
      </c>
      <c r="AH27" s="102">
        <v>1.8</v>
      </c>
      <c r="AI27" s="105">
        <v>0.75</v>
      </c>
      <c r="AJ27" s="104">
        <v>20</v>
      </c>
      <c r="AK27" s="102">
        <v>30</v>
      </c>
      <c r="AL27" s="102">
        <v>50</v>
      </c>
      <c r="AM27" s="105">
        <v>20</v>
      </c>
      <c r="AN27" s="104">
        <v>2</v>
      </c>
      <c r="AO27" s="102">
        <v>0</v>
      </c>
      <c r="AP27" s="102">
        <v>3</v>
      </c>
      <c r="AQ27" s="105">
        <v>10</v>
      </c>
      <c r="AU27" s="125" t="str">
        <f>HYPERLINK("http://www.jianrmod.cn/data/shipGetInfo.html?type=0&amp;cid=10002612","详细")</f>
        <v>详细</v>
      </c>
    </row>
    <row r="28" spans="1:47">
      <c r="A28" s="100">
        <v>10002712</v>
      </c>
      <c r="B28" s="101">
        <v>110</v>
      </c>
      <c r="C28" s="102">
        <v>3</v>
      </c>
      <c r="D28" s="103" t="s">
        <v>138</v>
      </c>
      <c r="F28" s="103" t="s">
        <v>49</v>
      </c>
      <c r="G28" s="103">
        <v>0</v>
      </c>
      <c r="H28" s="103">
        <v>2</v>
      </c>
      <c r="I28" s="104" t="s">
        <v>86</v>
      </c>
      <c r="J28" s="102" t="s">
        <v>125</v>
      </c>
      <c r="K28" s="102">
        <v>24</v>
      </c>
      <c r="L28" s="103">
        <v>0</v>
      </c>
      <c r="M28" s="104">
        <v>15</v>
      </c>
      <c r="N28" s="102">
        <v>26</v>
      </c>
      <c r="O28" s="102">
        <v>0</v>
      </c>
      <c r="P28" s="102">
        <v>40</v>
      </c>
      <c r="Q28" s="104">
        <f>_xlfn.FLOOR.MATH(0+0*B28)</f>
        <v>0</v>
      </c>
      <c r="R28" s="102">
        <f>_xlfn.FLOOR.MATH(32+0.25*B28)</f>
        <v>59</v>
      </c>
      <c r="S28" s="102">
        <f>_xlfn.FLOOR.MATH(11+0.2*B28)</f>
        <v>33</v>
      </c>
      <c r="T28" s="105">
        <f>_xlfn.FLOOR.MATH(33+0.51*B28)</f>
        <v>89</v>
      </c>
      <c r="U28" s="102">
        <v>20</v>
      </c>
      <c r="V28" s="102">
        <v>15</v>
      </c>
      <c r="W28" s="106" t="s">
        <v>115</v>
      </c>
      <c r="X28" s="106" t="s">
        <v>139</v>
      </c>
      <c r="Y28" s="102" t="s">
        <v>127</v>
      </c>
      <c r="Z28" s="102" t="s">
        <v>128</v>
      </c>
      <c r="AA28" s="104" t="s">
        <v>140</v>
      </c>
      <c r="AB28" s="105">
        <v>30</v>
      </c>
      <c r="AC28" s="104">
        <v>3</v>
      </c>
      <c r="AD28" s="123" t="s">
        <v>141</v>
      </c>
      <c r="AE28" s="104">
        <v>25</v>
      </c>
      <c r="AF28" s="105">
        <v>30</v>
      </c>
      <c r="AG28" s="104">
        <v>0.96</v>
      </c>
      <c r="AH28" s="102">
        <v>1.8</v>
      </c>
      <c r="AI28" s="105">
        <v>0.625</v>
      </c>
      <c r="AJ28" s="104">
        <v>20</v>
      </c>
      <c r="AK28" s="102">
        <v>30</v>
      </c>
      <c r="AL28" s="102">
        <v>50</v>
      </c>
      <c r="AM28" s="105">
        <v>20</v>
      </c>
      <c r="AN28" s="104">
        <v>0</v>
      </c>
      <c r="AO28" s="102">
        <v>0</v>
      </c>
      <c r="AP28" s="102">
        <v>3</v>
      </c>
      <c r="AQ28" s="105">
        <v>14</v>
      </c>
      <c r="AU28" s="125" t="str">
        <f>HYPERLINK("http://www.jianrmod.cn/data/shipGetInfo.html?type=0&amp;cid=10002712","详细")</f>
        <v>详细</v>
      </c>
    </row>
    <row r="29" spans="1:47">
      <c r="A29" s="100">
        <v>10002812</v>
      </c>
      <c r="B29" s="101">
        <v>110</v>
      </c>
      <c r="C29" s="102">
        <v>4</v>
      </c>
      <c r="D29" s="103" t="s">
        <v>142</v>
      </c>
      <c r="F29" s="103" t="s">
        <v>49</v>
      </c>
      <c r="G29" s="103">
        <v>2</v>
      </c>
      <c r="H29" s="103">
        <v>3</v>
      </c>
      <c r="I29" s="104" t="s">
        <v>86</v>
      </c>
      <c r="J29" s="102" t="s">
        <v>125</v>
      </c>
      <c r="K29" s="102">
        <v>38</v>
      </c>
      <c r="L29" s="103">
        <v>2</v>
      </c>
      <c r="M29" s="104">
        <v>30</v>
      </c>
      <c r="N29" s="102">
        <v>40</v>
      </c>
      <c r="O29" s="102">
        <v>0</v>
      </c>
      <c r="P29" s="102">
        <v>55</v>
      </c>
      <c r="Q29" s="104">
        <f>_xlfn.FLOOR.MATH(0+0*B29)</f>
        <v>0</v>
      </c>
      <c r="R29" s="102">
        <f>_xlfn.FLOOR.MATH(40+0.25*B29)</f>
        <v>67</v>
      </c>
      <c r="S29" s="102">
        <f>_xlfn.FLOOR.MATH(25+0.2*B29)</f>
        <v>47</v>
      </c>
      <c r="T29" s="105">
        <f>_xlfn.FLOOR.MATH(34+0.51*B29)</f>
        <v>90</v>
      </c>
      <c r="U29" s="102">
        <v>25</v>
      </c>
      <c r="V29" s="102">
        <v>29.2</v>
      </c>
      <c r="W29" s="106" t="s">
        <v>115</v>
      </c>
      <c r="X29" s="106" t="s">
        <v>143</v>
      </c>
      <c r="Y29" s="102" t="s">
        <v>127</v>
      </c>
      <c r="Z29" s="102" t="s">
        <v>128</v>
      </c>
      <c r="AA29" s="104" t="s">
        <v>144</v>
      </c>
      <c r="AB29" s="105">
        <v>50</v>
      </c>
      <c r="AC29" s="104">
        <v>3</v>
      </c>
      <c r="AD29" s="123" t="s">
        <v>145</v>
      </c>
      <c r="AE29" s="104">
        <v>35</v>
      </c>
      <c r="AF29" s="105">
        <v>40</v>
      </c>
      <c r="AG29" s="104">
        <v>1.28</v>
      </c>
      <c r="AH29" s="102">
        <v>2.4</v>
      </c>
      <c r="AI29" s="105">
        <v>0.625</v>
      </c>
      <c r="AJ29" s="104">
        <v>20</v>
      </c>
      <c r="AK29" s="102">
        <v>30</v>
      </c>
      <c r="AL29" s="102">
        <v>50</v>
      </c>
      <c r="AM29" s="105">
        <v>20</v>
      </c>
      <c r="AN29" s="104">
        <v>0</v>
      </c>
      <c r="AO29" s="102">
        <v>0</v>
      </c>
      <c r="AP29" s="102">
        <v>10</v>
      </c>
      <c r="AQ29" s="105">
        <v>30</v>
      </c>
      <c r="AU29" s="125" t="str">
        <f>HYPERLINK("http://www.jianrmod.cn/data/shipGetInfo.html?type=0&amp;cid=10002812","详细")</f>
        <v>详细</v>
      </c>
    </row>
    <row r="30" spans="1:47">
      <c r="A30" s="100">
        <v>10002913</v>
      </c>
      <c r="B30" s="101">
        <v>110</v>
      </c>
      <c r="C30" s="102">
        <v>4</v>
      </c>
      <c r="D30" s="103" t="s">
        <v>146</v>
      </c>
      <c r="F30" s="103" t="s">
        <v>49</v>
      </c>
      <c r="G30" s="103">
        <v>3</v>
      </c>
      <c r="H30" s="103">
        <v>3</v>
      </c>
      <c r="I30" s="104" t="s">
        <v>86</v>
      </c>
      <c r="J30" s="102" t="s">
        <v>114</v>
      </c>
      <c r="K30" s="102">
        <v>63</v>
      </c>
      <c r="L30" s="103">
        <v>1</v>
      </c>
      <c r="M30" s="104">
        <v>35</v>
      </c>
      <c r="N30" s="102">
        <v>65</v>
      </c>
      <c r="O30" s="102">
        <v>0</v>
      </c>
      <c r="P30" s="102">
        <v>67</v>
      </c>
      <c r="Q30" s="104">
        <f>_xlfn.FLOOR.MATH(0+0*B30)</f>
        <v>0</v>
      </c>
      <c r="R30" s="102">
        <f>_xlfn.FLOOR.MATH(42+0.25*B30)</f>
        <v>69</v>
      </c>
      <c r="S30" s="102">
        <f>_xlfn.FLOOR.MATH(30+0.2*B30)</f>
        <v>52</v>
      </c>
      <c r="T30" s="105">
        <f>_xlfn.FLOOR.MATH(36+0.54*B30)</f>
        <v>95</v>
      </c>
      <c r="U30" s="102">
        <v>20</v>
      </c>
      <c r="V30" s="102">
        <v>33.2</v>
      </c>
      <c r="W30" s="106" t="s">
        <v>115</v>
      </c>
      <c r="X30" s="106" t="s">
        <v>147</v>
      </c>
      <c r="Y30" s="102" t="s">
        <v>54</v>
      </c>
      <c r="Z30" s="102" t="s">
        <v>55</v>
      </c>
      <c r="AA30" s="104" t="s">
        <v>148</v>
      </c>
      <c r="AB30" s="105">
        <v>80</v>
      </c>
      <c r="AC30" s="104">
        <v>4</v>
      </c>
      <c r="AD30" s="123" t="s">
        <v>149</v>
      </c>
      <c r="AE30" s="104">
        <v>55</v>
      </c>
      <c r="AF30" s="105">
        <v>60</v>
      </c>
      <c r="AG30" s="104">
        <v>2.08</v>
      </c>
      <c r="AH30" s="102">
        <v>3.9</v>
      </c>
      <c r="AI30" s="105">
        <v>0.8</v>
      </c>
      <c r="AJ30" s="104">
        <v>30</v>
      </c>
      <c r="AK30" s="102">
        <v>40</v>
      </c>
      <c r="AL30" s="102">
        <v>60</v>
      </c>
      <c r="AM30" s="105">
        <v>40</v>
      </c>
      <c r="AN30" s="104">
        <v>0</v>
      </c>
      <c r="AO30" s="102">
        <v>0</v>
      </c>
      <c r="AP30" s="102">
        <v>20</v>
      </c>
      <c r="AQ30" s="105">
        <v>43</v>
      </c>
      <c r="AU30" s="125" t="str">
        <f>HYPERLINK("http://www.jianrmod.cn/data/shipGetInfo.html?type=0&amp;cid=10002913","详细")</f>
        <v>详细</v>
      </c>
    </row>
    <row r="31" spans="1:47">
      <c r="A31" s="100">
        <v>10003013</v>
      </c>
      <c r="B31" s="101">
        <v>110</v>
      </c>
      <c r="C31" s="102">
        <v>4</v>
      </c>
      <c r="D31" s="103" t="s">
        <v>150</v>
      </c>
      <c r="F31" s="103" t="s">
        <v>49</v>
      </c>
      <c r="G31" s="103">
        <v>3</v>
      </c>
      <c r="H31" s="103">
        <v>3</v>
      </c>
      <c r="I31" s="104" t="s">
        <v>86</v>
      </c>
      <c r="J31" s="102" t="s">
        <v>114</v>
      </c>
      <c r="K31" s="102">
        <v>63</v>
      </c>
      <c r="L31" s="103">
        <v>1</v>
      </c>
      <c r="M31" s="104">
        <v>35</v>
      </c>
      <c r="N31" s="102">
        <v>65</v>
      </c>
      <c r="O31" s="102">
        <v>0</v>
      </c>
      <c r="P31" s="102">
        <v>85</v>
      </c>
      <c r="Q31" s="104">
        <f>_xlfn.FLOOR.MATH(0+0*B31)</f>
        <v>0</v>
      </c>
      <c r="R31" s="102">
        <f>_xlfn.FLOOR.MATH(42+0.25*B31)</f>
        <v>69</v>
      </c>
      <c r="S31" s="102">
        <f>_xlfn.FLOOR.MATH(30+0.2*B31)</f>
        <v>52</v>
      </c>
      <c r="T31" s="105">
        <f>_xlfn.FLOOR.MATH(36+0.54*B31)</f>
        <v>95</v>
      </c>
      <c r="U31" s="102">
        <v>22</v>
      </c>
      <c r="V31" s="102">
        <v>33.2</v>
      </c>
      <c r="W31" s="106" t="s">
        <v>115</v>
      </c>
      <c r="X31" s="106" t="s">
        <v>151</v>
      </c>
      <c r="Y31" s="102" t="s">
        <v>54</v>
      </c>
      <c r="Z31" s="102" t="s">
        <v>55</v>
      </c>
      <c r="AA31" s="104" t="s">
        <v>148</v>
      </c>
      <c r="AB31" s="105">
        <v>80</v>
      </c>
      <c r="AC31" s="104">
        <v>4</v>
      </c>
      <c r="AD31" s="123" t="s">
        <v>149</v>
      </c>
      <c r="AE31" s="104">
        <v>55</v>
      </c>
      <c r="AF31" s="105">
        <v>60</v>
      </c>
      <c r="AG31" s="104">
        <v>2.08</v>
      </c>
      <c r="AH31" s="102">
        <v>3.9</v>
      </c>
      <c r="AI31" s="105">
        <v>0.8</v>
      </c>
      <c r="AJ31" s="104">
        <v>30</v>
      </c>
      <c r="AK31" s="102">
        <v>40</v>
      </c>
      <c r="AL31" s="102">
        <v>60</v>
      </c>
      <c r="AM31" s="105">
        <v>40</v>
      </c>
      <c r="AN31" s="104">
        <v>0</v>
      </c>
      <c r="AO31" s="102">
        <v>0</v>
      </c>
      <c r="AP31" s="102">
        <v>20</v>
      </c>
      <c r="AQ31" s="105">
        <v>80</v>
      </c>
      <c r="AT31" s="110">
        <v>0.152777777777778</v>
      </c>
      <c r="AU31" s="125"/>
    </row>
    <row r="32" spans="1:47">
      <c r="A32" s="100">
        <v>10003113</v>
      </c>
      <c r="B32" s="101">
        <v>110</v>
      </c>
      <c r="C32" s="102">
        <v>4</v>
      </c>
      <c r="D32" s="103" t="s">
        <v>152</v>
      </c>
      <c r="F32" s="103" t="s">
        <v>49</v>
      </c>
      <c r="G32" s="103">
        <v>3</v>
      </c>
      <c r="H32" s="103">
        <v>3</v>
      </c>
      <c r="I32" s="104" t="s">
        <v>86</v>
      </c>
      <c r="J32" s="102" t="s">
        <v>114</v>
      </c>
      <c r="K32" s="102">
        <v>52</v>
      </c>
      <c r="L32" s="103">
        <v>0</v>
      </c>
      <c r="M32" s="104">
        <v>40</v>
      </c>
      <c r="N32" s="102">
        <v>57</v>
      </c>
      <c r="O32" s="102">
        <v>0</v>
      </c>
      <c r="P32" s="102">
        <v>72</v>
      </c>
      <c r="Q32" s="104">
        <f>_xlfn.FLOOR.MATH(0+0*B32)</f>
        <v>0</v>
      </c>
      <c r="R32" s="102">
        <f>_xlfn.FLOOR.MATH(38+0.25*B32)</f>
        <v>65</v>
      </c>
      <c r="S32" s="102">
        <f>_xlfn.FLOOR.MATH(30+0.2*B32)</f>
        <v>52</v>
      </c>
      <c r="T32" s="105">
        <f>_xlfn.FLOOR.MATH(36+0.54*B32)</f>
        <v>95</v>
      </c>
      <c r="U32" s="102">
        <v>10</v>
      </c>
      <c r="V32" s="102">
        <v>32.5</v>
      </c>
      <c r="W32" s="106" t="s">
        <v>115</v>
      </c>
      <c r="Y32" s="102" t="s">
        <v>54</v>
      </c>
      <c r="Z32" s="102" t="s">
        <v>55</v>
      </c>
      <c r="AA32" s="104" t="s">
        <v>153</v>
      </c>
      <c r="AB32" s="105">
        <v>75</v>
      </c>
      <c r="AC32" s="104">
        <v>4</v>
      </c>
      <c r="AD32" s="123" t="s">
        <v>154</v>
      </c>
      <c r="AE32" s="104">
        <v>55</v>
      </c>
      <c r="AF32" s="105">
        <v>60</v>
      </c>
      <c r="AG32" s="104">
        <v>2.08</v>
      </c>
      <c r="AH32" s="102">
        <v>3.9</v>
      </c>
      <c r="AI32" s="105">
        <v>0.8</v>
      </c>
      <c r="AJ32" s="104">
        <v>30</v>
      </c>
      <c r="AK32" s="102">
        <v>40</v>
      </c>
      <c r="AL32" s="102">
        <v>60</v>
      </c>
      <c r="AM32" s="105">
        <v>40</v>
      </c>
      <c r="AN32" s="104">
        <v>0</v>
      </c>
      <c r="AO32" s="102">
        <v>0</v>
      </c>
      <c r="AP32" s="102">
        <v>16</v>
      </c>
      <c r="AQ32" s="105">
        <v>54</v>
      </c>
      <c r="AU32" s="125" t="str">
        <f>HYPERLINK("http://www.jianrmod.cn/data/shipGetInfo.html?type=0&amp;cid=10003113","详细")</f>
        <v>详细</v>
      </c>
    </row>
    <row r="33" spans="1:47">
      <c r="A33" s="100">
        <v>10003212</v>
      </c>
      <c r="B33" s="101">
        <v>110</v>
      </c>
      <c r="C33" s="102">
        <v>3</v>
      </c>
      <c r="D33" s="103" t="s">
        <v>155</v>
      </c>
      <c r="E33" s="103" t="s">
        <v>156</v>
      </c>
      <c r="F33" s="103" t="s">
        <v>49</v>
      </c>
      <c r="G33" s="103">
        <v>2</v>
      </c>
      <c r="H33" s="103">
        <v>2</v>
      </c>
      <c r="I33" s="104" t="s">
        <v>60</v>
      </c>
      <c r="J33" s="102" t="s">
        <v>157</v>
      </c>
      <c r="K33" s="102">
        <v>45</v>
      </c>
      <c r="L33" s="103">
        <v>-1</v>
      </c>
      <c r="M33" s="104">
        <v>62</v>
      </c>
      <c r="N33" s="102">
        <v>48</v>
      </c>
      <c r="O33" s="102">
        <v>56</v>
      </c>
      <c r="P33" s="102">
        <v>50</v>
      </c>
      <c r="Q33" s="104">
        <f>_xlfn.FLOOR.MATH(0+0*B33)</f>
        <v>0</v>
      </c>
      <c r="R33" s="102">
        <f>_xlfn.FLOOR.MATH(16+0.35*B33)</f>
        <v>54</v>
      </c>
      <c r="S33" s="102">
        <f>_xlfn.FLOOR.MATH(37+0.4*B33)</f>
        <v>81</v>
      </c>
      <c r="T33" s="105">
        <f>_xlfn.FLOOR.MATH(35+0.51*B33)</f>
        <v>91</v>
      </c>
      <c r="U33" s="102">
        <v>15</v>
      </c>
      <c r="V33" s="102">
        <v>35</v>
      </c>
      <c r="W33" s="106" t="s">
        <v>158</v>
      </c>
      <c r="X33" s="106" t="s">
        <v>159</v>
      </c>
      <c r="Y33" s="102" t="s">
        <v>127</v>
      </c>
      <c r="Z33" s="102" t="s">
        <v>128</v>
      </c>
      <c r="AA33" s="104" t="s">
        <v>160</v>
      </c>
      <c r="AB33" s="105">
        <v>6</v>
      </c>
      <c r="AC33" s="104">
        <v>3</v>
      </c>
      <c r="AD33" s="123" t="s">
        <v>161</v>
      </c>
      <c r="AE33" s="104">
        <v>40</v>
      </c>
      <c r="AF33" s="105">
        <v>65</v>
      </c>
      <c r="AG33" s="104">
        <v>1.28</v>
      </c>
      <c r="AH33" s="102">
        <v>2.4</v>
      </c>
      <c r="AI33" s="105">
        <v>0.75</v>
      </c>
      <c r="AJ33" s="104">
        <v>30</v>
      </c>
      <c r="AK33" s="102">
        <v>40</v>
      </c>
      <c r="AL33" s="102">
        <v>30</v>
      </c>
      <c r="AM33" s="105">
        <v>0</v>
      </c>
      <c r="AN33" s="104">
        <v>42</v>
      </c>
      <c r="AO33" s="102">
        <v>14</v>
      </c>
      <c r="AP33" s="102">
        <v>17</v>
      </c>
      <c r="AQ33" s="105">
        <v>10</v>
      </c>
      <c r="AU33" s="125" t="str">
        <f>HYPERLINK("http://www.jianrmod.cn/data/shipGetInfo.html?type=0&amp;cid=10003212","详细")</f>
        <v>详细</v>
      </c>
    </row>
    <row r="34" spans="1:47">
      <c r="A34" s="100">
        <v>10003312</v>
      </c>
      <c r="B34" s="101">
        <v>110</v>
      </c>
      <c r="C34" s="102">
        <v>3</v>
      </c>
      <c r="D34" s="103" t="s">
        <v>162</v>
      </c>
      <c r="E34" s="103" t="s">
        <v>163</v>
      </c>
      <c r="F34" s="103" t="s">
        <v>49</v>
      </c>
      <c r="G34" s="103">
        <v>2</v>
      </c>
      <c r="H34" s="103">
        <v>2</v>
      </c>
      <c r="I34" s="104" t="s">
        <v>60</v>
      </c>
      <c r="J34" s="102" t="s">
        <v>157</v>
      </c>
      <c r="K34" s="102">
        <v>45</v>
      </c>
      <c r="L34" s="103">
        <v>-1</v>
      </c>
      <c r="M34" s="104">
        <v>62</v>
      </c>
      <c r="N34" s="102">
        <v>48</v>
      </c>
      <c r="O34" s="102">
        <v>56</v>
      </c>
      <c r="P34" s="102">
        <v>50</v>
      </c>
      <c r="Q34" s="104">
        <f>_xlfn.FLOOR.MATH(0+0*B34)</f>
        <v>0</v>
      </c>
      <c r="R34" s="102">
        <f>_xlfn.FLOOR.MATH(16+0.35*B34)</f>
        <v>54</v>
      </c>
      <c r="S34" s="102">
        <f>_xlfn.FLOOR.MATH(37+0.4*B34)</f>
        <v>81</v>
      </c>
      <c r="T34" s="105">
        <f>_xlfn.FLOOR.MATH(35+0.51*B34)</f>
        <v>91</v>
      </c>
      <c r="U34" s="102">
        <v>13</v>
      </c>
      <c r="V34" s="102">
        <v>35</v>
      </c>
      <c r="W34" s="106" t="s">
        <v>158</v>
      </c>
      <c r="X34" s="106" t="s">
        <v>164</v>
      </c>
      <c r="Y34" s="102" t="s">
        <v>127</v>
      </c>
      <c r="Z34" s="102" t="s">
        <v>128</v>
      </c>
      <c r="AA34" s="104" t="s">
        <v>160</v>
      </c>
      <c r="AB34" s="105">
        <v>6</v>
      </c>
      <c r="AC34" s="104">
        <v>3</v>
      </c>
      <c r="AD34" s="123" t="s">
        <v>161</v>
      </c>
      <c r="AE34" s="104">
        <v>40</v>
      </c>
      <c r="AF34" s="105">
        <v>65</v>
      </c>
      <c r="AG34" s="104">
        <v>1.28</v>
      </c>
      <c r="AH34" s="102">
        <v>2.4</v>
      </c>
      <c r="AI34" s="105">
        <v>0.75</v>
      </c>
      <c r="AJ34" s="104">
        <v>30</v>
      </c>
      <c r="AK34" s="102">
        <v>40</v>
      </c>
      <c r="AL34" s="102">
        <v>30</v>
      </c>
      <c r="AM34" s="105">
        <v>0</v>
      </c>
      <c r="AN34" s="104">
        <v>42</v>
      </c>
      <c r="AO34" s="102">
        <v>14</v>
      </c>
      <c r="AP34" s="102">
        <v>17</v>
      </c>
      <c r="AQ34" s="105">
        <v>10</v>
      </c>
      <c r="AU34" s="125" t="str">
        <f>HYPERLINK("http://www.jianrmod.cn/data/shipGetInfo.html?type=0&amp;cid=10003312","详细")</f>
        <v>详细</v>
      </c>
    </row>
    <row r="35" spans="1:47">
      <c r="A35" s="100">
        <v>10003412</v>
      </c>
      <c r="B35" s="101">
        <v>110</v>
      </c>
      <c r="C35" s="102">
        <v>3</v>
      </c>
      <c r="D35" s="103" t="s">
        <v>165</v>
      </c>
      <c r="E35" s="103" t="s">
        <v>166</v>
      </c>
      <c r="F35" s="103" t="s">
        <v>49</v>
      </c>
      <c r="G35" s="103">
        <v>2</v>
      </c>
      <c r="H35" s="103">
        <v>2</v>
      </c>
      <c r="I35" s="104" t="s">
        <v>60</v>
      </c>
      <c r="J35" s="102" t="s">
        <v>157</v>
      </c>
      <c r="K35" s="102">
        <v>45</v>
      </c>
      <c r="L35" s="103">
        <v>-1</v>
      </c>
      <c r="M35" s="104">
        <v>62</v>
      </c>
      <c r="N35" s="102">
        <v>48</v>
      </c>
      <c r="O35" s="102">
        <v>56</v>
      </c>
      <c r="P35" s="102">
        <v>50</v>
      </c>
      <c r="Q35" s="104">
        <f>_xlfn.FLOOR.MATH(0+0*B35)</f>
        <v>0</v>
      </c>
      <c r="R35" s="102">
        <f>_xlfn.FLOOR.MATH(16+0.35*B35)</f>
        <v>54</v>
      </c>
      <c r="S35" s="102">
        <f>_xlfn.FLOOR.MATH(37+0.4*B35)</f>
        <v>81</v>
      </c>
      <c r="T35" s="105">
        <f>_xlfn.FLOOR.MATH(35+0.51*B35)</f>
        <v>91</v>
      </c>
      <c r="U35" s="102">
        <v>14</v>
      </c>
      <c r="V35" s="102">
        <v>35</v>
      </c>
      <c r="W35" s="106" t="s">
        <v>158</v>
      </c>
      <c r="X35" s="106" t="s">
        <v>167</v>
      </c>
      <c r="Y35" s="102" t="s">
        <v>127</v>
      </c>
      <c r="Z35" s="102" t="s">
        <v>128</v>
      </c>
      <c r="AA35" s="104" t="s">
        <v>160</v>
      </c>
      <c r="AB35" s="105">
        <v>6</v>
      </c>
      <c r="AC35" s="104">
        <v>3</v>
      </c>
      <c r="AD35" s="123" t="s">
        <v>168</v>
      </c>
      <c r="AE35" s="104">
        <v>40</v>
      </c>
      <c r="AF35" s="105">
        <v>65</v>
      </c>
      <c r="AG35" s="104">
        <v>1.28</v>
      </c>
      <c r="AH35" s="102">
        <v>2.4</v>
      </c>
      <c r="AI35" s="105">
        <v>0.75</v>
      </c>
      <c r="AJ35" s="104">
        <v>30</v>
      </c>
      <c r="AK35" s="102">
        <v>40</v>
      </c>
      <c r="AL35" s="102">
        <v>30</v>
      </c>
      <c r="AM35" s="105">
        <v>0</v>
      </c>
      <c r="AN35" s="104">
        <v>42</v>
      </c>
      <c r="AO35" s="102">
        <v>14</v>
      </c>
      <c r="AP35" s="102">
        <v>17</v>
      </c>
      <c r="AQ35" s="105">
        <v>10</v>
      </c>
      <c r="AU35" s="125" t="str">
        <f>HYPERLINK("http://www.jianrmod.cn/data/shipGetInfo.html?type=0&amp;cid=10003412","详细")</f>
        <v>详细</v>
      </c>
    </row>
    <row r="36" spans="1:47">
      <c r="A36" s="100">
        <v>10003512</v>
      </c>
      <c r="B36" s="101">
        <v>110</v>
      </c>
      <c r="C36" s="102">
        <v>3</v>
      </c>
      <c r="D36" s="103" t="s">
        <v>169</v>
      </c>
      <c r="E36" s="103" t="s">
        <v>170</v>
      </c>
      <c r="F36" s="103" t="s">
        <v>49</v>
      </c>
      <c r="G36" s="103">
        <v>2</v>
      </c>
      <c r="H36" s="103">
        <v>2</v>
      </c>
      <c r="I36" s="104" t="s">
        <v>60</v>
      </c>
      <c r="J36" s="102" t="s">
        <v>157</v>
      </c>
      <c r="K36" s="102">
        <v>45</v>
      </c>
      <c r="L36" s="103">
        <v>-1</v>
      </c>
      <c r="M36" s="104">
        <v>62</v>
      </c>
      <c r="N36" s="102">
        <v>48</v>
      </c>
      <c r="O36" s="102">
        <v>56</v>
      </c>
      <c r="P36" s="102">
        <v>50</v>
      </c>
      <c r="Q36" s="104">
        <f>_xlfn.FLOOR.MATH(0+0*B36)</f>
        <v>0</v>
      </c>
      <c r="R36" s="102">
        <f>_xlfn.FLOOR.MATH(16+0.35*B36)</f>
        <v>54</v>
      </c>
      <c r="S36" s="102">
        <f>_xlfn.FLOOR.MATH(37+0.4*B36)</f>
        <v>81</v>
      </c>
      <c r="T36" s="105">
        <f>_xlfn.FLOOR.MATH(35+0.51*B36)</f>
        <v>91</v>
      </c>
      <c r="U36" s="102">
        <v>15</v>
      </c>
      <c r="V36" s="102">
        <v>35</v>
      </c>
      <c r="W36" s="106" t="s">
        <v>158</v>
      </c>
      <c r="X36" s="106" t="s">
        <v>159</v>
      </c>
      <c r="Y36" s="102" t="s">
        <v>127</v>
      </c>
      <c r="Z36" s="102" t="s">
        <v>128</v>
      </c>
      <c r="AA36" s="104" t="s">
        <v>160</v>
      </c>
      <c r="AB36" s="105">
        <v>6</v>
      </c>
      <c r="AC36" s="104">
        <v>3</v>
      </c>
      <c r="AD36" s="123" t="s">
        <v>168</v>
      </c>
      <c r="AE36" s="104">
        <v>40</v>
      </c>
      <c r="AF36" s="105">
        <v>65</v>
      </c>
      <c r="AG36" s="104">
        <v>1.28</v>
      </c>
      <c r="AH36" s="102">
        <v>2.4</v>
      </c>
      <c r="AI36" s="105">
        <v>0.75</v>
      </c>
      <c r="AJ36" s="104">
        <v>30</v>
      </c>
      <c r="AK36" s="102">
        <v>40</v>
      </c>
      <c r="AL36" s="102">
        <v>30</v>
      </c>
      <c r="AM36" s="105">
        <v>0</v>
      </c>
      <c r="AN36" s="104">
        <v>42</v>
      </c>
      <c r="AO36" s="102">
        <v>14</v>
      </c>
      <c r="AP36" s="102">
        <v>17</v>
      </c>
      <c r="AQ36" s="105">
        <v>10</v>
      </c>
      <c r="AU36" s="125" t="str">
        <f>HYPERLINK("http://www.jianrmod.cn/data/shipGetInfo.html?type=0&amp;cid=10003512","详细")</f>
        <v>详细</v>
      </c>
    </row>
    <row r="37" spans="1:47">
      <c r="A37" s="100">
        <v>10003612</v>
      </c>
      <c r="B37" s="101">
        <v>110</v>
      </c>
      <c r="C37" s="102">
        <v>3</v>
      </c>
      <c r="D37" s="103" t="s">
        <v>171</v>
      </c>
      <c r="F37" s="103" t="s">
        <v>49</v>
      </c>
      <c r="G37" s="103">
        <v>2</v>
      </c>
      <c r="H37" s="103">
        <v>2</v>
      </c>
      <c r="I37" s="104" t="s">
        <v>73</v>
      </c>
      <c r="J37" s="102" t="s">
        <v>157</v>
      </c>
      <c r="K37" s="102">
        <v>52</v>
      </c>
      <c r="L37" s="103">
        <v>0</v>
      </c>
      <c r="M37" s="104">
        <v>56</v>
      </c>
      <c r="N37" s="102">
        <v>48</v>
      </c>
      <c r="O37" s="102">
        <v>55</v>
      </c>
      <c r="P37" s="102">
        <v>52</v>
      </c>
      <c r="Q37" s="104">
        <f>_xlfn.FLOOR.MATH(0+0*B37)</f>
        <v>0</v>
      </c>
      <c r="R37" s="102">
        <f>_xlfn.FLOOR.MATH(14+0.35*B37)</f>
        <v>52</v>
      </c>
      <c r="S37" s="102">
        <f>_xlfn.FLOOR.MATH(30+0.4*B37)</f>
        <v>74</v>
      </c>
      <c r="T37" s="105">
        <f>_xlfn.FLOOR.MATH(35+0.51*B37)</f>
        <v>91</v>
      </c>
      <c r="U37" s="102">
        <v>15</v>
      </c>
      <c r="V37" s="102">
        <v>32.5</v>
      </c>
      <c r="W37" s="106" t="s">
        <v>158</v>
      </c>
      <c r="X37" s="106" t="s">
        <v>172</v>
      </c>
      <c r="Y37" s="102" t="s">
        <v>127</v>
      </c>
      <c r="Z37" s="102" t="s">
        <v>128</v>
      </c>
      <c r="AA37" s="104" t="s">
        <v>173</v>
      </c>
      <c r="AB37" s="105">
        <v>9</v>
      </c>
      <c r="AC37" s="104">
        <v>3</v>
      </c>
      <c r="AD37" s="123" t="s">
        <v>174</v>
      </c>
      <c r="AE37" s="104">
        <v>35</v>
      </c>
      <c r="AF37" s="105">
        <v>65</v>
      </c>
      <c r="AG37" s="104">
        <v>1.28</v>
      </c>
      <c r="AH37" s="102">
        <v>2.64</v>
      </c>
      <c r="AI37" s="105">
        <v>0.75</v>
      </c>
      <c r="AJ37" s="104">
        <v>30</v>
      </c>
      <c r="AK37" s="102">
        <v>40</v>
      </c>
      <c r="AL37" s="102">
        <v>30</v>
      </c>
      <c r="AM37" s="105">
        <v>0</v>
      </c>
      <c r="AN37" s="104">
        <v>36</v>
      </c>
      <c r="AO37" s="102">
        <v>10</v>
      </c>
      <c r="AP37" s="102">
        <v>20</v>
      </c>
      <c r="AQ37" s="105">
        <v>11</v>
      </c>
      <c r="AU37" s="125" t="str">
        <f>HYPERLINK("http://www.jianrmod.cn/data/shipGetInfo.html?type=0&amp;cid=10003612","详细")</f>
        <v>详细</v>
      </c>
    </row>
    <row r="38" spans="1:47">
      <c r="A38" s="100">
        <v>10003712</v>
      </c>
      <c r="B38" s="101">
        <v>110</v>
      </c>
      <c r="C38" s="102">
        <v>3</v>
      </c>
      <c r="D38" s="103" t="s">
        <v>175</v>
      </c>
      <c r="F38" s="103" t="s">
        <v>49</v>
      </c>
      <c r="G38" s="103">
        <v>2</v>
      </c>
      <c r="H38" s="103">
        <v>2</v>
      </c>
      <c r="I38" s="104" t="s">
        <v>73</v>
      </c>
      <c r="J38" s="102" t="s">
        <v>157</v>
      </c>
      <c r="K38" s="102">
        <v>52</v>
      </c>
      <c r="L38" s="103">
        <v>0</v>
      </c>
      <c r="M38" s="104">
        <v>56</v>
      </c>
      <c r="N38" s="102">
        <v>48</v>
      </c>
      <c r="O38" s="102">
        <v>55</v>
      </c>
      <c r="P38" s="102">
        <v>52</v>
      </c>
      <c r="Q38" s="104">
        <f>_xlfn.FLOOR.MATH(0+0*B38)</f>
        <v>0</v>
      </c>
      <c r="R38" s="102">
        <f>_xlfn.FLOOR.MATH(14+0.35*B38)</f>
        <v>52</v>
      </c>
      <c r="S38" s="102">
        <f>_xlfn.FLOOR.MATH(30+0.4*B38)</f>
        <v>74</v>
      </c>
      <c r="T38" s="105">
        <f>_xlfn.FLOOR.MATH(35+0.51*B38)</f>
        <v>91</v>
      </c>
      <c r="U38" s="102">
        <v>15</v>
      </c>
      <c r="V38" s="102">
        <v>32.5</v>
      </c>
      <c r="W38" s="106" t="s">
        <v>158</v>
      </c>
      <c r="X38" s="106" t="s">
        <v>172</v>
      </c>
      <c r="Y38" s="102" t="s">
        <v>127</v>
      </c>
      <c r="Z38" s="102" t="s">
        <v>128</v>
      </c>
      <c r="AA38" s="104" t="s">
        <v>173</v>
      </c>
      <c r="AB38" s="105">
        <v>9</v>
      </c>
      <c r="AC38" s="104">
        <v>3</v>
      </c>
      <c r="AD38" s="123" t="s">
        <v>174</v>
      </c>
      <c r="AE38" s="104">
        <v>35</v>
      </c>
      <c r="AF38" s="105">
        <v>65</v>
      </c>
      <c r="AG38" s="104">
        <v>1.28</v>
      </c>
      <c r="AH38" s="102">
        <v>2.64</v>
      </c>
      <c r="AI38" s="105">
        <v>0.75</v>
      </c>
      <c r="AJ38" s="104">
        <v>30</v>
      </c>
      <c r="AK38" s="102">
        <v>40</v>
      </c>
      <c r="AL38" s="102">
        <v>30</v>
      </c>
      <c r="AM38" s="105">
        <v>0</v>
      </c>
      <c r="AN38" s="104">
        <v>36</v>
      </c>
      <c r="AO38" s="102">
        <v>10</v>
      </c>
      <c r="AP38" s="102">
        <v>20</v>
      </c>
      <c r="AQ38" s="105">
        <v>11</v>
      </c>
      <c r="AU38" s="125" t="str">
        <f>HYPERLINK("http://www.jianrmod.cn/data/shipGetInfo.html?type=0&amp;cid=10003712","详细")</f>
        <v>详细</v>
      </c>
    </row>
    <row r="39" spans="1:47">
      <c r="A39" s="100">
        <v>10003812</v>
      </c>
      <c r="B39" s="101">
        <v>110</v>
      </c>
      <c r="C39" s="102">
        <v>5</v>
      </c>
      <c r="D39" s="103" t="s">
        <v>176</v>
      </c>
      <c r="F39" s="103" t="s">
        <v>49</v>
      </c>
      <c r="G39" s="103">
        <v>2</v>
      </c>
      <c r="H39" s="103">
        <v>2</v>
      </c>
      <c r="I39" s="104" t="s">
        <v>73</v>
      </c>
      <c r="J39" s="102" t="s">
        <v>157</v>
      </c>
      <c r="K39" s="102">
        <v>54</v>
      </c>
      <c r="L39" s="103">
        <v>2</v>
      </c>
      <c r="M39" s="104">
        <v>56</v>
      </c>
      <c r="N39" s="102">
        <v>51</v>
      </c>
      <c r="O39" s="102">
        <v>55</v>
      </c>
      <c r="P39" s="102">
        <v>52</v>
      </c>
      <c r="Q39" s="104">
        <f>_xlfn.FLOOR.MATH(0+0*B39)</f>
        <v>0</v>
      </c>
      <c r="R39" s="102">
        <f>_xlfn.FLOOR.MATH(14+0.35*B39)</f>
        <v>52</v>
      </c>
      <c r="S39" s="102">
        <f>_xlfn.FLOOR.MATH(30+0.4*B39)</f>
        <v>74</v>
      </c>
      <c r="T39" s="105">
        <f>_xlfn.FLOOR.MATH(37+0.51*B39)</f>
        <v>93</v>
      </c>
      <c r="U39" s="102">
        <v>25</v>
      </c>
      <c r="V39" s="102">
        <v>32</v>
      </c>
      <c r="W39" s="106" t="s">
        <v>158</v>
      </c>
      <c r="X39" s="106" t="s">
        <v>172</v>
      </c>
      <c r="Y39" s="102" t="s">
        <v>127</v>
      </c>
      <c r="Z39" s="102" t="s">
        <v>128</v>
      </c>
      <c r="AA39" s="104" t="s">
        <v>173</v>
      </c>
      <c r="AB39" s="105">
        <v>9</v>
      </c>
      <c r="AC39" s="104">
        <v>3</v>
      </c>
      <c r="AD39" s="123" t="s">
        <v>174</v>
      </c>
      <c r="AE39" s="104">
        <v>35</v>
      </c>
      <c r="AF39" s="105">
        <v>65</v>
      </c>
      <c r="AG39" s="104">
        <v>1.28</v>
      </c>
      <c r="AH39" s="102">
        <v>2.64</v>
      </c>
      <c r="AI39" s="105">
        <v>0.75</v>
      </c>
      <c r="AJ39" s="104">
        <v>30</v>
      </c>
      <c r="AK39" s="102">
        <v>40</v>
      </c>
      <c r="AL39" s="102">
        <v>30</v>
      </c>
      <c r="AM39" s="105">
        <v>0</v>
      </c>
      <c r="AN39" s="104">
        <v>36</v>
      </c>
      <c r="AO39" s="102">
        <v>10</v>
      </c>
      <c r="AP39" s="102">
        <v>21</v>
      </c>
      <c r="AQ39" s="105">
        <v>11</v>
      </c>
      <c r="AT39" s="110">
        <v>0.0625</v>
      </c>
      <c r="AU39" s="125" t="str">
        <f>HYPERLINK("http://www.jianrmod.cn/data/shipGetInfo.html?type=0&amp;cid=10003812","详细")</f>
        <v>详细</v>
      </c>
    </row>
    <row r="40" spans="1:47">
      <c r="A40" s="100">
        <v>10003912</v>
      </c>
      <c r="B40" s="101">
        <v>110</v>
      </c>
      <c r="C40" s="102">
        <v>4</v>
      </c>
      <c r="D40" s="103" t="s">
        <v>177</v>
      </c>
      <c r="F40" s="103" t="s">
        <v>49</v>
      </c>
      <c r="G40" s="103">
        <v>2</v>
      </c>
      <c r="H40" s="103">
        <v>2</v>
      </c>
      <c r="I40" s="104" t="s">
        <v>86</v>
      </c>
      <c r="J40" s="102" t="s">
        <v>157</v>
      </c>
      <c r="K40" s="102">
        <v>36</v>
      </c>
      <c r="L40" s="103">
        <v>0</v>
      </c>
      <c r="M40" s="104">
        <v>63</v>
      </c>
      <c r="N40" s="102">
        <v>50</v>
      </c>
      <c r="O40" s="102">
        <v>0</v>
      </c>
      <c r="P40" s="102">
        <v>88</v>
      </c>
      <c r="Q40" s="104">
        <f>_xlfn.FLOOR.MATH(0+0*B40)</f>
        <v>0</v>
      </c>
      <c r="R40" s="102">
        <f>_xlfn.FLOOR.MATH(14+0.35*B40)</f>
        <v>52</v>
      </c>
      <c r="S40" s="102">
        <f>_xlfn.FLOOR.MATH(31+0.4*B40)</f>
        <v>75</v>
      </c>
      <c r="T40" s="105">
        <f>_xlfn.FLOOR.MATH(36+0.51*B40)</f>
        <v>92</v>
      </c>
      <c r="U40" s="102">
        <v>20</v>
      </c>
      <c r="V40" s="102">
        <v>33</v>
      </c>
      <c r="W40" s="106" t="s">
        <v>158</v>
      </c>
      <c r="X40" s="106" t="s">
        <v>178</v>
      </c>
      <c r="Y40" s="102" t="s">
        <v>127</v>
      </c>
      <c r="Z40" s="102" t="s">
        <v>128</v>
      </c>
      <c r="AA40" s="104" t="s">
        <v>160</v>
      </c>
      <c r="AB40" s="105">
        <v>6</v>
      </c>
      <c r="AC40" s="104">
        <v>3</v>
      </c>
      <c r="AD40" s="123" t="s">
        <v>179</v>
      </c>
      <c r="AE40" s="104">
        <v>40</v>
      </c>
      <c r="AF40" s="105">
        <v>70</v>
      </c>
      <c r="AG40" s="104">
        <v>1.28</v>
      </c>
      <c r="AH40" s="102">
        <v>2.4</v>
      </c>
      <c r="AI40" s="105">
        <v>0.625</v>
      </c>
      <c r="AJ40" s="104">
        <v>30</v>
      </c>
      <c r="AK40" s="102">
        <v>40</v>
      </c>
      <c r="AL40" s="102">
        <v>30</v>
      </c>
      <c r="AM40" s="105">
        <v>0</v>
      </c>
      <c r="AN40" s="104">
        <v>38</v>
      </c>
      <c r="AO40" s="102">
        <v>0</v>
      </c>
      <c r="AP40" s="102">
        <v>15</v>
      </c>
      <c r="AQ40" s="105">
        <v>52</v>
      </c>
      <c r="AT40" s="110">
        <v>0.0555555555555556</v>
      </c>
      <c r="AU40" s="125" t="str">
        <f>HYPERLINK("http://www.jianrmod.cn/data/shipGetInfo.html?type=0&amp;cid=10003912","详细")</f>
        <v>详细</v>
      </c>
    </row>
    <row r="41" spans="1:47">
      <c r="A41" s="100">
        <v>10004012</v>
      </c>
      <c r="B41" s="101">
        <v>110</v>
      </c>
      <c r="C41" s="102">
        <v>3</v>
      </c>
      <c r="D41" s="103" t="s">
        <v>180</v>
      </c>
      <c r="F41" s="103" t="s">
        <v>49</v>
      </c>
      <c r="G41" s="103">
        <v>2</v>
      </c>
      <c r="H41" s="103">
        <v>2</v>
      </c>
      <c r="I41" s="104" t="s">
        <v>86</v>
      </c>
      <c r="J41" s="102" t="s">
        <v>157</v>
      </c>
      <c r="K41" s="102">
        <v>43</v>
      </c>
      <c r="L41" s="103">
        <v>1</v>
      </c>
      <c r="M41" s="104">
        <v>63</v>
      </c>
      <c r="N41" s="102">
        <v>52</v>
      </c>
      <c r="O41" s="102">
        <v>0</v>
      </c>
      <c r="P41" s="102">
        <v>65</v>
      </c>
      <c r="Q41" s="104">
        <f>_xlfn.FLOOR.MATH(0+0*B41)</f>
        <v>0</v>
      </c>
      <c r="R41" s="102">
        <f>_xlfn.FLOOR.MATH(15+0.35*B41)</f>
        <v>53</v>
      </c>
      <c r="S41" s="102">
        <f>_xlfn.FLOOR.MATH(31+0.4*B41)</f>
        <v>75</v>
      </c>
      <c r="T41" s="105">
        <f>_xlfn.FLOOR.MATH(35+0.51*B41)</f>
        <v>91</v>
      </c>
      <c r="U41" s="102">
        <v>12</v>
      </c>
      <c r="V41" s="102">
        <v>32.7</v>
      </c>
      <c r="W41" s="106" t="s">
        <v>158</v>
      </c>
      <c r="X41" s="106" t="s">
        <v>181</v>
      </c>
      <c r="Y41" s="102" t="s">
        <v>127</v>
      </c>
      <c r="Z41" s="102" t="s">
        <v>128</v>
      </c>
      <c r="AA41" s="104" t="s">
        <v>160</v>
      </c>
      <c r="AB41" s="105">
        <v>6</v>
      </c>
      <c r="AC41" s="104">
        <v>3</v>
      </c>
      <c r="AD41" s="123" t="s">
        <v>179</v>
      </c>
      <c r="AE41" s="104">
        <v>40</v>
      </c>
      <c r="AF41" s="105">
        <v>70</v>
      </c>
      <c r="AG41" s="104">
        <v>1.28</v>
      </c>
      <c r="AH41" s="102">
        <v>2.4</v>
      </c>
      <c r="AI41" s="105">
        <v>0.625</v>
      </c>
      <c r="AJ41" s="104">
        <v>30</v>
      </c>
      <c r="AK41" s="102">
        <v>40</v>
      </c>
      <c r="AL41" s="102">
        <v>30</v>
      </c>
      <c r="AM41" s="105">
        <v>0</v>
      </c>
      <c r="AN41" s="104">
        <v>38</v>
      </c>
      <c r="AO41" s="102">
        <v>0</v>
      </c>
      <c r="AP41" s="102">
        <v>16</v>
      </c>
      <c r="AQ41" s="105">
        <v>23</v>
      </c>
      <c r="AT41" s="110">
        <v>0.0590277777777778</v>
      </c>
      <c r="AU41" s="125" t="str">
        <f>HYPERLINK("http://www.jianrmod.cn/data/shipGetInfo.html?type=0&amp;cid=10004012","详细")</f>
        <v>详细</v>
      </c>
    </row>
    <row r="42" spans="1:47">
      <c r="A42" s="100">
        <v>10004112</v>
      </c>
      <c r="B42" s="101">
        <v>110</v>
      </c>
      <c r="C42" s="102">
        <v>2</v>
      </c>
      <c r="D42" s="103" t="s">
        <v>182</v>
      </c>
      <c r="E42" s="103" t="s">
        <v>183</v>
      </c>
      <c r="F42" s="103" t="s">
        <v>49</v>
      </c>
      <c r="G42" s="103">
        <v>1</v>
      </c>
      <c r="H42" s="103">
        <v>2</v>
      </c>
      <c r="I42" s="104" t="s">
        <v>60</v>
      </c>
      <c r="J42" s="102" t="s">
        <v>184</v>
      </c>
      <c r="K42" s="102">
        <v>23</v>
      </c>
      <c r="L42" s="103">
        <v>1</v>
      </c>
      <c r="M42" s="104">
        <v>38</v>
      </c>
      <c r="N42" s="102">
        <v>29</v>
      </c>
      <c r="O42" s="102">
        <v>56</v>
      </c>
      <c r="P42" s="102">
        <v>40</v>
      </c>
      <c r="Q42" s="104">
        <f>_xlfn.FLOOR.MATH(15+0.4*B42)</f>
        <v>59</v>
      </c>
      <c r="R42" s="102">
        <f>_xlfn.FLOOR.MATH(9+0.1*B42)</f>
        <v>20</v>
      </c>
      <c r="S42" s="102">
        <f>_xlfn.FLOOR.MATH(38+0.35*B42)</f>
        <v>76</v>
      </c>
      <c r="T42" s="105">
        <f>_xlfn.FLOOR.MATH(33+0.52*B42)</f>
        <v>90</v>
      </c>
      <c r="U42" s="102">
        <v>10</v>
      </c>
      <c r="V42" s="102">
        <v>33</v>
      </c>
      <c r="W42" s="106" t="s">
        <v>158</v>
      </c>
      <c r="X42" s="106" t="s">
        <v>185</v>
      </c>
      <c r="Y42" s="102" t="s">
        <v>127</v>
      </c>
      <c r="Z42" s="102" t="s">
        <v>128</v>
      </c>
      <c r="AA42" s="104">
        <v>0</v>
      </c>
      <c r="AB42" s="105">
        <v>0</v>
      </c>
      <c r="AC42" s="104">
        <v>3</v>
      </c>
      <c r="AD42" s="123" t="s">
        <v>186</v>
      </c>
      <c r="AE42" s="104">
        <v>25</v>
      </c>
      <c r="AF42" s="105">
        <v>20</v>
      </c>
      <c r="AG42" s="104">
        <v>0.8</v>
      </c>
      <c r="AH42" s="102">
        <v>1.5</v>
      </c>
      <c r="AI42" s="105">
        <v>0.5</v>
      </c>
      <c r="AJ42" s="104">
        <v>5</v>
      </c>
      <c r="AK42" s="102">
        <v>8</v>
      </c>
      <c r="AL42" s="102">
        <v>5</v>
      </c>
      <c r="AM42" s="105">
        <v>0</v>
      </c>
      <c r="AN42" s="104">
        <v>7</v>
      </c>
      <c r="AO42" s="102">
        <v>19</v>
      </c>
      <c r="AP42" s="102">
        <v>5</v>
      </c>
      <c r="AQ42" s="105">
        <v>5</v>
      </c>
      <c r="AU42" s="125" t="str">
        <f>HYPERLINK("http://www.jianrmod.cn/data/shipGetInfo.html?type=0&amp;cid=10004112","详细")</f>
        <v>详细</v>
      </c>
    </row>
    <row r="43" spans="1:47">
      <c r="A43" s="100">
        <v>10004212</v>
      </c>
      <c r="B43" s="101">
        <v>110</v>
      </c>
      <c r="C43" s="102">
        <v>2</v>
      </c>
      <c r="D43" s="103" t="s">
        <v>187</v>
      </c>
      <c r="E43" s="103" t="s">
        <v>188</v>
      </c>
      <c r="F43" s="103" t="s">
        <v>49</v>
      </c>
      <c r="G43" s="103">
        <v>1</v>
      </c>
      <c r="H43" s="103">
        <v>2</v>
      </c>
      <c r="I43" s="104" t="s">
        <v>60</v>
      </c>
      <c r="J43" s="102" t="s">
        <v>184</v>
      </c>
      <c r="K43" s="102">
        <v>23</v>
      </c>
      <c r="L43" s="103">
        <v>1</v>
      </c>
      <c r="M43" s="104">
        <v>38</v>
      </c>
      <c r="N43" s="102">
        <v>29</v>
      </c>
      <c r="O43" s="102">
        <v>56</v>
      </c>
      <c r="P43" s="102">
        <v>40</v>
      </c>
      <c r="Q43" s="104">
        <f>_xlfn.FLOOR.MATH(15+0.4*B43)</f>
        <v>59</v>
      </c>
      <c r="R43" s="102">
        <f>_xlfn.FLOOR.MATH(9+0.1*B43)</f>
        <v>20</v>
      </c>
      <c r="S43" s="102">
        <f>_xlfn.FLOOR.MATH(38+0.35*B43)</f>
        <v>76</v>
      </c>
      <c r="T43" s="105">
        <f>_xlfn.FLOOR.MATH(33+0.52*B43)</f>
        <v>90</v>
      </c>
      <c r="U43" s="102">
        <v>10</v>
      </c>
      <c r="V43" s="102">
        <v>33</v>
      </c>
      <c r="W43" s="106" t="s">
        <v>158</v>
      </c>
      <c r="X43" s="106" t="s">
        <v>185</v>
      </c>
      <c r="Y43" s="102" t="s">
        <v>127</v>
      </c>
      <c r="Z43" s="102" t="s">
        <v>128</v>
      </c>
      <c r="AA43" s="104">
        <v>0</v>
      </c>
      <c r="AB43" s="105">
        <v>0</v>
      </c>
      <c r="AC43" s="104">
        <v>3</v>
      </c>
      <c r="AD43" s="123" t="s">
        <v>186</v>
      </c>
      <c r="AE43" s="104">
        <v>25</v>
      </c>
      <c r="AF43" s="105">
        <v>20</v>
      </c>
      <c r="AG43" s="104">
        <v>0.8</v>
      </c>
      <c r="AH43" s="102">
        <v>1.5</v>
      </c>
      <c r="AI43" s="105">
        <v>0.5</v>
      </c>
      <c r="AJ43" s="104">
        <v>5</v>
      </c>
      <c r="AK43" s="102">
        <v>8</v>
      </c>
      <c r="AL43" s="102">
        <v>5</v>
      </c>
      <c r="AM43" s="105">
        <v>0</v>
      </c>
      <c r="AN43" s="104">
        <v>7</v>
      </c>
      <c r="AO43" s="102">
        <v>19</v>
      </c>
      <c r="AP43" s="102">
        <v>5</v>
      </c>
      <c r="AQ43" s="105">
        <v>5</v>
      </c>
      <c r="AU43" s="125" t="str">
        <f>HYPERLINK("http://www.jianrmod.cn/data/shipGetInfo.html?type=0&amp;cid=10004212","详细")</f>
        <v>详细</v>
      </c>
    </row>
    <row r="44" spans="1:47">
      <c r="A44" s="100">
        <v>10004312</v>
      </c>
      <c r="B44" s="101">
        <v>110</v>
      </c>
      <c r="C44" s="102">
        <v>3</v>
      </c>
      <c r="D44" s="103" t="s">
        <v>189</v>
      </c>
      <c r="E44" s="103" t="s">
        <v>190</v>
      </c>
      <c r="F44" s="103" t="s">
        <v>49</v>
      </c>
      <c r="G44" s="103">
        <v>1</v>
      </c>
      <c r="H44" s="103">
        <v>2</v>
      </c>
      <c r="I44" s="104" t="s">
        <v>60</v>
      </c>
      <c r="J44" s="102" t="s">
        <v>184</v>
      </c>
      <c r="K44" s="102">
        <v>25</v>
      </c>
      <c r="L44" s="103">
        <v>-1</v>
      </c>
      <c r="M44" s="104">
        <v>41</v>
      </c>
      <c r="N44" s="102">
        <v>29</v>
      </c>
      <c r="O44" s="102">
        <v>58</v>
      </c>
      <c r="P44" s="102">
        <v>40</v>
      </c>
      <c r="Q44" s="104">
        <f>_xlfn.FLOOR.MATH(15+0.4*B44)</f>
        <v>59</v>
      </c>
      <c r="R44" s="102">
        <f>_xlfn.FLOOR.MATH(10+0.1*B44)</f>
        <v>21</v>
      </c>
      <c r="S44" s="102">
        <f>_xlfn.FLOOR.MATH(40+0.35*B44)</f>
        <v>78</v>
      </c>
      <c r="T44" s="105">
        <f>_xlfn.FLOOR.MATH(33+0.52*B44)</f>
        <v>90</v>
      </c>
      <c r="U44" s="102">
        <v>25</v>
      </c>
      <c r="V44" s="102">
        <v>36</v>
      </c>
      <c r="W44" s="106" t="s">
        <v>158</v>
      </c>
      <c r="X44" s="106" t="s">
        <v>191</v>
      </c>
      <c r="Y44" s="102" t="s">
        <v>127</v>
      </c>
      <c r="Z44" s="102" t="s">
        <v>128</v>
      </c>
      <c r="AA44" s="104">
        <v>0</v>
      </c>
      <c r="AB44" s="105">
        <v>0</v>
      </c>
      <c r="AC44" s="104">
        <v>3</v>
      </c>
      <c r="AD44" s="123" t="s">
        <v>192</v>
      </c>
      <c r="AE44" s="104">
        <v>25</v>
      </c>
      <c r="AF44" s="105">
        <v>25</v>
      </c>
      <c r="AG44" s="104">
        <v>0.8</v>
      </c>
      <c r="AH44" s="102">
        <v>1.5</v>
      </c>
      <c r="AI44" s="105">
        <v>0.5</v>
      </c>
      <c r="AJ44" s="104">
        <v>10</v>
      </c>
      <c r="AK44" s="102">
        <v>16</v>
      </c>
      <c r="AL44" s="102">
        <v>10</v>
      </c>
      <c r="AM44" s="105">
        <v>0</v>
      </c>
      <c r="AN44" s="104">
        <v>8</v>
      </c>
      <c r="AO44" s="102">
        <v>21</v>
      </c>
      <c r="AP44" s="102">
        <v>5</v>
      </c>
      <c r="AQ44" s="105">
        <v>5</v>
      </c>
      <c r="AU44" s="125" t="str">
        <f>HYPERLINK("http://www.jianrmod.cn/data/shipGetInfo.html?type=0&amp;cid=10004312","详细")</f>
        <v>详细</v>
      </c>
    </row>
    <row r="45" spans="1:47">
      <c r="A45" s="100">
        <v>10004412</v>
      </c>
      <c r="B45" s="101">
        <v>110</v>
      </c>
      <c r="C45" s="102">
        <v>3</v>
      </c>
      <c r="D45" s="103" t="s">
        <v>193</v>
      </c>
      <c r="E45" s="103" t="s">
        <v>194</v>
      </c>
      <c r="F45" s="103" t="s">
        <v>49</v>
      </c>
      <c r="G45" s="103">
        <v>1</v>
      </c>
      <c r="H45" s="103">
        <v>2</v>
      </c>
      <c r="I45" s="104" t="s">
        <v>60</v>
      </c>
      <c r="J45" s="102" t="s">
        <v>184</v>
      </c>
      <c r="K45" s="102">
        <v>25</v>
      </c>
      <c r="L45" s="103">
        <v>-1</v>
      </c>
      <c r="M45" s="104">
        <v>41</v>
      </c>
      <c r="N45" s="102">
        <v>29</v>
      </c>
      <c r="O45" s="102">
        <v>58</v>
      </c>
      <c r="P45" s="102">
        <v>40</v>
      </c>
      <c r="Q45" s="104">
        <f>_xlfn.FLOOR.MATH(15+0.4*B45)</f>
        <v>59</v>
      </c>
      <c r="R45" s="102">
        <f>_xlfn.FLOOR.MATH(10+0.1*B45)</f>
        <v>21</v>
      </c>
      <c r="S45" s="102">
        <f>_xlfn.FLOOR.MATH(40+0.35*B45)</f>
        <v>78</v>
      </c>
      <c r="T45" s="105">
        <f>_xlfn.FLOOR.MATH(33+0.52*B45)</f>
        <v>90</v>
      </c>
      <c r="U45" s="102">
        <v>10</v>
      </c>
      <c r="V45" s="102">
        <v>36</v>
      </c>
      <c r="W45" s="106" t="s">
        <v>158</v>
      </c>
      <c r="X45" s="106" t="s">
        <v>191</v>
      </c>
      <c r="Y45" s="102" t="s">
        <v>127</v>
      </c>
      <c r="Z45" s="102" t="s">
        <v>128</v>
      </c>
      <c r="AA45" s="104">
        <v>0</v>
      </c>
      <c r="AB45" s="105">
        <v>0</v>
      </c>
      <c r="AC45" s="104">
        <v>3</v>
      </c>
      <c r="AD45" s="123" t="s">
        <v>192</v>
      </c>
      <c r="AE45" s="104">
        <v>25</v>
      </c>
      <c r="AF45" s="105">
        <v>25</v>
      </c>
      <c r="AG45" s="104">
        <v>0.8</v>
      </c>
      <c r="AH45" s="102">
        <v>1.5</v>
      </c>
      <c r="AI45" s="105">
        <v>0.5</v>
      </c>
      <c r="AJ45" s="104">
        <v>10</v>
      </c>
      <c r="AK45" s="102">
        <v>16</v>
      </c>
      <c r="AL45" s="102">
        <v>10</v>
      </c>
      <c r="AM45" s="105">
        <v>0</v>
      </c>
      <c r="AN45" s="104">
        <v>8</v>
      </c>
      <c r="AO45" s="102">
        <v>21</v>
      </c>
      <c r="AP45" s="102">
        <v>5</v>
      </c>
      <c r="AQ45" s="105">
        <v>5</v>
      </c>
      <c r="AU45" s="125" t="str">
        <f>HYPERLINK("http://www.jianrmod.cn/data/shipGetInfo.html?type=0&amp;cid=10004412","详细")</f>
        <v>详细</v>
      </c>
    </row>
    <row r="46" spans="1:47">
      <c r="A46" s="100">
        <v>10004512</v>
      </c>
      <c r="B46" s="101">
        <v>110</v>
      </c>
      <c r="C46" s="102">
        <v>3</v>
      </c>
      <c r="D46" s="103" t="s">
        <v>195</v>
      </c>
      <c r="E46" s="103" t="s">
        <v>196</v>
      </c>
      <c r="F46" s="103" t="s">
        <v>49</v>
      </c>
      <c r="G46" s="103">
        <v>1</v>
      </c>
      <c r="H46" s="103">
        <v>2</v>
      </c>
      <c r="I46" s="104" t="s">
        <v>60</v>
      </c>
      <c r="J46" s="102" t="s">
        <v>184</v>
      </c>
      <c r="K46" s="102">
        <v>25</v>
      </c>
      <c r="L46" s="103">
        <v>-1</v>
      </c>
      <c r="M46" s="104">
        <v>41</v>
      </c>
      <c r="N46" s="102">
        <v>29</v>
      </c>
      <c r="O46" s="102">
        <v>58</v>
      </c>
      <c r="P46" s="102">
        <v>40</v>
      </c>
      <c r="Q46" s="104">
        <f>_xlfn.FLOOR.MATH(15+0.4*B46)</f>
        <v>59</v>
      </c>
      <c r="R46" s="102">
        <f>_xlfn.FLOOR.MATH(10+0.1*B46)</f>
        <v>21</v>
      </c>
      <c r="S46" s="102">
        <f>_xlfn.FLOOR.MATH(40+0.35*B46)</f>
        <v>78</v>
      </c>
      <c r="T46" s="105">
        <f>_xlfn.FLOOR.MATH(33+0.52*B46)</f>
        <v>90</v>
      </c>
      <c r="U46" s="102">
        <v>12</v>
      </c>
      <c r="V46" s="102">
        <v>36</v>
      </c>
      <c r="W46" s="106" t="s">
        <v>158</v>
      </c>
      <c r="X46" s="106" t="s">
        <v>197</v>
      </c>
      <c r="Y46" s="102" t="s">
        <v>127</v>
      </c>
      <c r="Z46" s="102" t="s">
        <v>128</v>
      </c>
      <c r="AA46" s="104" t="s">
        <v>198</v>
      </c>
      <c r="AB46" s="105">
        <v>3</v>
      </c>
      <c r="AC46" s="104">
        <v>3</v>
      </c>
      <c r="AD46" s="123" t="s">
        <v>186</v>
      </c>
      <c r="AE46" s="104">
        <v>25</v>
      </c>
      <c r="AF46" s="105">
        <v>25</v>
      </c>
      <c r="AG46" s="104">
        <v>0.8</v>
      </c>
      <c r="AH46" s="102">
        <v>1.5</v>
      </c>
      <c r="AI46" s="105">
        <v>0.5</v>
      </c>
      <c r="AJ46" s="104">
        <v>10</v>
      </c>
      <c r="AK46" s="102">
        <v>16</v>
      </c>
      <c r="AL46" s="102">
        <v>10</v>
      </c>
      <c r="AM46" s="105">
        <v>0</v>
      </c>
      <c r="AN46" s="104">
        <v>8</v>
      </c>
      <c r="AO46" s="102">
        <v>21</v>
      </c>
      <c r="AP46" s="102">
        <v>5</v>
      </c>
      <c r="AQ46" s="105">
        <v>5</v>
      </c>
      <c r="AT46" s="110">
        <v>0.0520833333333333</v>
      </c>
      <c r="AU46" s="125" t="str">
        <f>HYPERLINK("http://www.jianrmod.cn/data/shipGetInfo.html?type=0&amp;cid=10004512","详细")</f>
        <v>详细</v>
      </c>
    </row>
    <row r="47" spans="1:47">
      <c r="A47" s="100">
        <v>10004612</v>
      </c>
      <c r="B47" s="101">
        <v>110</v>
      </c>
      <c r="C47" s="102">
        <v>4</v>
      </c>
      <c r="D47" s="103" t="s">
        <v>199</v>
      </c>
      <c r="E47" s="103" t="s">
        <v>200</v>
      </c>
      <c r="F47" s="103" t="s">
        <v>49</v>
      </c>
      <c r="G47" s="103">
        <v>1</v>
      </c>
      <c r="H47" s="103">
        <v>2</v>
      </c>
      <c r="I47" s="104" t="s">
        <v>60</v>
      </c>
      <c r="J47" s="102" t="s">
        <v>184</v>
      </c>
      <c r="K47" s="102">
        <v>19</v>
      </c>
      <c r="L47" s="103">
        <v>1</v>
      </c>
      <c r="M47" s="104">
        <v>41</v>
      </c>
      <c r="N47" s="102">
        <v>33</v>
      </c>
      <c r="O47" s="102">
        <v>55</v>
      </c>
      <c r="P47" s="102">
        <v>43</v>
      </c>
      <c r="Q47" s="104">
        <f>_xlfn.FLOOR.MATH(15+0.4*B47)</f>
        <v>59</v>
      </c>
      <c r="R47" s="102">
        <f>_xlfn.FLOOR.MATH(10+0.1*B47)</f>
        <v>21</v>
      </c>
      <c r="S47" s="102">
        <f>_xlfn.FLOOR.MATH(40+0.35*B47)</f>
        <v>78</v>
      </c>
      <c r="T47" s="105">
        <f>_xlfn.FLOOR.MATH(34+0.52*B47)</f>
        <v>91</v>
      </c>
      <c r="U47" s="102">
        <v>15</v>
      </c>
      <c r="V47" s="102">
        <v>35.5</v>
      </c>
      <c r="W47" s="106" t="s">
        <v>158</v>
      </c>
      <c r="X47" s="106" t="s">
        <v>201</v>
      </c>
      <c r="Y47" s="102" t="s">
        <v>127</v>
      </c>
      <c r="Z47" s="102" t="s">
        <v>128</v>
      </c>
      <c r="AA47" s="104">
        <v>0</v>
      </c>
      <c r="AB47" s="105">
        <v>0</v>
      </c>
      <c r="AC47" s="104">
        <v>3</v>
      </c>
      <c r="AD47" s="123" t="s">
        <v>202</v>
      </c>
      <c r="AE47" s="104">
        <v>20</v>
      </c>
      <c r="AF47" s="105">
        <v>30</v>
      </c>
      <c r="AG47" s="104">
        <v>0.8</v>
      </c>
      <c r="AH47" s="102">
        <v>1.5</v>
      </c>
      <c r="AI47" s="105">
        <v>0.5</v>
      </c>
      <c r="AJ47" s="104">
        <v>10</v>
      </c>
      <c r="AK47" s="102">
        <v>16</v>
      </c>
      <c r="AL47" s="102">
        <v>10</v>
      </c>
      <c r="AM47" s="105">
        <v>0</v>
      </c>
      <c r="AN47" s="104">
        <v>8</v>
      </c>
      <c r="AO47" s="102">
        <v>18</v>
      </c>
      <c r="AP47" s="102">
        <v>7</v>
      </c>
      <c r="AQ47" s="105">
        <v>7</v>
      </c>
      <c r="AT47" s="110">
        <v>0.0569444444444444</v>
      </c>
      <c r="AU47" s="125"/>
    </row>
    <row r="48" spans="1:47">
      <c r="A48" s="100">
        <v>10004712</v>
      </c>
      <c r="B48" s="101">
        <v>110</v>
      </c>
      <c r="C48" s="102">
        <v>3</v>
      </c>
      <c r="D48" s="103" t="s">
        <v>203</v>
      </c>
      <c r="F48" s="103" t="s">
        <v>49</v>
      </c>
      <c r="G48" s="103">
        <v>1</v>
      </c>
      <c r="H48" s="103">
        <v>2</v>
      </c>
      <c r="I48" s="104" t="s">
        <v>73</v>
      </c>
      <c r="J48" s="102" t="s">
        <v>184</v>
      </c>
      <c r="K48" s="102">
        <v>33</v>
      </c>
      <c r="L48" s="103">
        <v>-1</v>
      </c>
      <c r="M48" s="104">
        <v>46</v>
      </c>
      <c r="N48" s="102">
        <v>38</v>
      </c>
      <c r="O48" s="102">
        <v>60</v>
      </c>
      <c r="P48" s="102">
        <v>47</v>
      </c>
      <c r="Q48" s="104">
        <f>_xlfn.FLOOR.MATH(26+0.4*B48)</f>
        <v>70</v>
      </c>
      <c r="R48" s="102">
        <f>_xlfn.FLOOR.MATH(9+0.1*B48)</f>
        <v>20</v>
      </c>
      <c r="S48" s="102">
        <f>_xlfn.FLOOR.MATH(31+0.35*B48)</f>
        <v>69</v>
      </c>
      <c r="T48" s="105">
        <f>_xlfn.FLOOR.MATH(33+0.52*B48)</f>
        <v>90</v>
      </c>
      <c r="U48" s="102">
        <v>15</v>
      </c>
      <c r="V48" s="102">
        <v>32.5</v>
      </c>
      <c r="W48" s="106" t="s">
        <v>158</v>
      </c>
      <c r="X48" s="106" t="s">
        <v>204</v>
      </c>
      <c r="Y48" s="102" t="s">
        <v>127</v>
      </c>
      <c r="Z48" s="102" t="s">
        <v>128</v>
      </c>
      <c r="AA48" s="104" t="s">
        <v>160</v>
      </c>
      <c r="AB48" s="105">
        <v>6</v>
      </c>
      <c r="AC48" s="104">
        <v>3</v>
      </c>
      <c r="AD48" s="123" t="s">
        <v>205</v>
      </c>
      <c r="AE48" s="104">
        <v>20</v>
      </c>
      <c r="AF48" s="105">
        <v>25</v>
      </c>
      <c r="AG48" s="104">
        <v>0.8</v>
      </c>
      <c r="AH48" s="102">
        <v>1.65</v>
      </c>
      <c r="AI48" s="105">
        <v>0.5</v>
      </c>
      <c r="AJ48" s="104">
        <v>10</v>
      </c>
      <c r="AK48" s="102">
        <v>16</v>
      </c>
      <c r="AL48" s="102">
        <v>10</v>
      </c>
      <c r="AM48" s="105">
        <v>0</v>
      </c>
      <c r="AN48" s="104">
        <v>11</v>
      </c>
      <c r="AO48" s="102">
        <v>20</v>
      </c>
      <c r="AP48" s="102">
        <v>11</v>
      </c>
      <c r="AQ48" s="105">
        <v>9</v>
      </c>
      <c r="AU48" s="125" t="str">
        <f>HYPERLINK("http://www.jianrmod.cn/data/shipGetInfo.html?type=0&amp;cid=10004712","详细")</f>
        <v>详细</v>
      </c>
    </row>
    <row r="49" spans="1:47">
      <c r="A49" s="100">
        <v>10004812</v>
      </c>
      <c r="B49" s="101">
        <v>110</v>
      </c>
      <c r="C49" s="102">
        <v>3</v>
      </c>
      <c r="D49" s="103" t="s">
        <v>206</v>
      </c>
      <c r="F49" s="103" t="s">
        <v>49</v>
      </c>
      <c r="G49" s="103">
        <v>1</v>
      </c>
      <c r="H49" s="103">
        <v>2</v>
      </c>
      <c r="I49" s="104" t="s">
        <v>73</v>
      </c>
      <c r="J49" s="102" t="s">
        <v>184</v>
      </c>
      <c r="K49" s="102">
        <v>33</v>
      </c>
      <c r="L49" s="103">
        <v>-1</v>
      </c>
      <c r="M49" s="104">
        <v>46</v>
      </c>
      <c r="N49" s="102">
        <v>38</v>
      </c>
      <c r="O49" s="102">
        <v>60</v>
      </c>
      <c r="P49" s="102">
        <v>47</v>
      </c>
      <c r="Q49" s="104">
        <f>_xlfn.FLOOR.MATH(26+0.4*B49)</f>
        <v>70</v>
      </c>
      <c r="R49" s="102">
        <f>_xlfn.FLOOR.MATH(9+0.1*B49)</f>
        <v>20</v>
      </c>
      <c r="S49" s="102">
        <f>_xlfn.FLOOR.MATH(31+0.35*B49)</f>
        <v>69</v>
      </c>
      <c r="T49" s="105">
        <f>_xlfn.FLOOR.MATH(33+0.52*B49)</f>
        <v>90</v>
      </c>
      <c r="U49" s="102">
        <v>15</v>
      </c>
      <c r="V49" s="102">
        <v>32.5</v>
      </c>
      <c r="W49" s="106" t="s">
        <v>158</v>
      </c>
      <c r="X49" s="106" t="s">
        <v>204</v>
      </c>
      <c r="Y49" s="102" t="s">
        <v>127</v>
      </c>
      <c r="Z49" s="102" t="s">
        <v>128</v>
      </c>
      <c r="AA49" s="104" t="s">
        <v>160</v>
      </c>
      <c r="AB49" s="105">
        <v>6</v>
      </c>
      <c r="AC49" s="104">
        <v>3</v>
      </c>
      <c r="AD49" s="123" t="s">
        <v>205</v>
      </c>
      <c r="AE49" s="104">
        <v>20</v>
      </c>
      <c r="AF49" s="105">
        <v>25</v>
      </c>
      <c r="AG49" s="104">
        <v>0.8</v>
      </c>
      <c r="AH49" s="102">
        <v>1.65</v>
      </c>
      <c r="AI49" s="105">
        <v>0.5</v>
      </c>
      <c r="AJ49" s="104">
        <v>10</v>
      </c>
      <c r="AK49" s="102">
        <v>16</v>
      </c>
      <c r="AL49" s="102">
        <v>10</v>
      </c>
      <c r="AM49" s="105">
        <v>0</v>
      </c>
      <c r="AN49" s="104">
        <v>11</v>
      </c>
      <c r="AO49" s="102">
        <v>20</v>
      </c>
      <c r="AP49" s="102">
        <v>11</v>
      </c>
      <c r="AQ49" s="105">
        <v>9</v>
      </c>
      <c r="AU49" s="125" t="str">
        <f>HYPERLINK("http://www.jianrmod.cn/data/shipGetInfo.html?type=0&amp;cid=10004812","详细")</f>
        <v>详细</v>
      </c>
    </row>
    <row r="50" spans="1:47">
      <c r="A50" s="100">
        <v>10004912</v>
      </c>
      <c r="B50" s="101">
        <v>110</v>
      </c>
      <c r="C50" s="102">
        <v>3</v>
      </c>
      <c r="D50" s="103" t="s">
        <v>207</v>
      </c>
      <c r="F50" s="103" t="s">
        <v>49</v>
      </c>
      <c r="G50" s="103">
        <v>1</v>
      </c>
      <c r="H50" s="103">
        <v>2</v>
      </c>
      <c r="I50" s="104" t="s">
        <v>73</v>
      </c>
      <c r="J50" s="102" t="s">
        <v>184</v>
      </c>
      <c r="K50" s="102">
        <v>33</v>
      </c>
      <c r="L50" s="103">
        <v>-1</v>
      </c>
      <c r="M50" s="104">
        <v>46</v>
      </c>
      <c r="N50" s="102">
        <v>38</v>
      </c>
      <c r="O50" s="102">
        <v>60</v>
      </c>
      <c r="P50" s="102">
        <v>47</v>
      </c>
      <c r="Q50" s="104">
        <f>_xlfn.FLOOR.MATH(26+0.4*B50)</f>
        <v>70</v>
      </c>
      <c r="R50" s="102">
        <f>_xlfn.FLOOR.MATH(9+0.1*B50)</f>
        <v>20</v>
      </c>
      <c r="S50" s="102">
        <f>_xlfn.FLOOR.MATH(31+0.35*B50)</f>
        <v>69</v>
      </c>
      <c r="T50" s="105">
        <f>_xlfn.FLOOR.MATH(33+0.52*B50)</f>
        <v>90</v>
      </c>
      <c r="U50" s="102">
        <v>18</v>
      </c>
      <c r="V50" s="102">
        <v>32.5</v>
      </c>
      <c r="W50" s="106" t="s">
        <v>158</v>
      </c>
      <c r="X50" s="106" t="s">
        <v>208</v>
      </c>
      <c r="Y50" s="102" t="s">
        <v>127</v>
      </c>
      <c r="Z50" s="102" t="s">
        <v>128</v>
      </c>
      <c r="AA50" s="104" t="s">
        <v>160</v>
      </c>
      <c r="AB50" s="105">
        <v>6</v>
      </c>
      <c r="AC50" s="104">
        <v>3</v>
      </c>
      <c r="AD50" s="123" t="s">
        <v>205</v>
      </c>
      <c r="AE50" s="104">
        <v>20</v>
      </c>
      <c r="AF50" s="105">
        <v>25</v>
      </c>
      <c r="AG50" s="104">
        <v>0.8</v>
      </c>
      <c r="AH50" s="102">
        <v>1.65</v>
      </c>
      <c r="AI50" s="105">
        <v>0.5</v>
      </c>
      <c r="AJ50" s="104">
        <v>10</v>
      </c>
      <c r="AK50" s="102">
        <v>16</v>
      </c>
      <c r="AL50" s="102">
        <v>10</v>
      </c>
      <c r="AM50" s="105">
        <v>0</v>
      </c>
      <c r="AN50" s="104">
        <v>11</v>
      </c>
      <c r="AO50" s="102">
        <v>20</v>
      </c>
      <c r="AP50" s="102">
        <v>11</v>
      </c>
      <c r="AQ50" s="105">
        <v>9</v>
      </c>
      <c r="AU50" s="125" t="str">
        <f>HYPERLINK("http://www.jianrmod.cn/data/shipGetInfo.html?type=0&amp;cid=10004912","详细")</f>
        <v>详细</v>
      </c>
    </row>
    <row r="51" spans="1:47">
      <c r="A51" s="100">
        <v>10005012</v>
      </c>
      <c r="B51" s="101">
        <v>110</v>
      </c>
      <c r="C51" s="102">
        <v>5</v>
      </c>
      <c r="D51" s="103" t="s">
        <v>209</v>
      </c>
      <c r="F51" s="103" t="s">
        <v>49</v>
      </c>
      <c r="G51" s="103">
        <v>1</v>
      </c>
      <c r="H51" s="103">
        <v>2</v>
      </c>
      <c r="I51" s="104" t="s">
        <v>50</v>
      </c>
      <c r="J51" s="102" t="s">
        <v>184</v>
      </c>
      <c r="K51" s="102">
        <v>28</v>
      </c>
      <c r="L51" s="103">
        <v>0</v>
      </c>
      <c r="M51" s="104">
        <v>52</v>
      </c>
      <c r="N51" s="102">
        <v>46</v>
      </c>
      <c r="O51" s="102">
        <v>50</v>
      </c>
      <c r="P51" s="102">
        <v>92</v>
      </c>
      <c r="Q51" s="104">
        <f>_xlfn.FLOOR.MATH(40+0.4*B51)</f>
        <v>84</v>
      </c>
      <c r="R51" s="102">
        <f>_xlfn.FLOOR.MATH(11+0.1*B51)</f>
        <v>22</v>
      </c>
      <c r="S51" s="102">
        <f>_xlfn.FLOOR.MATH(31+0.35*B51)</f>
        <v>69</v>
      </c>
      <c r="T51" s="105">
        <f>_xlfn.FLOOR.MATH(35+0.52*B51)</f>
        <v>92</v>
      </c>
      <c r="U51" s="102">
        <v>20</v>
      </c>
      <c r="V51" s="102">
        <v>32</v>
      </c>
      <c r="W51" s="106" t="s">
        <v>158</v>
      </c>
      <c r="X51" s="106" t="s">
        <v>210</v>
      </c>
      <c r="Y51" s="102" t="s">
        <v>127</v>
      </c>
      <c r="Z51" s="102" t="s">
        <v>128</v>
      </c>
      <c r="AA51" s="104">
        <v>0</v>
      </c>
      <c r="AB51" s="105">
        <v>0</v>
      </c>
      <c r="AC51" s="104">
        <v>3</v>
      </c>
      <c r="AD51" s="123" t="s">
        <v>211</v>
      </c>
      <c r="AE51" s="104">
        <v>20</v>
      </c>
      <c r="AF51" s="105">
        <v>30</v>
      </c>
      <c r="AG51" s="104">
        <v>0.96</v>
      </c>
      <c r="AH51" s="102">
        <v>1.8</v>
      </c>
      <c r="AI51" s="105">
        <v>0.5</v>
      </c>
      <c r="AJ51" s="104">
        <v>10</v>
      </c>
      <c r="AK51" s="102">
        <v>16</v>
      </c>
      <c r="AL51" s="102">
        <v>10</v>
      </c>
      <c r="AM51" s="105">
        <v>0</v>
      </c>
      <c r="AN51" s="104">
        <v>15</v>
      </c>
      <c r="AO51" s="102">
        <v>10</v>
      </c>
      <c r="AP51" s="102">
        <v>11</v>
      </c>
      <c r="AQ51" s="105">
        <v>52</v>
      </c>
      <c r="AU51" s="125" t="str">
        <f>HYPERLINK("http://www.jianrmod.cn/data/shipGetInfo.html?type=0&amp;cid=10005012","详细")</f>
        <v>详细</v>
      </c>
    </row>
    <row r="52" spans="1:47">
      <c r="A52" s="100">
        <v>10005112</v>
      </c>
      <c r="B52" s="101">
        <v>110</v>
      </c>
      <c r="C52" s="102">
        <v>2</v>
      </c>
      <c r="D52" s="103" t="s">
        <v>212</v>
      </c>
      <c r="F52" s="103" t="s">
        <v>49</v>
      </c>
      <c r="G52" s="103">
        <v>1</v>
      </c>
      <c r="H52" s="103">
        <v>2</v>
      </c>
      <c r="I52" s="104" t="s">
        <v>50</v>
      </c>
      <c r="J52" s="102" t="s">
        <v>184</v>
      </c>
      <c r="K52" s="102">
        <v>24</v>
      </c>
      <c r="L52" s="103">
        <v>0</v>
      </c>
      <c r="M52" s="104">
        <v>42</v>
      </c>
      <c r="N52" s="102">
        <v>34</v>
      </c>
      <c r="O52" s="102">
        <v>50</v>
      </c>
      <c r="P52" s="102">
        <v>58</v>
      </c>
      <c r="Q52" s="104">
        <f>_xlfn.FLOOR.MATH(28+0.4*B52)</f>
        <v>72</v>
      </c>
      <c r="R52" s="102">
        <f>_xlfn.FLOOR.MATH(9+0.1*B52)</f>
        <v>20</v>
      </c>
      <c r="S52" s="102">
        <f>_xlfn.FLOOR.MATH(30+0.35*B52)</f>
        <v>68</v>
      </c>
      <c r="T52" s="105">
        <f>_xlfn.FLOOR.MATH(33+0.52*B52)</f>
        <v>90</v>
      </c>
      <c r="U52" s="102">
        <v>15</v>
      </c>
      <c r="V52" s="102">
        <v>32</v>
      </c>
      <c r="W52" s="106" t="s">
        <v>158</v>
      </c>
      <c r="Y52" s="102" t="s">
        <v>127</v>
      </c>
      <c r="Z52" s="102" t="s">
        <v>128</v>
      </c>
      <c r="AA52" s="104" t="s">
        <v>160</v>
      </c>
      <c r="AB52" s="105">
        <v>6</v>
      </c>
      <c r="AC52" s="104">
        <v>3</v>
      </c>
      <c r="AD52" s="123" t="s">
        <v>213</v>
      </c>
      <c r="AE52" s="104">
        <v>20</v>
      </c>
      <c r="AF52" s="105">
        <v>30</v>
      </c>
      <c r="AG52" s="104">
        <v>0.8</v>
      </c>
      <c r="AH52" s="102">
        <v>1.5</v>
      </c>
      <c r="AI52" s="105">
        <v>0.5</v>
      </c>
      <c r="AJ52" s="104">
        <v>5</v>
      </c>
      <c r="AK52" s="102">
        <v>8</v>
      </c>
      <c r="AL52" s="102">
        <v>5</v>
      </c>
      <c r="AM52" s="105">
        <v>0</v>
      </c>
      <c r="AN52" s="104">
        <v>12</v>
      </c>
      <c r="AO52" s="102">
        <v>10</v>
      </c>
      <c r="AP52" s="102">
        <v>7</v>
      </c>
      <c r="AQ52" s="105">
        <v>14</v>
      </c>
      <c r="AT52" s="110">
        <v>0.0451388888888889</v>
      </c>
      <c r="AU52" s="125" t="str">
        <f>HYPERLINK("http://www.jianrmod.cn/data/shipGetInfo.html?type=0&amp;cid=10005112","详细")</f>
        <v>详细</v>
      </c>
    </row>
    <row r="53" spans="1:47">
      <c r="A53" s="100">
        <v>10005212</v>
      </c>
      <c r="B53" s="101">
        <v>110</v>
      </c>
      <c r="C53" s="102">
        <v>2</v>
      </c>
      <c r="D53" s="103" t="s">
        <v>214</v>
      </c>
      <c r="F53" s="103" t="s">
        <v>49</v>
      </c>
      <c r="G53" s="103">
        <v>1</v>
      </c>
      <c r="H53" s="103">
        <v>2</v>
      </c>
      <c r="I53" s="104" t="s">
        <v>50</v>
      </c>
      <c r="J53" s="102" t="s">
        <v>184</v>
      </c>
      <c r="K53" s="102">
        <v>24</v>
      </c>
      <c r="L53" s="103">
        <v>0</v>
      </c>
      <c r="M53" s="104">
        <v>42</v>
      </c>
      <c r="N53" s="102">
        <v>34</v>
      </c>
      <c r="O53" s="102">
        <v>50</v>
      </c>
      <c r="P53" s="102">
        <v>58</v>
      </c>
      <c r="Q53" s="104">
        <f>_xlfn.FLOOR.MATH(28+0.4*B53)</f>
        <v>72</v>
      </c>
      <c r="R53" s="102">
        <f>_xlfn.FLOOR.MATH(9+0.1*B53)</f>
        <v>20</v>
      </c>
      <c r="S53" s="102">
        <f>_xlfn.FLOOR.MATH(30+0.35*B53)</f>
        <v>68</v>
      </c>
      <c r="T53" s="105">
        <f>_xlfn.FLOOR.MATH(33+0.52*B53)</f>
        <v>90</v>
      </c>
      <c r="U53" s="102">
        <v>15</v>
      </c>
      <c r="V53" s="102">
        <v>32</v>
      </c>
      <c r="W53" s="106" t="s">
        <v>158</v>
      </c>
      <c r="Y53" s="102" t="s">
        <v>127</v>
      </c>
      <c r="Z53" s="102" t="s">
        <v>128</v>
      </c>
      <c r="AA53" s="104" t="s">
        <v>160</v>
      </c>
      <c r="AB53" s="105">
        <v>6</v>
      </c>
      <c r="AC53" s="104">
        <v>3</v>
      </c>
      <c r="AD53" s="123" t="s">
        <v>213</v>
      </c>
      <c r="AE53" s="104">
        <v>20</v>
      </c>
      <c r="AF53" s="105">
        <v>30</v>
      </c>
      <c r="AG53" s="104">
        <v>0.8</v>
      </c>
      <c r="AH53" s="102">
        <v>1.5</v>
      </c>
      <c r="AI53" s="105">
        <v>0.5</v>
      </c>
      <c r="AJ53" s="104">
        <v>5</v>
      </c>
      <c r="AK53" s="102">
        <v>8</v>
      </c>
      <c r="AL53" s="102">
        <v>5</v>
      </c>
      <c r="AM53" s="105">
        <v>0</v>
      </c>
      <c r="AN53" s="104">
        <v>12</v>
      </c>
      <c r="AO53" s="102">
        <v>10</v>
      </c>
      <c r="AP53" s="102">
        <v>7</v>
      </c>
      <c r="AQ53" s="105">
        <v>14</v>
      </c>
      <c r="AT53" s="110">
        <v>0.0451388888888889</v>
      </c>
      <c r="AU53" s="125" t="str">
        <f>HYPERLINK("http://www.jianrmod.cn/data/shipGetInfo.html?type=0&amp;cid=10005212","详细")</f>
        <v>详细</v>
      </c>
    </row>
    <row r="54" spans="1:47">
      <c r="A54" s="100">
        <v>10005312</v>
      </c>
      <c r="B54" s="101">
        <v>110</v>
      </c>
      <c r="C54" s="102">
        <v>2</v>
      </c>
      <c r="D54" s="103" t="s">
        <v>215</v>
      </c>
      <c r="F54" s="103" t="s">
        <v>49</v>
      </c>
      <c r="G54" s="103">
        <v>1</v>
      </c>
      <c r="H54" s="103">
        <v>2</v>
      </c>
      <c r="I54" s="104" t="s">
        <v>50</v>
      </c>
      <c r="J54" s="102" t="s">
        <v>184</v>
      </c>
      <c r="K54" s="102">
        <v>24</v>
      </c>
      <c r="L54" s="103">
        <v>0</v>
      </c>
      <c r="M54" s="104">
        <v>42</v>
      </c>
      <c r="N54" s="102">
        <v>35</v>
      </c>
      <c r="O54" s="102">
        <v>50</v>
      </c>
      <c r="P54" s="102">
        <v>58</v>
      </c>
      <c r="Q54" s="104">
        <f>_xlfn.FLOOR.MATH(28+0.4*B54)</f>
        <v>72</v>
      </c>
      <c r="R54" s="102">
        <f>_xlfn.FLOOR.MATH(9+0.1*B54)</f>
        <v>20</v>
      </c>
      <c r="S54" s="102">
        <f>_xlfn.FLOOR.MATH(30+0.35*B54)</f>
        <v>68</v>
      </c>
      <c r="T54" s="105">
        <f>_xlfn.FLOOR.MATH(33+0.52*B54)</f>
        <v>90</v>
      </c>
      <c r="U54" s="102">
        <v>15</v>
      </c>
      <c r="V54" s="102">
        <v>32</v>
      </c>
      <c r="W54" s="106" t="s">
        <v>158</v>
      </c>
      <c r="Y54" s="102" t="s">
        <v>127</v>
      </c>
      <c r="Z54" s="102" t="s">
        <v>128</v>
      </c>
      <c r="AA54" s="104" t="s">
        <v>160</v>
      </c>
      <c r="AB54" s="105">
        <v>6</v>
      </c>
      <c r="AC54" s="104">
        <v>3</v>
      </c>
      <c r="AD54" s="123" t="s">
        <v>213</v>
      </c>
      <c r="AE54" s="104">
        <v>20</v>
      </c>
      <c r="AF54" s="105">
        <v>30</v>
      </c>
      <c r="AG54" s="104">
        <v>0.8</v>
      </c>
      <c r="AH54" s="102">
        <v>1.5</v>
      </c>
      <c r="AI54" s="105">
        <v>0.5</v>
      </c>
      <c r="AJ54" s="104">
        <v>5</v>
      </c>
      <c r="AK54" s="102">
        <v>8</v>
      </c>
      <c r="AL54" s="102">
        <v>5</v>
      </c>
      <c r="AM54" s="105">
        <v>0</v>
      </c>
      <c r="AN54" s="104">
        <v>12</v>
      </c>
      <c r="AO54" s="102">
        <v>10</v>
      </c>
      <c r="AP54" s="102">
        <v>8</v>
      </c>
      <c r="AQ54" s="105">
        <v>14</v>
      </c>
      <c r="AT54" s="110">
        <v>0.0451388888888889</v>
      </c>
      <c r="AU54" s="125" t="str">
        <f>HYPERLINK("http://www.jianrmod.cn/data/shipGetInfo.html?type=0&amp;cid=10005312","详细")</f>
        <v>详细</v>
      </c>
    </row>
    <row r="55" spans="1:47">
      <c r="A55" s="100">
        <v>10005412</v>
      </c>
      <c r="B55" s="101">
        <v>110</v>
      </c>
      <c r="C55" s="102">
        <v>3</v>
      </c>
      <c r="D55" s="103" t="s">
        <v>216</v>
      </c>
      <c r="F55" s="103" t="s">
        <v>49</v>
      </c>
      <c r="G55" s="103">
        <v>1</v>
      </c>
      <c r="H55" s="103">
        <v>2</v>
      </c>
      <c r="I55" s="104" t="s">
        <v>50</v>
      </c>
      <c r="J55" s="102" t="s">
        <v>184</v>
      </c>
      <c r="K55" s="102">
        <v>24</v>
      </c>
      <c r="L55" s="103">
        <v>0</v>
      </c>
      <c r="M55" s="104">
        <v>42</v>
      </c>
      <c r="N55" s="102">
        <v>35</v>
      </c>
      <c r="O55" s="102">
        <v>50</v>
      </c>
      <c r="P55" s="102">
        <v>58</v>
      </c>
      <c r="Q55" s="104">
        <f>_xlfn.FLOOR.MATH(28+0.4*B55)</f>
        <v>72</v>
      </c>
      <c r="R55" s="102">
        <f>_xlfn.FLOOR.MATH(9+0.1*B55)</f>
        <v>20</v>
      </c>
      <c r="S55" s="102">
        <f>_xlfn.FLOOR.MATH(30+0.35*B55)</f>
        <v>68</v>
      </c>
      <c r="T55" s="105">
        <f>_xlfn.FLOOR.MATH(33+0.52*B55)</f>
        <v>90</v>
      </c>
      <c r="U55" s="102">
        <v>16</v>
      </c>
      <c r="V55" s="102">
        <v>32</v>
      </c>
      <c r="W55" s="106" t="s">
        <v>158</v>
      </c>
      <c r="X55" s="106" t="s">
        <v>217</v>
      </c>
      <c r="Y55" s="102" t="s">
        <v>127</v>
      </c>
      <c r="Z55" s="102" t="s">
        <v>128</v>
      </c>
      <c r="AA55" s="104" t="s">
        <v>160</v>
      </c>
      <c r="AB55" s="105">
        <v>6</v>
      </c>
      <c r="AC55" s="104">
        <v>3</v>
      </c>
      <c r="AD55" s="123" t="s">
        <v>213</v>
      </c>
      <c r="AE55" s="104">
        <v>20</v>
      </c>
      <c r="AF55" s="105">
        <v>30</v>
      </c>
      <c r="AG55" s="104">
        <v>0.8</v>
      </c>
      <c r="AH55" s="102">
        <v>1.5</v>
      </c>
      <c r="AI55" s="105">
        <v>0.5</v>
      </c>
      <c r="AJ55" s="104">
        <v>10</v>
      </c>
      <c r="AK55" s="102">
        <v>16</v>
      </c>
      <c r="AL55" s="102">
        <v>10</v>
      </c>
      <c r="AM55" s="105">
        <v>0</v>
      </c>
      <c r="AN55" s="104">
        <v>12</v>
      </c>
      <c r="AO55" s="102">
        <v>10</v>
      </c>
      <c r="AP55" s="102">
        <v>8</v>
      </c>
      <c r="AQ55" s="105">
        <v>14</v>
      </c>
      <c r="AU55" s="125" t="str">
        <f>HYPERLINK("http://www.jianrmod.cn/data/shipGetInfo.html?type=0&amp;cid=10005412","详细")</f>
        <v>详细</v>
      </c>
    </row>
    <row r="56" spans="1:47">
      <c r="A56" s="100">
        <v>10005512</v>
      </c>
      <c r="B56" s="101">
        <v>110</v>
      </c>
      <c r="C56" s="102">
        <v>2</v>
      </c>
      <c r="D56" s="103" t="s">
        <v>218</v>
      </c>
      <c r="F56" s="103" t="s">
        <v>49</v>
      </c>
      <c r="G56" s="103">
        <v>1</v>
      </c>
      <c r="H56" s="103">
        <v>2</v>
      </c>
      <c r="I56" s="104" t="s">
        <v>86</v>
      </c>
      <c r="J56" s="102" t="s">
        <v>184</v>
      </c>
      <c r="K56" s="102">
        <v>28</v>
      </c>
      <c r="L56" s="103">
        <v>0</v>
      </c>
      <c r="M56" s="104">
        <v>45</v>
      </c>
      <c r="N56" s="102">
        <v>35</v>
      </c>
      <c r="O56" s="102">
        <v>58</v>
      </c>
      <c r="P56" s="102">
        <v>60</v>
      </c>
      <c r="Q56" s="104">
        <f>_xlfn.FLOOR.MATH(18+0.4*B56)</f>
        <v>62</v>
      </c>
      <c r="R56" s="102">
        <f>_xlfn.FLOOR.MATH(8+0.1*B56)</f>
        <v>19</v>
      </c>
      <c r="S56" s="102">
        <f>_xlfn.FLOOR.MATH(32+0.35*B56)</f>
        <v>70</v>
      </c>
      <c r="T56" s="105">
        <f>_xlfn.FLOOR.MATH(33+0.52*B56)</f>
        <v>90</v>
      </c>
      <c r="U56" s="102">
        <v>20</v>
      </c>
      <c r="V56" s="102">
        <v>35</v>
      </c>
      <c r="W56" s="106" t="s">
        <v>158</v>
      </c>
      <c r="X56" s="106" t="s">
        <v>219</v>
      </c>
      <c r="Y56" s="102" t="s">
        <v>127</v>
      </c>
      <c r="Z56" s="102" t="s">
        <v>128</v>
      </c>
      <c r="AA56" s="104" t="s">
        <v>160</v>
      </c>
      <c r="AB56" s="105">
        <v>6</v>
      </c>
      <c r="AC56" s="104">
        <v>3</v>
      </c>
      <c r="AD56" s="123" t="s">
        <v>220</v>
      </c>
      <c r="AE56" s="104">
        <v>25</v>
      </c>
      <c r="AF56" s="105">
        <v>25</v>
      </c>
      <c r="AG56" s="104">
        <v>0.8</v>
      </c>
      <c r="AH56" s="102">
        <v>1.5</v>
      </c>
      <c r="AI56" s="105">
        <v>0.4</v>
      </c>
      <c r="AJ56" s="104">
        <v>5</v>
      </c>
      <c r="AK56" s="102">
        <v>8</v>
      </c>
      <c r="AL56" s="102">
        <v>5</v>
      </c>
      <c r="AM56" s="105">
        <v>0</v>
      </c>
      <c r="AN56" s="104">
        <v>10</v>
      </c>
      <c r="AO56" s="102">
        <v>18</v>
      </c>
      <c r="AP56" s="102">
        <v>8</v>
      </c>
      <c r="AQ56" s="105">
        <v>20</v>
      </c>
      <c r="AU56" s="125" t="str">
        <f>HYPERLINK("http://www.jianrmod.cn/data/shipGetInfo.html?type=0&amp;cid=10005512","详细")</f>
        <v>详细</v>
      </c>
    </row>
    <row r="57" spans="1:47">
      <c r="A57" s="100">
        <v>10005612</v>
      </c>
      <c r="B57" s="101">
        <v>110</v>
      </c>
      <c r="C57" s="102">
        <v>3</v>
      </c>
      <c r="D57" s="103" t="s">
        <v>221</v>
      </c>
      <c r="F57" s="103" t="s">
        <v>49</v>
      </c>
      <c r="G57" s="103">
        <v>1</v>
      </c>
      <c r="H57" s="103">
        <v>2</v>
      </c>
      <c r="I57" s="104" t="s">
        <v>86</v>
      </c>
      <c r="J57" s="102" t="s">
        <v>184</v>
      </c>
      <c r="K57" s="102">
        <v>27</v>
      </c>
      <c r="L57" s="103">
        <v>1</v>
      </c>
      <c r="M57" s="104">
        <v>54</v>
      </c>
      <c r="N57" s="102">
        <v>44</v>
      </c>
      <c r="O57" s="102">
        <v>0</v>
      </c>
      <c r="P57" s="102">
        <v>98</v>
      </c>
      <c r="Q57" s="104">
        <f>_xlfn.FLOOR.MATH(40+0.4*B57)</f>
        <v>84</v>
      </c>
      <c r="R57" s="102">
        <f>_xlfn.FLOOR.MATH(12+0.1*B57)</f>
        <v>23</v>
      </c>
      <c r="S57" s="102">
        <f>_xlfn.FLOOR.MATH(31+0.35*B57)</f>
        <v>69</v>
      </c>
      <c r="T57" s="105">
        <f>_xlfn.FLOOR.MATH(33+0.52*B57)</f>
        <v>90</v>
      </c>
      <c r="U57" s="102">
        <v>10</v>
      </c>
      <c r="V57" s="102">
        <v>33.6</v>
      </c>
      <c r="W57" s="106" t="s">
        <v>158</v>
      </c>
      <c r="X57" s="106" t="s">
        <v>222</v>
      </c>
      <c r="Y57" s="102" t="s">
        <v>127</v>
      </c>
      <c r="Z57" s="102" t="s">
        <v>128</v>
      </c>
      <c r="AA57" s="104">
        <v>0</v>
      </c>
      <c r="AB57" s="105">
        <v>0</v>
      </c>
      <c r="AC57" s="104">
        <v>3</v>
      </c>
      <c r="AD57" s="123" t="s">
        <v>223</v>
      </c>
      <c r="AE57" s="104">
        <v>25</v>
      </c>
      <c r="AF57" s="105">
        <v>30</v>
      </c>
      <c r="AG57" s="104">
        <v>0.8</v>
      </c>
      <c r="AH57" s="102">
        <v>1.5</v>
      </c>
      <c r="AI57" s="105">
        <v>0.4</v>
      </c>
      <c r="AJ57" s="104">
        <v>10</v>
      </c>
      <c r="AK57" s="102">
        <v>16</v>
      </c>
      <c r="AL57" s="102">
        <v>10</v>
      </c>
      <c r="AM57" s="105">
        <v>0</v>
      </c>
      <c r="AN57" s="104">
        <v>12</v>
      </c>
      <c r="AO57" s="102">
        <v>0</v>
      </c>
      <c r="AP57" s="102">
        <v>10</v>
      </c>
      <c r="AQ57" s="105">
        <v>68</v>
      </c>
      <c r="AT57" s="110">
        <v>0.0520833333333333</v>
      </c>
      <c r="AU57" s="125" t="str">
        <f>HYPERLINK("http://www.jianrmod.cn/data/shipGetInfo.html?type=0&amp;cid=10005612","详细")</f>
        <v>详细</v>
      </c>
    </row>
    <row r="58" spans="1:47">
      <c r="A58" s="100">
        <v>10005712</v>
      </c>
      <c r="B58" s="101">
        <v>110</v>
      </c>
      <c r="C58" s="102">
        <v>3</v>
      </c>
      <c r="D58" s="103" t="s">
        <v>224</v>
      </c>
      <c r="F58" s="103" t="s">
        <v>49</v>
      </c>
      <c r="G58" s="103">
        <v>1</v>
      </c>
      <c r="H58" s="103">
        <v>2</v>
      </c>
      <c r="I58" s="104" t="s">
        <v>86</v>
      </c>
      <c r="J58" s="102" t="s">
        <v>184</v>
      </c>
      <c r="K58" s="102">
        <v>27</v>
      </c>
      <c r="L58" s="103">
        <v>1</v>
      </c>
      <c r="M58" s="104">
        <v>54</v>
      </c>
      <c r="N58" s="102">
        <v>44</v>
      </c>
      <c r="O58" s="102">
        <v>0</v>
      </c>
      <c r="P58" s="102">
        <v>98</v>
      </c>
      <c r="Q58" s="104">
        <f>_xlfn.FLOOR.MATH(40+0.4*B58)</f>
        <v>84</v>
      </c>
      <c r="R58" s="102">
        <f>_xlfn.FLOOR.MATH(12+0.1*B58)</f>
        <v>23</v>
      </c>
      <c r="S58" s="102">
        <f>_xlfn.FLOOR.MATH(31+0.35*B58)</f>
        <v>69</v>
      </c>
      <c r="T58" s="105">
        <f>_xlfn.FLOOR.MATH(33+0.52*B58)</f>
        <v>90</v>
      </c>
      <c r="U58" s="102">
        <v>5</v>
      </c>
      <c r="V58" s="102">
        <v>33.6</v>
      </c>
      <c r="W58" s="106" t="s">
        <v>158</v>
      </c>
      <c r="X58" s="106" t="s">
        <v>225</v>
      </c>
      <c r="Y58" s="102" t="s">
        <v>127</v>
      </c>
      <c r="Z58" s="102" t="s">
        <v>128</v>
      </c>
      <c r="AA58" s="104">
        <v>0</v>
      </c>
      <c r="AB58" s="105">
        <v>0</v>
      </c>
      <c r="AC58" s="104">
        <v>3</v>
      </c>
      <c r="AD58" s="123" t="s">
        <v>223</v>
      </c>
      <c r="AE58" s="104">
        <v>25</v>
      </c>
      <c r="AF58" s="105">
        <v>30</v>
      </c>
      <c r="AG58" s="104">
        <v>0.8</v>
      </c>
      <c r="AH58" s="102">
        <v>1.5</v>
      </c>
      <c r="AI58" s="105">
        <v>0.4</v>
      </c>
      <c r="AJ58" s="104">
        <v>10</v>
      </c>
      <c r="AK58" s="102">
        <v>16</v>
      </c>
      <c r="AL58" s="102">
        <v>10</v>
      </c>
      <c r="AM58" s="105">
        <v>0</v>
      </c>
      <c r="AN58" s="104">
        <v>12</v>
      </c>
      <c r="AO58" s="102">
        <v>0</v>
      </c>
      <c r="AP58" s="102">
        <v>10</v>
      </c>
      <c r="AQ58" s="105">
        <v>68</v>
      </c>
      <c r="AU58" s="125" t="str">
        <f>HYPERLINK("http://www.jianrmod.cn/data/shipGetInfo.html?type=0&amp;cid=10005712","详细")</f>
        <v>详细</v>
      </c>
    </row>
    <row r="59" spans="1:47">
      <c r="A59" s="100">
        <v>10005812</v>
      </c>
      <c r="B59" s="101">
        <v>110</v>
      </c>
      <c r="C59" s="102">
        <v>3</v>
      </c>
      <c r="D59" s="103" t="s">
        <v>226</v>
      </c>
      <c r="F59" s="103" t="s">
        <v>49</v>
      </c>
      <c r="G59" s="103">
        <v>1</v>
      </c>
      <c r="H59" s="103">
        <v>2</v>
      </c>
      <c r="I59" s="104" t="s">
        <v>86</v>
      </c>
      <c r="J59" s="102" t="s">
        <v>184</v>
      </c>
      <c r="K59" s="102">
        <v>33</v>
      </c>
      <c r="L59" s="103">
        <v>-1</v>
      </c>
      <c r="M59" s="104">
        <v>62</v>
      </c>
      <c r="N59" s="102">
        <v>52</v>
      </c>
      <c r="O59" s="102">
        <v>0</v>
      </c>
      <c r="P59" s="102">
        <v>82</v>
      </c>
      <c r="Q59" s="104">
        <f>_xlfn.FLOOR.MATH(25+0.4*B59)</f>
        <v>69</v>
      </c>
      <c r="R59" s="102">
        <f>_xlfn.FLOOR.MATH(12+0.1*B59)</f>
        <v>23</v>
      </c>
      <c r="S59" s="102">
        <f>_xlfn.FLOOR.MATH(31+0.35*B59)</f>
        <v>69</v>
      </c>
      <c r="T59" s="105">
        <f>_xlfn.FLOOR.MATH(33+0.52*B59)</f>
        <v>90</v>
      </c>
      <c r="U59" s="102">
        <v>15</v>
      </c>
      <c r="V59" s="102">
        <v>31.5</v>
      </c>
      <c r="W59" s="106" t="s">
        <v>158</v>
      </c>
      <c r="X59" s="106" t="s">
        <v>227</v>
      </c>
      <c r="Y59" s="102" t="s">
        <v>127</v>
      </c>
      <c r="Z59" s="102" t="s">
        <v>128</v>
      </c>
      <c r="AA59" s="104" t="s">
        <v>228</v>
      </c>
      <c r="AB59" s="105">
        <v>12</v>
      </c>
      <c r="AC59" s="104">
        <v>3</v>
      </c>
      <c r="AD59" s="123" t="s">
        <v>229</v>
      </c>
      <c r="AE59" s="104">
        <v>30</v>
      </c>
      <c r="AF59" s="105">
        <v>35</v>
      </c>
      <c r="AG59" s="104">
        <v>0.8</v>
      </c>
      <c r="AH59" s="102">
        <v>1.5</v>
      </c>
      <c r="AI59" s="105">
        <v>0.4</v>
      </c>
      <c r="AJ59" s="104">
        <v>10</v>
      </c>
      <c r="AK59" s="102">
        <v>16</v>
      </c>
      <c r="AL59" s="102">
        <v>10</v>
      </c>
      <c r="AM59" s="105">
        <v>0</v>
      </c>
      <c r="AN59" s="104">
        <v>16</v>
      </c>
      <c r="AO59" s="102">
        <v>0</v>
      </c>
      <c r="AP59" s="102">
        <v>14</v>
      </c>
      <c r="AQ59" s="105">
        <v>43</v>
      </c>
      <c r="AT59" s="110">
        <v>0.0555555555555556</v>
      </c>
      <c r="AU59" s="125" t="str">
        <f>HYPERLINK("http://www.jianrmod.cn/data/shipGetInfo.html?type=0&amp;cid=10005812","详细")</f>
        <v>详细</v>
      </c>
    </row>
    <row r="60" spans="1:47">
      <c r="A60" s="100">
        <v>10005912</v>
      </c>
      <c r="B60" s="101">
        <v>110</v>
      </c>
      <c r="C60" s="102">
        <v>4</v>
      </c>
      <c r="D60" s="103" t="s">
        <v>230</v>
      </c>
      <c r="F60" s="103" t="s">
        <v>49</v>
      </c>
      <c r="G60" s="103">
        <v>2</v>
      </c>
      <c r="H60" s="103">
        <v>2</v>
      </c>
      <c r="I60" s="104" t="s">
        <v>86</v>
      </c>
      <c r="J60" s="102" t="s">
        <v>184</v>
      </c>
      <c r="K60" s="102">
        <v>33</v>
      </c>
      <c r="L60" s="103">
        <v>-1</v>
      </c>
      <c r="M60" s="104">
        <v>62</v>
      </c>
      <c r="N60" s="102">
        <v>54</v>
      </c>
      <c r="O60" s="102">
        <v>0</v>
      </c>
      <c r="P60" s="102">
        <v>85</v>
      </c>
      <c r="Q60" s="104">
        <f>_xlfn.FLOOR.MATH(25+0.4*B60)</f>
        <v>69</v>
      </c>
      <c r="R60" s="102">
        <f>_xlfn.FLOOR.MATH(12+0.1*B60)</f>
        <v>23</v>
      </c>
      <c r="S60" s="102">
        <f>_xlfn.FLOOR.MATH(31+0.35*B60)</f>
        <v>69</v>
      </c>
      <c r="T60" s="105">
        <f>_xlfn.FLOOR.MATH(34+0.52*B60)</f>
        <v>91</v>
      </c>
      <c r="U60" s="102">
        <v>15</v>
      </c>
      <c r="V60" s="102">
        <v>31.5</v>
      </c>
      <c r="W60" s="106" t="s">
        <v>158</v>
      </c>
      <c r="X60" s="106" t="s">
        <v>227</v>
      </c>
      <c r="Y60" s="102" t="s">
        <v>127</v>
      </c>
      <c r="Z60" s="102" t="s">
        <v>128</v>
      </c>
      <c r="AA60" s="104" t="s">
        <v>228</v>
      </c>
      <c r="AB60" s="105">
        <v>12</v>
      </c>
      <c r="AC60" s="104">
        <v>3</v>
      </c>
      <c r="AD60" s="123" t="s">
        <v>231</v>
      </c>
      <c r="AE60" s="104">
        <v>30</v>
      </c>
      <c r="AF60" s="105">
        <v>35</v>
      </c>
      <c r="AG60" s="104">
        <v>0.8</v>
      </c>
      <c r="AH60" s="102">
        <v>1.5</v>
      </c>
      <c r="AI60" s="105">
        <v>0.4</v>
      </c>
      <c r="AJ60" s="104">
        <v>10</v>
      </c>
      <c r="AK60" s="102">
        <v>16</v>
      </c>
      <c r="AL60" s="102">
        <v>10</v>
      </c>
      <c r="AM60" s="105">
        <v>0</v>
      </c>
      <c r="AN60" s="104">
        <v>16</v>
      </c>
      <c r="AO60" s="102">
        <v>0</v>
      </c>
      <c r="AP60" s="102">
        <v>15</v>
      </c>
      <c r="AQ60" s="105">
        <v>48</v>
      </c>
      <c r="AT60" s="110">
        <v>0.0555555555555556</v>
      </c>
      <c r="AU60" s="125" t="str">
        <f>HYPERLINK("http://www.jianrmod.cn/data/shipGetInfo.html?type=0&amp;cid=10005912","详细")</f>
        <v>详细</v>
      </c>
    </row>
    <row r="61" spans="1:47">
      <c r="A61" s="100">
        <v>10006012</v>
      </c>
      <c r="B61" s="101">
        <v>110</v>
      </c>
      <c r="C61" s="102">
        <v>4</v>
      </c>
      <c r="D61" s="103" t="s">
        <v>232</v>
      </c>
      <c r="F61" s="103" t="s">
        <v>49</v>
      </c>
      <c r="G61" s="103">
        <v>1</v>
      </c>
      <c r="H61" s="103">
        <v>2</v>
      </c>
      <c r="I61" s="104" t="s">
        <v>233</v>
      </c>
      <c r="J61" s="102" t="s">
        <v>184</v>
      </c>
      <c r="K61" s="102">
        <v>20</v>
      </c>
      <c r="L61" s="103">
        <v>0</v>
      </c>
      <c r="M61" s="104">
        <v>41</v>
      </c>
      <c r="N61" s="102">
        <v>33</v>
      </c>
      <c r="O61" s="102">
        <v>56</v>
      </c>
      <c r="P61" s="102">
        <v>46</v>
      </c>
      <c r="Q61" s="104">
        <f>_xlfn.FLOOR.MATH(20+0.4*B61)</f>
        <v>64</v>
      </c>
      <c r="R61" s="102">
        <f>_xlfn.FLOOR.MATH(8+0.1*B61)</f>
        <v>19</v>
      </c>
      <c r="S61" s="102">
        <f>_xlfn.FLOOR.MATH(24+0.35*B61)</f>
        <v>62</v>
      </c>
      <c r="T61" s="105">
        <f>_xlfn.FLOOR.MATH(34+0.52*B61)</f>
        <v>91</v>
      </c>
      <c r="U61" s="102">
        <v>20</v>
      </c>
      <c r="V61" s="102">
        <v>23.2</v>
      </c>
      <c r="W61" s="106" t="s">
        <v>158</v>
      </c>
      <c r="X61" s="106" t="s">
        <v>234</v>
      </c>
      <c r="Y61" s="102" t="s">
        <v>127</v>
      </c>
      <c r="Z61" s="102" t="s">
        <v>128</v>
      </c>
      <c r="AA61" s="104" t="s">
        <v>198</v>
      </c>
      <c r="AB61" s="105">
        <v>3</v>
      </c>
      <c r="AC61" s="104">
        <v>3</v>
      </c>
      <c r="AD61" s="123" t="s">
        <v>235</v>
      </c>
      <c r="AE61" s="104">
        <v>15</v>
      </c>
      <c r="AF61" s="105">
        <v>20</v>
      </c>
      <c r="AG61" s="104">
        <v>0.64</v>
      </c>
      <c r="AH61" s="102">
        <v>1.2</v>
      </c>
      <c r="AI61" s="105">
        <v>0.5</v>
      </c>
      <c r="AJ61" s="104">
        <v>10</v>
      </c>
      <c r="AK61" s="102">
        <v>16</v>
      </c>
      <c r="AL61" s="102">
        <v>10</v>
      </c>
      <c r="AM61" s="105">
        <v>0</v>
      </c>
      <c r="AN61" s="104">
        <v>8</v>
      </c>
      <c r="AO61" s="102">
        <v>16</v>
      </c>
      <c r="AP61" s="102">
        <v>7</v>
      </c>
      <c r="AQ61" s="105">
        <v>8</v>
      </c>
      <c r="AT61" s="110">
        <v>0.0208333333333333</v>
      </c>
      <c r="AU61" s="125" t="str">
        <f>HYPERLINK("http://www.jianrmod.cn/data/shipGetInfo.html?type=0&amp;cid=10006012","详细")</f>
        <v>详细</v>
      </c>
    </row>
    <row r="62" spans="1:47">
      <c r="A62" s="100">
        <v>10006112</v>
      </c>
      <c r="B62" s="101">
        <v>110</v>
      </c>
      <c r="C62" s="102">
        <v>4</v>
      </c>
      <c r="D62" s="103" t="s">
        <v>236</v>
      </c>
      <c r="F62" s="103" t="s">
        <v>49</v>
      </c>
      <c r="G62" s="103">
        <v>1</v>
      </c>
      <c r="H62" s="103">
        <v>2</v>
      </c>
      <c r="I62" s="104" t="s">
        <v>233</v>
      </c>
      <c r="J62" s="102" t="s">
        <v>184</v>
      </c>
      <c r="K62" s="102">
        <v>20</v>
      </c>
      <c r="L62" s="103">
        <v>0</v>
      </c>
      <c r="M62" s="104">
        <v>41</v>
      </c>
      <c r="N62" s="102">
        <v>33</v>
      </c>
      <c r="O62" s="102">
        <v>56</v>
      </c>
      <c r="P62" s="102">
        <v>42</v>
      </c>
      <c r="Q62" s="104">
        <f>_xlfn.FLOOR.MATH(20+0.4*B62)</f>
        <v>64</v>
      </c>
      <c r="R62" s="102">
        <f>_xlfn.FLOOR.MATH(8+0.1*B62)</f>
        <v>19</v>
      </c>
      <c r="S62" s="102">
        <f>_xlfn.FLOOR.MATH(22+0.35*B62)</f>
        <v>60</v>
      </c>
      <c r="T62" s="105">
        <f>_xlfn.FLOOR.MATH(34+0.52*B62)</f>
        <v>91</v>
      </c>
      <c r="U62" s="102">
        <v>20</v>
      </c>
      <c r="V62" s="102">
        <v>21.3</v>
      </c>
      <c r="W62" s="106" t="s">
        <v>158</v>
      </c>
      <c r="X62" s="106" t="s">
        <v>237</v>
      </c>
      <c r="Y62" s="102" t="s">
        <v>127</v>
      </c>
      <c r="Z62" s="102" t="s">
        <v>128</v>
      </c>
      <c r="AA62" s="104">
        <v>0</v>
      </c>
      <c r="AB62" s="105">
        <v>0</v>
      </c>
      <c r="AC62" s="104">
        <v>3</v>
      </c>
      <c r="AD62" s="123" t="s">
        <v>235</v>
      </c>
      <c r="AE62" s="104">
        <v>15</v>
      </c>
      <c r="AF62" s="105">
        <v>20</v>
      </c>
      <c r="AG62" s="104">
        <v>0.64</v>
      </c>
      <c r="AH62" s="102">
        <v>1.2</v>
      </c>
      <c r="AI62" s="105">
        <v>0.5</v>
      </c>
      <c r="AJ62" s="104">
        <v>10</v>
      </c>
      <c r="AK62" s="102">
        <v>16</v>
      </c>
      <c r="AL62" s="102">
        <v>10</v>
      </c>
      <c r="AM62" s="105">
        <v>0</v>
      </c>
      <c r="AN62" s="104">
        <v>8</v>
      </c>
      <c r="AO62" s="102">
        <v>16</v>
      </c>
      <c r="AP62" s="102">
        <v>7</v>
      </c>
      <c r="AQ62" s="105">
        <v>6</v>
      </c>
      <c r="AT62" s="110">
        <v>0.0208333333333333</v>
      </c>
      <c r="AU62" s="125" t="str">
        <f>HYPERLINK("http://www.jianrmod.cn/data/shipGetInfo.html?type=0&amp;cid=10006112","详细")</f>
        <v>详细</v>
      </c>
    </row>
    <row r="63" spans="1:47">
      <c r="A63" s="100">
        <v>10006211</v>
      </c>
      <c r="B63" s="101">
        <v>110</v>
      </c>
      <c r="C63" s="102">
        <v>3</v>
      </c>
      <c r="D63" s="103" t="s">
        <v>238</v>
      </c>
      <c r="F63" s="103" t="s">
        <v>49</v>
      </c>
      <c r="G63" s="103">
        <v>1</v>
      </c>
      <c r="H63" s="103">
        <v>2</v>
      </c>
      <c r="I63" s="104" t="s">
        <v>50</v>
      </c>
      <c r="J63" s="102" t="s">
        <v>239</v>
      </c>
      <c r="K63" s="102">
        <v>28</v>
      </c>
      <c r="L63" s="103">
        <v>0</v>
      </c>
      <c r="M63" s="104">
        <v>56</v>
      </c>
      <c r="N63" s="102">
        <v>52</v>
      </c>
      <c r="O63" s="102">
        <v>0</v>
      </c>
      <c r="P63" s="102">
        <v>54</v>
      </c>
      <c r="Q63" s="104">
        <f>_xlfn.FLOOR.MATH(0+0*B63)</f>
        <v>0</v>
      </c>
      <c r="R63" s="102">
        <f>_xlfn.FLOOR.MATH(10+0.1*B63)</f>
        <v>21</v>
      </c>
      <c r="S63" s="102">
        <f>_xlfn.FLOOR.MATH(10+0.3*B63)</f>
        <v>43</v>
      </c>
      <c r="T63" s="105">
        <f>_xlfn.FLOOR.MATH(32+0.5*B63)</f>
        <v>87</v>
      </c>
      <c r="U63" s="102">
        <v>20</v>
      </c>
      <c r="V63" s="102">
        <v>12.2</v>
      </c>
      <c r="W63" s="106" t="s">
        <v>52</v>
      </c>
      <c r="X63" s="106" t="s">
        <v>240</v>
      </c>
      <c r="Y63" s="102" t="s">
        <v>241</v>
      </c>
      <c r="Z63" s="102" t="s">
        <v>128</v>
      </c>
      <c r="AA63" s="104">
        <v>0</v>
      </c>
      <c r="AB63" s="105">
        <v>0</v>
      </c>
      <c r="AC63" s="104">
        <v>2</v>
      </c>
      <c r="AD63" s="123" t="s">
        <v>242</v>
      </c>
      <c r="AE63" s="104">
        <v>15</v>
      </c>
      <c r="AF63" s="105">
        <v>30</v>
      </c>
      <c r="AG63" s="104">
        <v>0.64</v>
      </c>
      <c r="AH63" s="102">
        <v>1.2</v>
      </c>
      <c r="AI63" s="105">
        <v>0.5</v>
      </c>
      <c r="AJ63" s="104">
        <v>20</v>
      </c>
      <c r="AK63" s="102">
        <v>20</v>
      </c>
      <c r="AL63" s="102">
        <v>30</v>
      </c>
      <c r="AM63" s="105">
        <v>0</v>
      </c>
      <c r="AN63" s="104">
        <v>30</v>
      </c>
      <c r="AO63" s="102">
        <v>0</v>
      </c>
      <c r="AP63" s="102">
        <v>32</v>
      </c>
      <c r="AQ63" s="105">
        <v>0</v>
      </c>
      <c r="AU63" s="125" t="str">
        <f>HYPERLINK("http://www.jianrmod.cn/data/shipGetInfo.html?type=0&amp;cid=10006211","详细")</f>
        <v>详细</v>
      </c>
    </row>
    <row r="64" spans="1:47">
      <c r="A64" s="100">
        <v>10006311</v>
      </c>
      <c r="B64" s="101">
        <v>110</v>
      </c>
      <c r="C64" s="102">
        <v>3</v>
      </c>
      <c r="D64" s="103" t="s">
        <v>243</v>
      </c>
      <c r="F64" s="103" t="s">
        <v>49</v>
      </c>
      <c r="G64" s="103">
        <v>1</v>
      </c>
      <c r="H64" s="103">
        <v>2</v>
      </c>
      <c r="I64" s="104" t="s">
        <v>50</v>
      </c>
      <c r="J64" s="102" t="s">
        <v>239</v>
      </c>
      <c r="K64" s="102">
        <v>28</v>
      </c>
      <c r="L64" s="103">
        <v>0</v>
      </c>
      <c r="M64" s="104">
        <v>56</v>
      </c>
      <c r="N64" s="102">
        <v>52</v>
      </c>
      <c r="O64" s="102">
        <v>0</v>
      </c>
      <c r="P64" s="102">
        <v>54</v>
      </c>
      <c r="Q64" s="104">
        <f>_xlfn.FLOOR.MATH(0+0*B64)</f>
        <v>0</v>
      </c>
      <c r="R64" s="102">
        <f>_xlfn.FLOOR.MATH(10+0.1*B64)</f>
        <v>21</v>
      </c>
      <c r="S64" s="102">
        <f>_xlfn.FLOOR.MATH(10+0.3*B64)</f>
        <v>43</v>
      </c>
      <c r="T64" s="105">
        <f>_xlfn.FLOOR.MATH(32+0.5*B64)</f>
        <v>87</v>
      </c>
      <c r="U64" s="102">
        <v>18</v>
      </c>
      <c r="V64" s="102">
        <v>12.2</v>
      </c>
      <c r="W64" s="106" t="s">
        <v>52</v>
      </c>
      <c r="X64" s="106" t="s">
        <v>240</v>
      </c>
      <c r="Y64" s="102" t="s">
        <v>241</v>
      </c>
      <c r="Z64" s="102" t="s">
        <v>128</v>
      </c>
      <c r="AA64" s="104">
        <v>0</v>
      </c>
      <c r="AB64" s="105">
        <v>0</v>
      </c>
      <c r="AC64" s="104">
        <v>2</v>
      </c>
      <c r="AD64" s="123" t="s">
        <v>242</v>
      </c>
      <c r="AE64" s="104">
        <v>15</v>
      </c>
      <c r="AF64" s="105">
        <v>30</v>
      </c>
      <c r="AG64" s="104">
        <v>0.64</v>
      </c>
      <c r="AH64" s="102">
        <v>1.2</v>
      </c>
      <c r="AI64" s="105">
        <v>0.5</v>
      </c>
      <c r="AJ64" s="104">
        <v>20</v>
      </c>
      <c r="AK64" s="102">
        <v>20</v>
      </c>
      <c r="AL64" s="102">
        <v>30</v>
      </c>
      <c r="AM64" s="105">
        <v>0</v>
      </c>
      <c r="AN64" s="104">
        <v>30</v>
      </c>
      <c r="AO64" s="102">
        <v>0</v>
      </c>
      <c r="AP64" s="102">
        <v>32</v>
      </c>
      <c r="AQ64" s="105">
        <v>0</v>
      </c>
      <c r="AU64" s="125" t="str">
        <f>HYPERLINK("http://www.jianrmod.cn/data/shipGetInfo.html?type=0&amp;cid=10006311","详细")</f>
        <v>详细</v>
      </c>
    </row>
    <row r="65" spans="1:47">
      <c r="A65" s="100">
        <v>10006411</v>
      </c>
      <c r="B65" s="101">
        <v>110</v>
      </c>
      <c r="C65" s="102">
        <v>2</v>
      </c>
      <c r="D65" s="103" t="s">
        <v>244</v>
      </c>
      <c r="E65" s="103" t="s">
        <v>245</v>
      </c>
      <c r="F65" s="103" t="s">
        <v>49</v>
      </c>
      <c r="G65" s="103">
        <v>1</v>
      </c>
      <c r="H65" s="103">
        <v>2</v>
      </c>
      <c r="I65" s="104" t="s">
        <v>60</v>
      </c>
      <c r="J65" s="102" t="s">
        <v>246</v>
      </c>
      <c r="K65" s="102">
        <v>15</v>
      </c>
      <c r="L65" s="103">
        <v>1</v>
      </c>
      <c r="M65" s="104">
        <v>31</v>
      </c>
      <c r="N65" s="102">
        <v>22</v>
      </c>
      <c r="O65" s="102">
        <v>75</v>
      </c>
      <c r="P65" s="102">
        <v>37</v>
      </c>
      <c r="Q65" s="104">
        <f>_xlfn.FLOOR.MATH(16+0.3*B65)</f>
        <v>49</v>
      </c>
      <c r="R65" s="102">
        <f>_xlfn.FLOOR.MATH(6+0.1*B65)</f>
        <v>17</v>
      </c>
      <c r="S65" s="102">
        <f>_xlfn.FLOOR.MATH(43+0.4*B65)</f>
        <v>87</v>
      </c>
      <c r="T65" s="105">
        <f>_xlfn.FLOOR.MATH(30+0.52*B65)</f>
        <v>87</v>
      </c>
      <c r="U65" s="102">
        <v>12</v>
      </c>
      <c r="V65" s="102">
        <v>37</v>
      </c>
      <c r="W65" s="106" t="s">
        <v>115</v>
      </c>
      <c r="X65" s="106" t="s">
        <v>247</v>
      </c>
      <c r="Y65" s="102" t="s">
        <v>241</v>
      </c>
      <c r="Z65" s="102" t="s">
        <v>128</v>
      </c>
      <c r="AA65" s="104">
        <v>0</v>
      </c>
      <c r="AB65" s="105">
        <v>0</v>
      </c>
      <c r="AC65" s="104">
        <v>2</v>
      </c>
      <c r="AD65" s="123" t="s">
        <v>248</v>
      </c>
      <c r="AE65" s="104">
        <v>15</v>
      </c>
      <c r="AF65" s="105">
        <v>20</v>
      </c>
      <c r="AG65" s="104">
        <v>0.48</v>
      </c>
      <c r="AH65" s="102">
        <v>0.9</v>
      </c>
      <c r="AI65" s="105">
        <v>0.5</v>
      </c>
      <c r="AJ65" s="104">
        <v>2</v>
      </c>
      <c r="AK65" s="102">
        <v>4</v>
      </c>
      <c r="AL65" s="102">
        <v>3</v>
      </c>
      <c r="AM65" s="105">
        <v>0</v>
      </c>
      <c r="AN65" s="104">
        <v>0</v>
      </c>
      <c r="AO65" s="102">
        <v>28</v>
      </c>
      <c r="AP65" s="102">
        <v>7</v>
      </c>
      <c r="AQ65" s="105">
        <v>0</v>
      </c>
      <c r="AU65" s="125" t="str">
        <f>HYPERLINK("http://www.jianrmod.cn/data/shipGetInfo.html?type=0&amp;cid=10006411","详细")</f>
        <v>详细</v>
      </c>
    </row>
    <row r="66" spans="1:47">
      <c r="A66" s="100">
        <v>10006511</v>
      </c>
      <c r="B66" s="101">
        <v>110</v>
      </c>
      <c r="C66" s="102">
        <v>2</v>
      </c>
      <c r="D66" s="103" t="s">
        <v>249</v>
      </c>
      <c r="E66" s="103" t="s">
        <v>250</v>
      </c>
      <c r="F66" s="103" t="s">
        <v>49</v>
      </c>
      <c r="G66" s="103">
        <v>1</v>
      </c>
      <c r="H66" s="103">
        <v>2</v>
      </c>
      <c r="I66" s="104" t="s">
        <v>60</v>
      </c>
      <c r="J66" s="102" t="s">
        <v>246</v>
      </c>
      <c r="K66" s="102">
        <v>15</v>
      </c>
      <c r="L66" s="103">
        <v>1</v>
      </c>
      <c r="M66" s="104">
        <v>31</v>
      </c>
      <c r="N66" s="102">
        <v>22</v>
      </c>
      <c r="O66" s="102">
        <v>75</v>
      </c>
      <c r="P66" s="102">
        <v>37</v>
      </c>
      <c r="Q66" s="104">
        <f>_xlfn.FLOOR.MATH(16+0.3*B66)</f>
        <v>49</v>
      </c>
      <c r="R66" s="102">
        <f>_xlfn.FLOOR.MATH(6+0.1*B66)</f>
        <v>17</v>
      </c>
      <c r="S66" s="102">
        <f>_xlfn.FLOOR.MATH(43+0.4*B66)</f>
        <v>87</v>
      </c>
      <c r="T66" s="105">
        <f>_xlfn.FLOOR.MATH(30+0.52*B66)</f>
        <v>87</v>
      </c>
      <c r="U66" s="102">
        <v>9</v>
      </c>
      <c r="V66" s="102">
        <v>37</v>
      </c>
      <c r="W66" s="106" t="s">
        <v>115</v>
      </c>
      <c r="X66" s="106" t="s">
        <v>251</v>
      </c>
      <c r="Y66" s="102" t="s">
        <v>241</v>
      </c>
      <c r="Z66" s="102" t="s">
        <v>128</v>
      </c>
      <c r="AA66" s="104">
        <v>0</v>
      </c>
      <c r="AB66" s="105">
        <v>0</v>
      </c>
      <c r="AC66" s="104">
        <v>2</v>
      </c>
      <c r="AD66" s="123" t="s">
        <v>252</v>
      </c>
      <c r="AE66" s="104">
        <v>15</v>
      </c>
      <c r="AF66" s="105">
        <v>20</v>
      </c>
      <c r="AG66" s="104">
        <v>0.48</v>
      </c>
      <c r="AH66" s="102">
        <v>0.9</v>
      </c>
      <c r="AI66" s="105">
        <v>0.5</v>
      </c>
      <c r="AJ66" s="104">
        <v>2</v>
      </c>
      <c r="AK66" s="102">
        <v>4</v>
      </c>
      <c r="AL66" s="102">
        <v>3</v>
      </c>
      <c r="AM66" s="105">
        <v>0</v>
      </c>
      <c r="AN66" s="104">
        <v>0</v>
      </c>
      <c r="AO66" s="102">
        <v>28</v>
      </c>
      <c r="AP66" s="102">
        <v>7</v>
      </c>
      <c r="AQ66" s="105">
        <v>0</v>
      </c>
      <c r="AU66" s="125" t="str">
        <f>HYPERLINK("http://www.jianrmod.cn/data/shipGetInfo.html?type=0&amp;cid=10006511","详细")</f>
        <v>详细</v>
      </c>
    </row>
    <row r="67" spans="1:47">
      <c r="A67" s="100">
        <v>10006611</v>
      </c>
      <c r="B67" s="101">
        <v>110</v>
      </c>
      <c r="C67" s="102">
        <v>2</v>
      </c>
      <c r="D67" s="103" t="s">
        <v>253</v>
      </c>
      <c r="E67" s="103" t="s">
        <v>254</v>
      </c>
      <c r="F67" s="103" t="s">
        <v>49</v>
      </c>
      <c r="G67" s="103">
        <v>1</v>
      </c>
      <c r="H67" s="103">
        <v>2</v>
      </c>
      <c r="I67" s="104" t="s">
        <v>60</v>
      </c>
      <c r="J67" s="102" t="s">
        <v>246</v>
      </c>
      <c r="K67" s="102">
        <v>15</v>
      </c>
      <c r="L67" s="103">
        <v>1</v>
      </c>
      <c r="M67" s="104">
        <v>31</v>
      </c>
      <c r="N67" s="102">
        <v>22</v>
      </c>
      <c r="O67" s="102">
        <v>75</v>
      </c>
      <c r="P67" s="102">
        <v>37</v>
      </c>
      <c r="Q67" s="104">
        <f>_xlfn.FLOOR.MATH(16+0.3*B67)</f>
        <v>49</v>
      </c>
      <c r="R67" s="102">
        <f>_xlfn.FLOOR.MATH(6+0.1*B67)</f>
        <v>17</v>
      </c>
      <c r="S67" s="102">
        <f>_xlfn.FLOOR.MATH(43+0.4*B67)</f>
        <v>87</v>
      </c>
      <c r="T67" s="105">
        <f>_xlfn.FLOOR.MATH(30+0.52*B67)</f>
        <v>87</v>
      </c>
      <c r="U67" s="102">
        <v>9</v>
      </c>
      <c r="V67" s="102">
        <v>37</v>
      </c>
      <c r="W67" s="106" t="s">
        <v>115</v>
      </c>
      <c r="X67" s="106" t="s">
        <v>255</v>
      </c>
      <c r="Y67" s="102" t="s">
        <v>241</v>
      </c>
      <c r="Z67" s="102" t="s">
        <v>128</v>
      </c>
      <c r="AA67" s="104">
        <v>0</v>
      </c>
      <c r="AB67" s="105">
        <v>0</v>
      </c>
      <c r="AC67" s="104">
        <v>2</v>
      </c>
      <c r="AD67" s="123" t="s">
        <v>252</v>
      </c>
      <c r="AE67" s="104">
        <v>15</v>
      </c>
      <c r="AF67" s="105">
        <v>20</v>
      </c>
      <c r="AG67" s="104">
        <v>0.48</v>
      </c>
      <c r="AH67" s="102">
        <v>0.9</v>
      </c>
      <c r="AI67" s="105">
        <v>0.5</v>
      </c>
      <c r="AJ67" s="104">
        <v>2</v>
      </c>
      <c r="AK67" s="102">
        <v>4</v>
      </c>
      <c r="AL67" s="102">
        <v>3</v>
      </c>
      <c r="AM67" s="105">
        <v>0</v>
      </c>
      <c r="AN67" s="104">
        <v>0</v>
      </c>
      <c r="AO67" s="102">
        <v>28</v>
      </c>
      <c r="AP67" s="102">
        <v>7</v>
      </c>
      <c r="AQ67" s="105">
        <v>0</v>
      </c>
      <c r="AU67" s="125" t="str">
        <f>HYPERLINK("http://www.jianrmod.cn/data/shipGetInfo.html?type=0&amp;cid=10006611","详细")</f>
        <v>详细</v>
      </c>
    </row>
    <row r="68" spans="1:47">
      <c r="A68" s="100">
        <v>10006711</v>
      </c>
      <c r="B68" s="101">
        <v>110</v>
      </c>
      <c r="C68" s="102">
        <v>2</v>
      </c>
      <c r="D68" s="103" t="s">
        <v>256</v>
      </c>
      <c r="E68" s="103" t="s">
        <v>257</v>
      </c>
      <c r="F68" s="103" t="s">
        <v>49</v>
      </c>
      <c r="G68" s="103">
        <v>1</v>
      </c>
      <c r="H68" s="103">
        <v>2</v>
      </c>
      <c r="I68" s="104" t="s">
        <v>60</v>
      </c>
      <c r="J68" s="102" t="s">
        <v>246</v>
      </c>
      <c r="K68" s="102">
        <v>15</v>
      </c>
      <c r="L68" s="103">
        <v>1</v>
      </c>
      <c r="M68" s="104">
        <v>31</v>
      </c>
      <c r="N68" s="102">
        <v>22</v>
      </c>
      <c r="O68" s="102">
        <v>75</v>
      </c>
      <c r="P68" s="102">
        <v>37</v>
      </c>
      <c r="Q68" s="104">
        <f>_xlfn.FLOOR.MATH(16+0.3*B68)</f>
        <v>49</v>
      </c>
      <c r="R68" s="102">
        <f>_xlfn.FLOOR.MATH(6+0.1*B68)</f>
        <v>17</v>
      </c>
      <c r="S68" s="102">
        <f>_xlfn.FLOOR.MATH(43+0.4*B68)</f>
        <v>87</v>
      </c>
      <c r="T68" s="105">
        <f>_xlfn.FLOOR.MATH(30+0.52*B68)</f>
        <v>87</v>
      </c>
      <c r="U68" s="102">
        <v>5</v>
      </c>
      <c r="V68" s="102">
        <v>37</v>
      </c>
      <c r="W68" s="106" t="s">
        <v>115</v>
      </c>
      <c r="X68" s="106" t="s">
        <v>258</v>
      </c>
      <c r="Y68" s="102" t="s">
        <v>241</v>
      </c>
      <c r="Z68" s="102" t="s">
        <v>128</v>
      </c>
      <c r="AA68" s="104">
        <v>0</v>
      </c>
      <c r="AB68" s="105">
        <v>0</v>
      </c>
      <c r="AC68" s="104">
        <v>2</v>
      </c>
      <c r="AD68" s="123" t="s">
        <v>252</v>
      </c>
      <c r="AE68" s="104">
        <v>15</v>
      </c>
      <c r="AF68" s="105">
        <v>20</v>
      </c>
      <c r="AG68" s="104">
        <v>0.48</v>
      </c>
      <c r="AH68" s="102">
        <v>0.9</v>
      </c>
      <c r="AI68" s="105">
        <v>0.5</v>
      </c>
      <c r="AJ68" s="104">
        <v>2</v>
      </c>
      <c r="AK68" s="102">
        <v>4</v>
      </c>
      <c r="AL68" s="102">
        <v>3</v>
      </c>
      <c r="AM68" s="105">
        <v>0</v>
      </c>
      <c r="AN68" s="104">
        <v>0</v>
      </c>
      <c r="AO68" s="102">
        <v>28</v>
      </c>
      <c r="AP68" s="102">
        <v>7</v>
      </c>
      <c r="AQ68" s="105">
        <v>0</v>
      </c>
      <c r="AU68" s="125" t="str">
        <f>HYPERLINK("http://www.jianrmod.cn/data/shipGetInfo.html?type=0&amp;cid=10006711","详细")</f>
        <v>详细</v>
      </c>
    </row>
    <row r="69" spans="1:47">
      <c r="A69" s="100">
        <v>10006811</v>
      </c>
      <c r="B69" s="101">
        <v>110</v>
      </c>
      <c r="C69" s="102">
        <v>3</v>
      </c>
      <c r="D69" s="103" t="s">
        <v>259</v>
      </c>
      <c r="E69" s="103" t="s">
        <v>260</v>
      </c>
      <c r="F69" s="103" t="s">
        <v>49</v>
      </c>
      <c r="G69" s="103">
        <v>1</v>
      </c>
      <c r="H69" s="103">
        <v>2</v>
      </c>
      <c r="I69" s="104" t="s">
        <v>60</v>
      </c>
      <c r="J69" s="102" t="s">
        <v>246</v>
      </c>
      <c r="K69" s="102">
        <v>15</v>
      </c>
      <c r="L69" s="103">
        <v>1</v>
      </c>
      <c r="M69" s="104">
        <v>31</v>
      </c>
      <c r="N69" s="102">
        <v>22</v>
      </c>
      <c r="O69" s="102">
        <v>75</v>
      </c>
      <c r="P69" s="102">
        <v>38</v>
      </c>
      <c r="Q69" s="104">
        <f>_xlfn.FLOOR.MATH(16+0.3*B69)</f>
        <v>49</v>
      </c>
      <c r="R69" s="102">
        <f>_xlfn.FLOOR.MATH(6+0.1*B69)</f>
        <v>17</v>
      </c>
      <c r="S69" s="102">
        <f>_xlfn.FLOOR.MATH(43+0.4*B69)</f>
        <v>87</v>
      </c>
      <c r="T69" s="105">
        <f>_xlfn.FLOOR.MATH(30+0.52*B69)</f>
        <v>87</v>
      </c>
      <c r="U69" s="102">
        <v>20</v>
      </c>
      <c r="V69" s="102">
        <v>38</v>
      </c>
      <c r="W69" s="106" t="s">
        <v>115</v>
      </c>
      <c r="X69" s="106" t="s">
        <v>261</v>
      </c>
      <c r="Y69" s="102" t="s">
        <v>241</v>
      </c>
      <c r="Z69" s="102" t="s">
        <v>128</v>
      </c>
      <c r="AA69" s="104">
        <v>0</v>
      </c>
      <c r="AB69" s="105">
        <v>0</v>
      </c>
      <c r="AC69" s="104">
        <v>2</v>
      </c>
      <c r="AD69" s="123" t="s">
        <v>248</v>
      </c>
      <c r="AE69" s="104">
        <v>15</v>
      </c>
      <c r="AF69" s="105">
        <v>20</v>
      </c>
      <c r="AG69" s="104">
        <v>0.48</v>
      </c>
      <c r="AH69" s="102">
        <v>0.9</v>
      </c>
      <c r="AI69" s="105">
        <v>0.5</v>
      </c>
      <c r="AJ69" s="104">
        <v>4</v>
      </c>
      <c r="AK69" s="102">
        <v>8</v>
      </c>
      <c r="AL69" s="102">
        <v>6</v>
      </c>
      <c r="AM69" s="105">
        <v>0</v>
      </c>
      <c r="AN69" s="104">
        <v>0</v>
      </c>
      <c r="AO69" s="102">
        <v>28</v>
      </c>
      <c r="AP69" s="102">
        <v>7</v>
      </c>
      <c r="AQ69" s="105">
        <v>0</v>
      </c>
      <c r="AT69" s="110">
        <v>0.0138888888888889</v>
      </c>
      <c r="AU69" s="125" t="str">
        <f>HYPERLINK("http://www.jianrmod.cn/data/shipGetInfo.html?type=0&amp;cid=10006811","详细")</f>
        <v>详细</v>
      </c>
    </row>
    <row r="70" spans="1:47">
      <c r="A70" s="100">
        <v>10006911</v>
      </c>
      <c r="B70" s="101">
        <v>110</v>
      </c>
      <c r="C70" s="102">
        <v>3</v>
      </c>
      <c r="D70" s="103" t="s">
        <v>262</v>
      </c>
      <c r="E70" s="103" t="s">
        <v>263</v>
      </c>
      <c r="F70" s="103" t="s">
        <v>49</v>
      </c>
      <c r="G70" s="103">
        <v>1</v>
      </c>
      <c r="H70" s="103">
        <v>2</v>
      </c>
      <c r="I70" s="104" t="s">
        <v>60</v>
      </c>
      <c r="J70" s="102" t="s">
        <v>246</v>
      </c>
      <c r="K70" s="102">
        <v>15</v>
      </c>
      <c r="L70" s="103">
        <v>1</v>
      </c>
      <c r="M70" s="104">
        <v>31</v>
      </c>
      <c r="N70" s="102">
        <v>22</v>
      </c>
      <c r="O70" s="102">
        <v>75</v>
      </c>
      <c r="P70" s="102">
        <v>38</v>
      </c>
      <c r="Q70" s="104">
        <f>_xlfn.FLOOR.MATH(16+0.3*B70)</f>
        <v>49</v>
      </c>
      <c r="R70" s="102">
        <f>_xlfn.FLOOR.MATH(6+0.1*B70)</f>
        <v>17</v>
      </c>
      <c r="S70" s="102">
        <f>_xlfn.FLOOR.MATH(43+0.4*B70)</f>
        <v>87</v>
      </c>
      <c r="T70" s="105">
        <f>_xlfn.FLOOR.MATH(30+0.52*B70)</f>
        <v>87</v>
      </c>
      <c r="U70" s="102">
        <v>13</v>
      </c>
      <c r="V70" s="102">
        <v>38</v>
      </c>
      <c r="W70" s="106" t="s">
        <v>115</v>
      </c>
      <c r="X70" s="106" t="s">
        <v>264</v>
      </c>
      <c r="Y70" s="102" t="s">
        <v>241</v>
      </c>
      <c r="Z70" s="102" t="s">
        <v>128</v>
      </c>
      <c r="AA70" s="104">
        <v>0</v>
      </c>
      <c r="AB70" s="105">
        <v>0</v>
      </c>
      <c r="AC70" s="104">
        <v>2</v>
      </c>
      <c r="AD70" s="123" t="s">
        <v>252</v>
      </c>
      <c r="AE70" s="104">
        <v>15</v>
      </c>
      <c r="AF70" s="105">
        <v>20</v>
      </c>
      <c r="AG70" s="104">
        <v>0.48</v>
      </c>
      <c r="AH70" s="102">
        <v>0.9</v>
      </c>
      <c r="AI70" s="105">
        <v>0.5</v>
      </c>
      <c r="AJ70" s="104">
        <v>4</v>
      </c>
      <c r="AK70" s="102">
        <v>8</v>
      </c>
      <c r="AL70" s="102">
        <v>6</v>
      </c>
      <c r="AM70" s="105">
        <v>0</v>
      </c>
      <c r="AN70" s="104">
        <v>0</v>
      </c>
      <c r="AO70" s="102">
        <v>28</v>
      </c>
      <c r="AP70" s="102">
        <v>7</v>
      </c>
      <c r="AQ70" s="105">
        <v>0</v>
      </c>
      <c r="AT70" s="110">
        <v>0.0138888888888889</v>
      </c>
      <c r="AU70" s="125" t="str">
        <f>HYPERLINK("http://www.jianrmod.cn/data/shipGetInfo.html?type=0&amp;cid=10006911","详细")</f>
        <v>详细</v>
      </c>
    </row>
    <row r="71" spans="1:47">
      <c r="A71" s="100">
        <v>10007011</v>
      </c>
      <c r="B71" s="101">
        <v>110</v>
      </c>
      <c r="C71" s="102">
        <v>3</v>
      </c>
      <c r="D71" s="103" t="s">
        <v>265</v>
      </c>
      <c r="E71" s="103" t="s">
        <v>266</v>
      </c>
      <c r="F71" s="103" t="s">
        <v>49</v>
      </c>
      <c r="G71" s="103">
        <v>1</v>
      </c>
      <c r="H71" s="103">
        <v>2</v>
      </c>
      <c r="I71" s="104" t="s">
        <v>60</v>
      </c>
      <c r="J71" s="102" t="s">
        <v>246</v>
      </c>
      <c r="K71" s="102">
        <v>15</v>
      </c>
      <c r="L71" s="103">
        <v>1</v>
      </c>
      <c r="M71" s="104">
        <v>31</v>
      </c>
      <c r="N71" s="102">
        <v>22</v>
      </c>
      <c r="O71" s="102">
        <v>75</v>
      </c>
      <c r="P71" s="102">
        <v>38</v>
      </c>
      <c r="Q71" s="104">
        <f>_xlfn.FLOOR.MATH(16+0.3*B71)</f>
        <v>49</v>
      </c>
      <c r="R71" s="102">
        <f>_xlfn.FLOOR.MATH(6+0.1*B71)</f>
        <v>17</v>
      </c>
      <c r="S71" s="102">
        <f>_xlfn.FLOOR.MATH(43+0.4*B71)</f>
        <v>87</v>
      </c>
      <c r="T71" s="105">
        <f>_xlfn.FLOOR.MATH(30+0.52*B71)</f>
        <v>87</v>
      </c>
      <c r="U71" s="102">
        <v>13</v>
      </c>
      <c r="V71" s="102">
        <v>38</v>
      </c>
      <c r="W71" s="106" t="s">
        <v>115</v>
      </c>
      <c r="X71" s="106" t="s">
        <v>267</v>
      </c>
      <c r="Y71" s="102" t="s">
        <v>241</v>
      </c>
      <c r="Z71" s="102" t="s">
        <v>128</v>
      </c>
      <c r="AA71" s="104">
        <v>0</v>
      </c>
      <c r="AB71" s="105">
        <v>0</v>
      </c>
      <c r="AC71" s="104">
        <v>2</v>
      </c>
      <c r="AD71" s="123" t="s">
        <v>252</v>
      </c>
      <c r="AE71" s="104">
        <v>15</v>
      </c>
      <c r="AF71" s="105">
        <v>20</v>
      </c>
      <c r="AG71" s="104">
        <v>0.48</v>
      </c>
      <c r="AH71" s="102">
        <v>0.9</v>
      </c>
      <c r="AI71" s="105">
        <v>0.5</v>
      </c>
      <c r="AJ71" s="104">
        <v>4</v>
      </c>
      <c r="AK71" s="102">
        <v>8</v>
      </c>
      <c r="AL71" s="102">
        <v>6</v>
      </c>
      <c r="AM71" s="105">
        <v>0</v>
      </c>
      <c r="AN71" s="104">
        <v>0</v>
      </c>
      <c r="AO71" s="102">
        <v>28</v>
      </c>
      <c r="AP71" s="102">
        <v>7</v>
      </c>
      <c r="AQ71" s="105">
        <v>0</v>
      </c>
      <c r="AT71" s="110">
        <v>0.0138888888888889</v>
      </c>
      <c r="AU71" s="125" t="str">
        <f>HYPERLINK("http://www.jianrmod.cn/data/shipGetInfo.html?type=0&amp;cid=10007011","详细")</f>
        <v>详细</v>
      </c>
    </row>
    <row r="72" spans="1:47">
      <c r="A72" s="100">
        <v>10007111</v>
      </c>
      <c r="B72" s="101">
        <v>110</v>
      </c>
      <c r="C72" s="102">
        <v>3</v>
      </c>
      <c r="D72" s="103" t="s">
        <v>268</v>
      </c>
      <c r="E72" s="103" t="s">
        <v>269</v>
      </c>
      <c r="F72" s="103" t="s">
        <v>49</v>
      </c>
      <c r="G72" s="103">
        <v>1</v>
      </c>
      <c r="H72" s="103">
        <v>2</v>
      </c>
      <c r="I72" s="104" t="s">
        <v>60</v>
      </c>
      <c r="J72" s="102" t="s">
        <v>246</v>
      </c>
      <c r="K72" s="102">
        <v>15</v>
      </c>
      <c r="L72" s="103">
        <v>1</v>
      </c>
      <c r="M72" s="104">
        <v>31</v>
      </c>
      <c r="N72" s="102">
        <v>22</v>
      </c>
      <c r="O72" s="102">
        <v>75</v>
      </c>
      <c r="P72" s="102">
        <v>38</v>
      </c>
      <c r="Q72" s="104">
        <f>_xlfn.FLOOR.MATH(16+0.3*B72)</f>
        <v>49</v>
      </c>
      <c r="R72" s="102">
        <f>_xlfn.FLOOR.MATH(6+0.1*B72)</f>
        <v>17</v>
      </c>
      <c r="S72" s="102">
        <f>_xlfn.FLOOR.MATH(43+0.4*B72)</f>
        <v>87</v>
      </c>
      <c r="T72" s="105">
        <f>_xlfn.FLOOR.MATH(30+0.52*B72)</f>
        <v>87</v>
      </c>
      <c r="U72" s="102">
        <v>15</v>
      </c>
      <c r="V72" s="102">
        <v>38</v>
      </c>
      <c r="W72" s="106" t="s">
        <v>115</v>
      </c>
      <c r="X72" s="106" t="s">
        <v>270</v>
      </c>
      <c r="Y72" s="102" t="s">
        <v>241</v>
      </c>
      <c r="Z72" s="102" t="s">
        <v>128</v>
      </c>
      <c r="AA72" s="104">
        <v>0</v>
      </c>
      <c r="AB72" s="105">
        <v>0</v>
      </c>
      <c r="AC72" s="104">
        <v>2</v>
      </c>
      <c r="AD72" s="123" t="s">
        <v>252</v>
      </c>
      <c r="AE72" s="104">
        <v>15</v>
      </c>
      <c r="AF72" s="105">
        <v>20</v>
      </c>
      <c r="AG72" s="104">
        <v>0.48</v>
      </c>
      <c r="AH72" s="102">
        <v>0.9</v>
      </c>
      <c r="AI72" s="105">
        <v>0.5</v>
      </c>
      <c r="AJ72" s="104">
        <v>4</v>
      </c>
      <c r="AK72" s="102">
        <v>8</v>
      </c>
      <c r="AL72" s="102">
        <v>6</v>
      </c>
      <c r="AM72" s="105">
        <v>0</v>
      </c>
      <c r="AN72" s="104">
        <v>0</v>
      </c>
      <c r="AO72" s="102">
        <v>28</v>
      </c>
      <c r="AP72" s="102">
        <v>7</v>
      </c>
      <c r="AQ72" s="105">
        <v>0</v>
      </c>
      <c r="AT72" s="110">
        <v>0.0138888888888889</v>
      </c>
      <c r="AU72" s="125" t="str">
        <f>HYPERLINK("http://www.jianrmod.cn/data/shipGetInfo.html?type=0&amp;cid=10007111","详细")</f>
        <v>详细</v>
      </c>
    </row>
    <row r="73" spans="1:47">
      <c r="A73" s="100">
        <v>10007211</v>
      </c>
      <c r="B73" s="101">
        <v>110</v>
      </c>
      <c r="C73" s="102">
        <v>2</v>
      </c>
      <c r="D73" s="103" t="s">
        <v>271</v>
      </c>
      <c r="E73" s="103" t="s">
        <v>272</v>
      </c>
      <c r="F73" s="103" t="s">
        <v>49</v>
      </c>
      <c r="G73" s="103">
        <v>1</v>
      </c>
      <c r="H73" s="103">
        <v>2</v>
      </c>
      <c r="I73" s="104" t="s">
        <v>60</v>
      </c>
      <c r="J73" s="102" t="s">
        <v>246</v>
      </c>
      <c r="K73" s="102">
        <v>15</v>
      </c>
      <c r="L73" s="103">
        <v>1</v>
      </c>
      <c r="M73" s="104">
        <v>31</v>
      </c>
      <c r="N73" s="102">
        <v>22</v>
      </c>
      <c r="O73" s="102">
        <v>75</v>
      </c>
      <c r="P73" s="102">
        <v>40</v>
      </c>
      <c r="Q73" s="104">
        <f>_xlfn.FLOOR.MATH(16+0.3*B73)</f>
        <v>49</v>
      </c>
      <c r="R73" s="102">
        <f>_xlfn.FLOOR.MATH(6+0.1*B73)</f>
        <v>17</v>
      </c>
      <c r="S73" s="102">
        <f>_xlfn.FLOOR.MATH(43+0.4*B73)</f>
        <v>87</v>
      </c>
      <c r="T73" s="105">
        <f>_xlfn.FLOOR.MATH(30+0.52*B73)</f>
        <v>87</v>
      </c>
      <c r="U73" s="102">
        <v>9</v>
      </c>
      <c r="V73" s="102">
        <v>38</v>
      </c>
      <c r="W73" s="106" t="s">
        <v>115</v>
      </c>
      <c r="X73" s="106" t="s">
        <v>273</v>
      </c>
      <c r="Y73" s="102" t="s">
        <v>241</v>
      </c>
      <c r="Z73" s="102" t="s">
        <v>128</v>
      </c>
      <c r="AA73" s="104">
        <v>0</v>
      </c>
      <c r="AB73" s="105">
        <v>0</v>
      </c>
      <c r="AC73" s="104">
        <v>2</v>
      </c>
      <c r="AD73" s="123" t="s">
        <v>248</v>
      </c>
      <c r="AE73" s="104">
        <v>15</v>
      </c>
      <c r="AF73" s="105">
        <v>20</v>
      </c>
      <c r="AG73" s="104">
        <v>0.48</v>
      </c>
      <c r="AH73" s="102">
        <v>0.9</v>
      </c>
      <c r="AI73" s="105">
        <v>0.5</v>
      </c>
      <c r="AJ73" s="104">
        <v>2</v>
      </c>
      <c r="AK73" s="102">
        <v>4</v>
      </c>
      <c r="AL73" s="102">
        <v>3</v>
      </c>
      <c r="AM73" s="105">
        <v>0</v>
      </c>
      <c r="AN73" s="104">
        <v>0</v>
      </c>
      <c r="AO73" s="102">
        <v>28</v>
      </c>
      <c r="AP73" s="102">
        <v>7</v>
      </c>
      <c r="AQ73" s="105">
        <v>0</v>
      </c>
      <c r="AU73" s="125" t="str">
        <f>HYPERLINK("http://www.jianrmod.cn/data/shipGetInfo.html?type=0&amp;cid=10007211","详细")</f>
        <v>详细</v>
      </c>
    </row>
    <row r="74" spans="1:47">
      <c r="A74" s="100">
        <v>10007311</v>
      </c>
      <c r="B74" s="101">
        <v>110</v>
      </c>
      <c r="C74" s="102">
        <v>1</v>
      </c>
      <c r="D74" s="103" t="s">
        <v>274</v>
      </c>
      <c r="E74" s="103" t="s">
        <v>275</v>
      </c>
      <c r="F74" s="103" t="s">
        <v>49</v>
      </c>
      <c r="G74" s="103">
        <v>1</v>
      </c>
      <c r="H74" s="103">
        <v>2</v>
      </c>
      <c r="I74" s="104" t="s">
        <v>60</v>
      </c>
      <c r="J74" s="102" t="s">
        <v>246</v>
      </c>
      <c r="K74" s="102">
        <v>15</v>
      </c>
      <c r="L74" s="103">
        <v>1</v>
      </c>
      <c r="M74" s="104">
        <v>31</v>
      </c>
      <c r="N74" s="102">
        <v>22</v>
      </c>
      <c r="O74" s="102">
        <v>75</v>
      </c>
      <c r="P74" s="102">
        <v>40</v>
      </c>
      <c r="Q74" s="104">
        <f>_xlfn.FLOOR.MATH(16+0.3*B74)</f>
        <v>49</v>
      </c>
      <c r="R74" s="102">
        <f>_xlfn.FLOOR.MATH(6+0.1*B74)</f>
        <v>17</v>
      </c>
      <c r="S74" s="102">
        <f>_xlfn.FLOOR.MATH(43+0.4*B74)</f>
        <v>87</v>
      </c>
      <c r="T74" s="105">
        <f>_xlfn.FLOOR.MATH(30+0.52*B74)</f>
        <v>87</v>
      </c>
      <c r="U74" s="102">
        <v>9</v>
      </c>
      <c r="V74" s="102">
        <v>38</v>
      </c>
      <c r="W74" s="106" t="s">
        <v>115</v>
      </c>
      <c r="X74" s="106" t="s">
        <v>276</v>
      </c>
      <c r="Y74" s="102" t="s">
        <v>241</v>
      </c>
      <c r="Z74" s="102" t="s">
        <v>128</v>
      </c>
      <c r="AA74" s="104">
        <v>0</v>
      </c>
      <c r="AB74" s="105">
        <v>0</v>
      </c>
      <c r="AC74" s="104">
        <v>2</v>
      </c>
      <c r="AD74" s="123" t="s">
        <v>252</v>
      </c>
      <c r="AE74" s="104">
        <v>15</v>
      </c>
      <c r="AF74" s="105">
        <v>20</v>
      </c>
      <c r="AG74" s="104">
        <v>0.48</v>
      </c>
      <c r="AH74" s="102">
        <v>0.9</v>
      </c>
      <c r="AI74" s="105">
        <v>0.5</v>
      </c>
      <c r="AJ74" s="104">
        <v>2</v>
      </c>
      <c r="AK74" s="102">
        <v>4</v>
      </c>
      <c r="AL74" s="102">
        <v>3</v>
      </c>
      <c r="AM74" s="105">
        <v>0</v>
      </c>
      <c r="AN74" s="104">
        <v>0</v>
      </c>
      <c r="AO74" s="102">
        <v>28</v>
      </c>
      <c r="AP74" s="102">
        <v>7</v>
      </c>
      <c r="AQ74" s="105">
        <v>0</v>
      </c>
      <c r="AU74" s="125" t="str">
        <f>HYPERLINK("http://www.jianrmod.cn/data/shipGetInfo.html?type=0&amp;cid=10007311","详细")</f>
        <v>详细</v>
      </c>
    </row>
    <row r="75" spans="1:47">
      <c r="A75" s="100">
        <v>10007411</v>
      </c>
      <c r="B75" s="101">
        <v>110</v>
      </c>
      <c r="C75" s="102">
        <v>2</v>
      </c>
      <c r="D75" s="103" t="s">
        <v>277</v>
      </c>
      <c r="F75" s="103" t="s">
        <v>49</v>
      </c>
      <c r="G75" s="103">
        <v>1</v>
      </c>
      <c r="H75" s="103">
        <v>2</v>
      </c>
      <c r="I75" s="104" t="s">
        <v>73</v>
      </c>
      <c r="J75" s="102" t="s">
        <v>246</v>
      </c>
      <c r="K75" s="102">
        <v>18</v>
      </c>
      <c r="L75" s="103">
        <v>2</v>
      </c>
      <c r="M75" s="104">
        <v>28</v>
      </c>
      <c r="N75" s="102">
        <v>23</v>
      </c>
      <c r="O75" s="102">
        <v>74</v>
      </c>
      <c r="P75" s="102">
        <v>41</v>
      </c>
      <c r="Q75" s="104">
        <f>_xlfn.FLOOR.MATH(22+0.3*B75)</f>
        <v>55</v>
      </c>
      <c r="R75" s="102">
        <f>_xlfn.FLOOR.MATH(6+0.1*B75)</f>
        <v>17</v>
      </c>
      <c r="S75" s="102">
        <f>_xlfn.FLOOR.MATH(38+0.4*B75)</f>
        <v>82</v>
      </c>
      <c r="T75" s="105">
        <f>_xlfn.FLOOR.MATH(30+0.52*B75)</f>
        <v>87</v>
      </c>
      <c r="U75" s="102">
        <v>15</v>
      </c>
      <c r="V75" s="102">
        <v>38.2</v>
      </c>
      <c r="W75" s="106" t="s">
        <v>115</v>
      </c>
      <c r="X75" s="106" t="s">
        <v>278</v>
      </c>
      <c r="Y75" s="102" t="s">
        <v>241</v>
      </c>
      <c r="Z75" s="102" t="s">
        <v>128</v>
      </c>
      <c r="AA75" s="104">
        <v>0</v>
      </c>
      <c r="AB75" s="105">
        <v>0</v>
      </c>
      <c r="AC75" s="104">
        <v>2</v>
      </c>
      <c r="AD75" s="123" t="s">
        <v>279</v>
      </c>
      <c r="AE75" s="104">
        <v>10</v>
      </c>
      <c r="AF75" s="105">
        <v>20</v>
      </c>
      <c r="AG75" s="104">
        <v>0.48</v>
      </c>
      <c r="AH75" s="102">
        <v>0.99</v>
      </c>
      <c r="AI75" s="105">
        <v>0.5</v>
      </c>
      <c r="AJ75" s="104">
        <v>2</v>
      </c>
      <c r="AK75" s="102">
        <v>4</v>
      </c>
      <c r="AL75" s="102">
        <v>3</v>
      </c>
      <c r="AM75" s="105">
        <v>0</v>
      </c>
      <c r="AN75" s="104">
        <v>0</v>
      </c>
      <c r="AO75" s="102">
        <v>24</v>
      </c>
      <c r="AP75" s="102">
        <v>10</v>
      </c>
      <c r="AQ75" s="105">
        <v>0</v>
      </c>
      <c r="AT75" s="110">
        <v>0.0152777777777778</v>
      </c>
      <c r="AU75" s="125"/>
    </row>
    <row r="76" spans="1:47">
      <c r="A76" s="100">
        <v>10007511</v>
      </c>
      <c r="B76" s="101">
        <v>110</v>
      </c>
      <c r="C76" s="102">
        <v>2</v>
      </c>
      <c r="D76" s="103" t="s">
        <v>280</v>
      </c>
      <c r="F76" s="103" t="s">
        <v>49</v>
      </c>
      <c r="G76" s="103">
        <v>1</v>
      </c>
      <c r="H76" s="103">
        <v>2</v>
      </c>
      <c r="I76" s="104" t="s">
        <v>73</v>
      </c>
      <c r="J76" s="102" t="s">
        <v>246</v>
      </c>
      <c r="K76" s="102">
        <v>18</v>
      </c>
      <c r="L76" s="103">
        <v>2</v>
      </c>
      <c r="M76" s="104">
        <v>28</v>
      </c>
      <c r="N76" s="102">
        <v>23</v>
      </c>
      <c r="O76" s="102">
        <v>74</v>
      </c>
      <c r="P76" s="102">
        <v>41</v>
      </c>
      <c r="Q76" s="104">
        <f>_xlfn.FLOOR.MATH(22+0.3*B76)</f>
        <v>55</v>
      </c>
      <c r="R76" s="102">
        <f>_xlfn.FLOOR.MATH(6+0.1*B76)</f>
        <v>17</v>
      </c>
      <c r="S76" s="102">
        <f>_xlfn.FLOOR.MATH(38+0.4*B76)</f>
        <v>82</v>
      </c>
      <c r="T76" s="105">
        <f>_xlfn.FLOOR.MATH(30+0.52*B76)</f>
        <v>87</v>
      </c>
      <c r="U76" s="102">
        <v>10</v>
      </c>
      <c r="V76" s="102">
        <v>38.2</v>
      </c>
      <c r="W76" s="106" t="s">
        <v>115</v>
      </c>
      <c r="X76" s="106" t="s">
        <v>281</v>
      </c>
      <c r="Y76" s="102" t="s">
        <v>241</v>
      </c>
      <c r="Z76" s="102" t="s">
        <v>128</v>
      </c>
      <c r="AA76" s="104">
        <v>0</v>
      </c>
      <c r="AB76" s="105">
        <v>0</v>
      </c>
      <c r="AC76" s="104">
        <v>2</v>
      </c>
      <c r="AD76" s="123" t="s">
        <v>282</v>
      </c>
      <c r="AE76" s="104">
        <v>10</v>
      </c>
      <c r="AF76" s="105">
        <v>20</v>
      </c>
      <c r="AG76" s="104">
        <v>0.48</v>
      </c>
      <c r="AH76" s="102">
        <v>0.99</v>
      </c>
      <c r="AI76" s="105">
        <v>0.5</v>
      </c>
      <c r="AJ76" s="104">
        <v>2</v>
      </c>
      <c r="AK76" s="102">
        <v>4</v>
      </c>
      <c r="AL76" s="102">
        <v>3</v>
      </c>
      <c r="AM76" s="105">
        <v>0</v>
      </c>
      <c r="AN76" s="104">
        <v>0</v>
      </c>
      <c r="AO76" s="102">
        <v>24</v>
      </c>
      <c r="AP76" s="102">
        <v>10</v>
      </c>
      <c r="AQ76" s="105">
        <v>0</v>
      </c>
      <c r="AU76" s="125" t="str">
        <f>HYPERLINK("http://www.jianrmod.cn/data/shipGetInfo.html?type=0&amp;cid=10007511","详细")</f>
        <v>详细</v>
      </c>
    </row>
    <row r="77" spans="1:47">
      <c r="A77" s="100">
        <v>10007611</v>
      </c>
      <c r="B77" s="101">
        <v>110</v>
      </c>
      <c r="C77" s="102">
        <v>1</v>
      </c>
      <c r="D77" s="103" t="s">
        <v>283</v>
      </c>
      <c r="F77" s="103" t="s">
        <v>49</v>
      </c>
      <c r="G77" s="103">
        <v>1</v>
      </c>
      <c r="H77" s="103">
        <v>2</v>
      </c>
      <c r="I77" s="104" t="s">
        <v>73</v>
      </c>
      <c r="J77" s="102" t="s">
        <v>246</v>
      </c>
      <c r="K77" s="102">
        <v>20</v>
      </c>
      <c r="L77" s="103">
        <v>0</v>
      </c>
      <c r="M77" s="104">
        <v>33</v>
      </c>
      <c r="N77" s="102">
        <v>25</v>
      </c>
      <c r="O77" s="102">
        <v>74</v>
      </c>
      <c r="P77" s="102">
        <v>42</v>
      </c>
      <c r="Q77" s="104">
        <f>_xlfn.FLOOR.MATH(22+0.3*B77)</f>
        <v>55</v>
      </c>
      <c r="R77" s="102">
        <f>_xlfn.FLOOR.MATH(6+0.1*B77)</f>
        <v>17</v>
      </c>
      <c r="S77" s="102">
        <f>_xlfn.FLOOR.MATH(38+0.4*B77)</f>
        <v>82</v>
      </c>
      <c r="T77" s="105">
        <f>_xlfn.FLOOR.MATH(30+0.52*B77)</f>
        <v>87</v>
      </c>
      <c r="U77" s="102">
        <v>10</v>
      </c>
      <c r="V77" s="102">
        <v>38.5</v>
      </c>
      <c r="W77" s="106" t="s">
        <v>115</v>
      </c>
      <c r="X77" s="106" t="s">
        <v>284</v>
      </c>
      <c r="Y77" s="102" t="s">
        <v>241</v>
      </c>
      <c r="Z77" s="102" t="s">
        <v>128</v>
      </c>
      <c r="AA77" s="104">
        <v>0</v>
      </c>
      <c r="AB77" s="105">
        <v>0</v>
      </c>
      <c r="AC77" s="104">
        <v>2</v>
      </c>
      <c r="AD77" s="123" t="s">
        <v>282</v>
      </c>
      <c r="AE77" s="104">
        <v>10</v>
      </c>
      <c r="AF77" s="105">
        <v>20</v>
      </c>
      <c r="AG77" s="104">
        <v>0.48</v>
      </c>
      <c r="AH77" s="102">
        <v>0.99</v>
      </c>
      <c r="AI77" s="105">
        <v>0.5</v>
      </c>
      <c r="AJ77" s="104">
        <v>2</v>
      </c>
      <c r="AK77" s="102">
        <v>4</v>
      </c>
      <c r="AL77" s="102">
        <v>3</v>
      </c>
      <c r="AM77" s="105">
        <v>0</v>
      </c>
      <c r="AN77" s="104">
        <v>0</v>
      </c>
      <c r="AO77" s="102">
        <v>24</v>
      </c>
      <c r="AP77" s="102">
        <v>12</v>
      </c>
      <c r="AQ77" s="105">
        <v>0</v>
      </c>
      <c r="AU77" s="125" t="str">
        <f>HYPERLINK("http://www.jianrmod.cn/data/shipGetInfo.html?type=0&amp;cid=10007611","详细")</f>
        <v>详细</v>
      </c>
    </row>
    <row r="78" spans="1:47">
      <c r="A78" s="100">
        <v>10007711</v>
      </c>
      <c r="B78" s="101">
        <v>110</v>
      </c>
      <c r="C78" s="102">
        <v>1</v>
      </c>
      <c r="D78" s="103" t="s">
        <v>285</v>
      </c>
      <c r="F78" s="103" t="s">
        <v>49</v>
      </c>
      <c r="G78" s="103">
        <v>1</v>
      </c>
      <c r="H78" s="103">
        <v>2</v>
      </c>
      <c r="I78" s="104" t="s">
        <v>73</v>
      </c>
      <c r="J78" s="102" t="s">
        <v>246</v>
      </c>
      <c r="K78" s="102">
        <v>20</v>
      </c>
      <c r="L78" s="103">
        <v>0</v>
      </c>
      <c r="M78" s="104">
        <v>33</v>
      </c>
      <c r="N78" s="102">
        <v>25</v>
      </c>
      <c r="O78" s="102">
        <v>74</v>
      </c>
      <c r="P78" s="102">
        <v>42</v>
      </c>
      <c r="Q78" s="104">
        <f>_xlfn.FLOOR.MATH(22+0.3*B78)</f>
        <v>55</v>
      </c>
      <c r="R78" s="102">
        <f>_xlfn.FLOOR.MATH(6+0.1*B78)</f>
        <v>17</v>
      </c>
      <c r="S78" s="102">
        <f>_xlfn.FLOOR.MATH(38+0.4*B78)</f>
        <v>82</v>
      </c>
      <c r="T78" s="105">
        <f>_xlfn.FLOOR.MATH(30+0.52*B78)</f>
        <v>87</v>
      </c>
      <c r="U78" s="102">
        <v>10</v>
      </c>
      <c r="V78" s="102">
        <v>38.5</v>
      </c>
      <c r="W78" s="106" t="s">
        <v>115</v>
      </c>
      <c r="X78" s="106" t="s">
        <v>284</v>
      </c>
      <c r="Y78" s="102" t="s">
        <v>241</v>
      </c>
      <c r="Z78" s="102" t="s">
        <v>128</v>
      </c>
      <c r="AA78" s="104">
        <v>0</v>
      </c>
      <c r="AB78" s="105">
        <v>0</v>
      </c>
      <c r="AC78" s="104">
        <v>2</v>
      </c>
      <c r="AD78" s="123" t="s">
        <v>282</v>
      </c>
      <c r="AE78" s="104">
        <v>10</v>
      </c>
      <c r="AF78" s="105">
        <v>20</v>
      </c>
      <c r="AG78" s="104">
        <v>0.48</v>
      </c>
      <c r="AH78" s="102">
        <v>0.99</v>
      </c>
      <c r="AI78" s="105">
        <v>0.5</v>
      </c>
      <c r="AJ78" s="104">
        <v>2</v>
      </c>
      <c r="AK78" s="102">
        <v>4</v>
      </c>
      <c r="AL78" s="102">
        <v>3</v>
      </c>
      <c r="AM78" s="105">
        <v>0</v>
      </c>
      <c r="AN78" s="104">
        <v>0</v>
      </c>
      <c r="AO78" s="102">
        <v>24</v>
      </c>
      <c r="AP78" s="102">
        <v>12</v>
      </c>
      <c r="AQ78" s="105">
        <v>0</v>
      </c>
      <c r="AU78" s="125" t="str">
        <f>HYPERLINK("http://www.jianrmod.cn/data/shipGetInfo.html?type=0&amp;cid=10007711","详细")</f>
        <v>详细</v>
      </c>
    </row>
    <row r="79" spans="1:47">
      <c r="A79" s="100">
        <v>10007811</v>
      </c>
      <c r="B79" s="101">
        <v>110</v>
      </c>
      <c r="C79" s="102">
        <v>2</v>
      </c>
      <c r="D79" s="103" t="s">
        <v>286</v>
      </c>
      <c r="F79" s="103" t="s">
        <v>49</v>
      </c>
      <c r="G79" s="103">
        <v>1</v>
      </c>
      <c r="H79" s="103">
        <v>2</v>
      </c>
      <c r="I79" s="104" t="s">
        <v>73</v>
      </c>
      <c r="J79" s="102" t="s">
        <v>246</v>
      </c>
      <c r="K79" s="102">
        <v>21</v>
      </c>
      <c r="L79" s="103">
        <v>-1</v>
      </c>
      <c r="M79" s="104">
        <v>33</v>
      </c>
      <c r="N79" s="102">
        <v>25</v>
      </c>
      <c r="O79" s="102">
        <v>74</v>
      </c>
      <c r="P79" s="102">
        <v>41</v>
      </c>
      <c r="Q79" s="104">
        <f>_xlfn.FLOOR.MATH(22+0.3*B79)</f>
        <v>55</v>
      </c>
      <c r="R79" s="102">
        <f>_xlfn.FLOOR.MATH(6+0.1*B79)</f>
        <v>17</v>
      </c>
      <c r="S79" s="102">
        <f>_xlfn.FLOOR.MATH(36+0.4*B79)</f>
        <v>80</v>
      </c>
      <c r="T79" s="105">
        <f>_xlfn.FLOOR.MATH(30+0.52*B79)</f>
        <v>87</v>
      </c>
      <c r="U79" s="102">
        <v>10</v>
      </c>
      <c r="V79" s="102">
        <v>36</v>
      </c>
      <c r="W79" s="106" t="s">
        <v>115</v>
      </c>
      <c r="Y79" s="102" t="s">
        <v>241</v>
      </c>
      <c r="Z79" s="102" t="s">
        <v>128</v>
      </c>
      <c r="AA79" s="104">
        <v>0</v>
      </c>
      <c r="AB79" s="105">
        <v>0</v>
      </c>
      <c r="AC79" s="104">
        <v>2</v>
      </c>
      <c r="AD79" s="123" t="s">
        <v>287</v>
      </c>
      <c r="AE79" s="104">
        <v>10</v>
      </c>
      <c r="AF79" s="105">
        <v>20</v>
      </c>
      <c r="AG79" s="104">
        <v>0.48</v>
      </c>
      <c r="AH79" s="102">
        <v>0.99</v>
      </c>
      <c r="AI79" s="105">
        <v>0.5</v>
      </c>
      <c r="AJ79" s="104">
        <v>2</v>
      </c>
      <c r="AK79" s="102">
        <v>4</v>
      </c>
      <c r="AL79" s="102">
        <v>3</v>
      </c>
      <c r="AM79" s="105">
        <v>0</v>
      </c>
      <c r="AN79" s="104">
        <v>0</v>
      </c>
      <c r="AO79" s="102">
        <v>24</v>
      </c>
      <c r="AP79" s="102">
        <v>12</v>
      </c>
      <c r="AQ79" s="105">
        <v>0</v>
      </c>
      <c r="AT79" s="110">
        <v>0.0152777777777778</v>
      </c>
      <c r="AU79" s="125"/>
    </row>
    <row r="80" spans="1:47">
      <c r="A80" s="100">
        <v>10007911</v>
      </c>
      <c r="B80" s="101">
        <v>110</v>
      </c>
      <c r="C80" s="102">
        <v>2</v>
      </c>
      <c r="D80" s="103" t="s">
        <v>288</v>
      </c>
      <c r="F80" s="103" t="s">
        <v>49</v>
      </c>
      <c r="G80" s="103">
        <v>1</v>
      </c>
      <c r="H80" s="103">
        <v>2</v>
      </c>
      <c r="I80" s="104" t="s">
        <v>73</v>
      </c>
      <c r="J80" s="102" t="s">
        <v>246</v>
      </c>
      <c r="K80" s="102">
        <v>21</v>
      </c>
      <c r="L80" s="103">
        <v>-1</v>
      </c>
      <c r="M80" s="104">
        <v>33</v>
      </c>
      <c r="N80" s="102">
        <v>25</v>
      </c>
      <c r="O80" s="102">
        <v>74</v>
      </c>
      <c r="P80" s="102">
        <v>41</v>
      </c>
      <c r="Q80" s="104">
        <f>_xlfn.FLOOR.MATH(22+0.3*B80)</f>
        <v>55</v>
      </c>
      <c r="R80" s="102">
        <f>_xlfn.FLOOR.MATH(6+0.1*B80)</f>
        <v>17</v>
      </c>
      <c r="S80" s="102">
        <f>_xlfn.FLOOR.MATH(36+0.4*B80)</f>
        <v>80</v>
      </c>
      <c r="T80" s="105">
        <f>_xlfn.FLOOR.MATH(30+0.52*B80)</f>
        <v>87</v>
      </c>
      <c r="U80" s="102">
        <v>10</v>
      </c>
      <c r="V80" s="102">
        <v>36</v>
      </c>
      <c r="W80" s="106" t="s">
        <v>115</v>
      </c>
      <c r="Y80" s="102" t="s">
        <v>241</v>
      </c>
      <c r="Z80" s="102" t="s">
        <v>128</v>
      </c>
      <c r="AA80" s="104">
        <v>0</v>
      </c>
      <c r="AB80" s="105">
        <v>0</v>
      </c>
      <c r="AC80" s="104">
        <v>2</v>
      </c>
      <c r="AD80" s="123" t="s">
        <v>287</v>
      </c>
      <c r="AE80" s="104">
        <v>10</v>
      </c>
      <c r="AF80" s="105">
        <v>20</v>
      </c>
      <c r="AG80" s="104">
        <v>0.48</v>
      </c>
      <c r="AH80" s="102">
        <v>0.99</v>
      </c>
      <c r="AI80" s="105">
        <v>0.5</v>
      </c>
      <c r="AJ80" s="104">
        <v>2</v>
      </c>
      <c r="AK80" s="102">
        <v>4</v>
      </c>
      <c r="AL80" s="102">
        <v>3</v>
      </c>
      <c r="AM80" s="105">
        <v>0</v>
      </c>
      <c r="AN80" s="104">
        <v>0</v>
      </c>
      <c r="AO80" s="102">
        <v>24</v>
      </c>
      <c r="AP80" s="102">
        <v>12</v>
      </c>
      <c r="AQ80" s="105">
        <v>0</v>
      </c>
      <c r="AT80" s="110">
        <v>0.0152777777777778</v>
      </c>
      <c r="AU80" s="125"/>
    </row>
    <row r="81" spans="1:47">
      <c r="A81" s="100">
        <v>10008011</v>
      </c>
      <c r="B81" s="101">
        <v>110</v>
      </c>
      <c r="C81" s="102">
        <v>3</v>
      </c>
      <c r="D81" s="103" t="s">
        <v>289</v>
      </c>
      <c r="F81" s="103" t="s">
        <v>49</v>
      </c>
      <c r="G81" s="103">
        <v>1</v>
      </c>
      <c r="H81" s="103">
        <v>2</v>
      </c>
      <c r="I81" s="104" t="s">
        <v>73</v>
      </c>
      <c r="J81" s="102" t="s">
        <v>246</v>
      </c>
      <c r="K81" s="102">
        <v>22</v>
      </c>
      <c r="L81" s="103">
        <v>2</v>
      </c>
      <c r="M81" s="104">
        <v>33</v>
      </c>
      <c r="N81" s="102">
        <v>26</v>
      </c>
      <c r="O81" s="102">
        <v>74</v>
      </c>
      <c r="P81" s="102">
        <v>41</v>
      </c>
      <c r="Q81" s="104">
        <f>_xlfn.FLOOR.MATH(22+0.3*B81)</f>
        <v>55</v>
      </c>
      <c r="R81" s="102">
        <f>_xlfn.FLOOR.MATH(6+0.1*B81)</f>
        <v>17</v>
      </c>
      <c r="S81" s="102">
        <f>_xlfn.FLOOR.MATH(36+0.4*B81)</f>
        <v>80</v>
      </c>
      <c r="T81" s="105">
        <f>_xlfn.FLOOR.MATH(30+0.52*B81)</f>
        <v>87</v>
      </c>
      <c r="U81" s="102">
        <v>10</v>
      </c>
      <c r="V81" s="102">
        <v>36</v>
      </c>
      <c r="W81" s="106" t="s">
        <v>115</v>
      </c>
      <c r="X81" s="106" t="s">
        <v>290</v>
      </c>
      <c r="Y81" s="102" t="s">
        <v>241</v>
      </c>
      <c r="Z81" s="102" t="s">
        <v>128</v>
      </c>
      <c r="AA81" s="104">
        <v>0</v>
      </c>
      <c r="AB81" s="105">
        <v>0</v>
      </c>
      <c r="AC81" s="104">
        <v>2</v>
      </c>
      <c r="AD81" s="123" t="s">
        <v>291</v>
      </c>
      <c r="AE81" s="104">
        <v>10</v>
      </c>
      <c r="AF81" s="105">
        <v>20</v>
      </c>
      <c r="AG81" s="104">
        <v>0.48</v>
      </c>
      <c r="AH81" s="102">
        <v>0.99</v>
      </c>
      <c r="AI81" s="105">
        <v>0.5</v>
      </c>
      <c r="AJ81" s="104">
        <v>4</v>
      </c>
      <c r="AK81" s="102">
        <v>8</v>
      </c>
      <c r="AL81" s="102">
        <v>6</v>
      </c>
      <c r="AM81" s="105">
        <v>0</v>
      </c>
      <c r="AN81" s="104">
        <v>0</v>
      </c>
      <c r="AO81" s="102">
        <v>24</v>
      </c>
      <c r="AP81" s="102">
        <v>13</v>
      </c>
      <c r="AQ81" s="105">
        <v>0</v>
      </c>
      <c r="AT81" s="110">
        <v>0.0152777777777778</v>
      </c>
      <c r="AU81" s="125" t="str">
        <f>HYPERLINK("http://www.jianrmod.cn/data/shipGetInfo.html?type=0&amp;cid=10008011","详细")</f>
        <v>详细</v>
      </c>
    </row>
    <row r="82" spans="1:47">
      <c r="A82" s="100">
        <v>10008111</v>
      </c>
      <c r="B82" s="101">
        <v>110</v>
      </c>
      <c r="C82" s="102">
        <v>2</v>
      </c>
      <c r="D82" s="103" t="s">
        <v>292</v>
      </c>
      <c r="F82" s="103" t="s">
        <v>49</v>
      </c>
      <c r="G82" s="103">
        <v>1</v>
      </c>
      <c r="H82" s="103">
        <v>2</v>
      </c>
      <c r="I82" s="104" t="s">
        <v>50</v>
      </c>
      <c r="J82" s="102" t="s">
        <v>246</v>
      </c>
      <c r="K82" s="102">
        <v>13</v>
      </c>
      <c r="L82" s="103">
        <v>-1</v>
      </c>
      <c r="M82" s="104">
        <v>28</v>
      </c>
      <c r="N82" s="102">
        <v>19</v>
      </c>
      <c r="O82" s="102">
        <v>55</v>
      </c>
      <c r="P82" s="102">
        <v>42</v>
      </c>
      <c r="Q82" s="104">
        <f>_xlfn.FLOOR.MATH(35+0.3*B82)</f>
        <v>68</v>
      </c>
      <c r="R82" s="102">
        <f>_xlfn.FLOOR.MATH(4+0.1*B82)</f>
        <v>15</v>
      </c>
      <c r="S82" s="102">
        <f>_xlfn.FLOOR.MATH(33+0.4*B82)</f>
        <v>77</v>
      </c>
      <c r="T82" s="105">
        <f>_xlfn.FLOOR.MATH(30+0.52*B82)</f>
        <v>87</v>
      </c>
      <c r="U82" s="102">
        <v>13</v>
      </c>
      <c r="V82" s="102">
        <v>20</v>
      </c>
      <c r="W82" s="106" t="s">
        <v>115</v>
      </c>
      <c r="X82" s="106" t="s">
        <v>293</v>
      </c>
      <c r="Y82" s="102" t="s">
        <v>241</v>
      </c>
      <c r="Z82" s="102" t="s">
        <v>128</v>
      </c>
      <c r="AA82" s="104">
        <v>0</v>
      </c>
      <c r="AB82" s="105">
        <v>0</v>
      </c>
      <c r="AC82" s="104">
        <v>2</v>
      </c>
      <c r="AD82" s="123" t="s">
        <v>294</v>
      </c>
      <c r="AE82" s="104">
        <v>10</v>
      </c>
      <c r="AF82" s="105">
        <v>25</v>
      </c>
      <c r="AG82" s="104">
        <v>0.48</v>
      </c>
      <c r="AH82" s="102">
        <v>0.9</v>
      </c>
      <c r="AI82" s="105">
        <v>0.5</v>
      </c>
      <c r="AJ82" s="104">
        <v>2</v>
      </c>
      <c r="AK82" s="102">
        <v>4</v>
      </c>
      <c r="AL82" s="102">
        <v>3</v>
      </c>
      <c r="AM82" s="105">
        <v>0</v>
      </c>
      <c r="AN82" s="104">
        <v>3</v>
      </c>
      <c r="AO82" s="102">
        <v>5</v>
      </c>
      <c r="AP82" s="102">
        <v>4</v>
      </c>
      <c r="AQ82" s="105">
        <v>0</v>
      </c>
      <c r="AU82" s="125" t="str">
        <f>HYPERLINK("http://www.jianrmod.cn/data/shipGetInfo.html?type=0&amp;cid=10008111","详细")</f>
        <v>详细</v>
      </c>
    </row>
    <row r="83" spans="1:47">
      <c r="A83" s="100">
        <v>10008211</v>
      </c>
      <c r="B83" s="101">
        <v>110</v>
      </c>
      <c r="C83" s="102">
        <v>2</v>
      </c>
      <c r="D83" s="103" t="s">
        <v>295</v>
      </c>
      <c r="F83" s="103" t="s">
        <v>49</v>
      </c>
      <c r="G83" s="103">
        <v>1</v>
      </c>
      <c r="H83" s="103">
        <v>2</v>
      </c>
      <c r="I83" s="104" t="s">
        <v>50</v>
      </c>
      <c r="J83" s="102" t="s">
        <v>246</v>
      </c>
      <c r="K83" s="102">
        <v>14</v>
      </c>
      <c r="L83" s="103">
        <v>2</v>
      </c>
      <c r="M83" s="104">
        <v>27</v>
      </c>
      <c r="N83" s="102">
        <v>20</v>
      </c>
      <c r="O83" s="102">
        <v>68</v>
      </c>
      <c r="P83" s="102">
        <v>45</v>
      </c>
      <c r="Q83" s="104">
        <f>_xlfn.FLOOR.MATH(28+0.3*B83)</f>
        <v>61</v>
      </c>
      <c r="R83" s="102">
        <f>_xlfn.FLOOR.MATH(5+0.1*B83)</f>
        <v>16</v>
      </c>
      <c r="S83" s="102">
        <f>_xlfn.FLOOR.MATH(36+0.4*B83)</f>
        <v>80</v>
      </c>
      <c r="T83" s="105">
        <f>_xlfn.FLOOR.MATH(30+0.52*B83)</f>
        <v>87</v>
      </c>
      <c r="U83" s="102">
        <v>8</v>
      </c>
      <c r="V83" s="102">
        <v>36</v>
      </c>
      <c r="W83" s="106" t="s">
        <v>115</v>
      </c>
      <c r="X83" s="106" t="s">
        <v>296</v>
      </c>
      <c r="Y83" s="102" t="s">
        <v>241</v>
      </c>
      <c r="Z83" s="102" t="s">
        <v>128</v>
      </c>
      <c r="AA83" s="104">
        <v>0</v>
      </c>
      <c r="AB83" s="105">
        <v>0</v>
      </c>
      <c r="AC83" s="104">
        <v>2</v>
      </c>
      <c r="AD83" s="123" t="s">
        <v>297</v>
      </c>
      <c r="AE83" s="104">
        <v>10</v>
      </c>
      <c r="AF83" s="105">
        <v>25</v>
      </c>
      <c r="AG83" s="104">
        <v>0.48</v>
      </c>
      <c r="AH83" s="102">
        <v>0.9</v>
      </c>
      <c r="AI83" s="105">
        <v>0.5</v>
      </c>
      <c r="AJ83" s="104">
        <v>2</v>
      </c>
      <c r="AK83" s="102">
        <v>4</v>
      </c>
      <c r="AL83" s="102">
        <v>3</v>
      </c>
      <c r="AM83" s="105">
        <v>0</v>
      </c>
      <c r="AN83" s="104">
        <v>3</v>
      </c>
      <c r="AO83" s="102">
        <v>18</v>
      </c>
      <c r="AP83" s="102">
        <v>5</v>
      </c>
      <c r="AQ83" s="105">
        <v>0</v>
      </c>
      <c r="AU83" s="125" t="str">
        <f>HYPERLINK("http://www.jianrmod.cn/data/shipGetInfo.html?type=0&amp;cid=10008211","详细")</f>
        <v>详细</v>
      </c>
    </row>
    <row r="84" spans="1:47">
      <c r="A84" s="100">
        <v>10008311</v>
      </c>
      <c r="B84" s="101">
        <v>110</v>
      </c>
      <c r="C84" s="102">
        <v>2</v>
      </c>
      <c r="D84" s="103" t="s">
        <v>298</v>
      </c>
      <c r="F84" s="103" t="s">
        <v>49</v>
      </c>
      <c r="G84" s="103">
        <v>1</v>
      </c>
      <c r="H84" s="103">
        <v>2</v>
      </c>
      <c r="I84" s="104" t="s">
        <v>50</v>
      </c>
      <c r="J84" s="102" t="s">
        <v>246</v>
      </c>
      <c r="K84" s="102">
        <v>14</v>
      </c>
      <c r="L84" s="103">
        <v>2</v>
      </c>
      <c r="M84" s="104">
        <v>29</v>
      </c>
      <c r="N84" s="102">
        <v>20</v>
      </c>
      <c r="O84" s="102">
        <v>70</v>
      </c>
      <c r="P84" s="102">
        <v>45</v>
      </c>
      <c r="Q84" s="104">
        <f>_xlfn.FLOOR.MATH(28+0.3*B84)</f>
        <v>61</v>
      </c>
      <c r="R84" s="102">
        <f>_xlfn.FLOOR.MATH(5+0.1*B84)</f>
        <v>16</v>
      </c>
      <c r="S84" s="102">
        <f>_xlfn.FLOOR.MATH(36+0.4*B84)</f>
        <v>80</v>
      </c>
      <c r="T84" s="105">
        <f>_xlfn.FLOOR.MATH(30+0.52*B84)</f>
        <v>87</v>
      </c>
      <c r="U84" s="102">
        <v>15</v>
      </c>
      <c r="V84" s="102">
        <v>36</v>
      </c>
      <c r="W84" s="106" t="s">
        <v>115</v>
      </c>
      <c r="X84" s="106" t="s">
        <v>299</v>
      </c>
      <c r="Y84" s="102" t="s">
        <v>241</v>
      </c>
      <c r="Z84" s="102" t="s">
        <v>128</v>
      </c>
      <c r="AA84" s="104">
        <v>0</v>
      </c>
      <c r="AB84" s="105">
        <v>0</v>
      </c>
      <c r="AC84" s="104">
        <v>2</v>
      </c>
      <c r="AD84" s="123" t="s">
        <v>300</v>
      </c>
      <c r="AE84" s="104">
        <v>10</v>
      </c>
      <c r="AF84" s="105">
        <v>25</v>
      </c>
      <c r="AG84" s="104">
        <v>0.48</v>
      </c>
      <c r="AH84" s="102">
        <v>0.9</v>
      </c>
      <c r="AI84" s="105">
        <v>0.5</v>
      </c>
      <c r="AJ84" s="104">
        <v>2</v>
      </c>
      <c r="AK84" s="102">
        <v>4</v>
      </c>
      <c r="AL84" s="102">
        <v>3</v>
      </c>
      <c r="AM84" s="105">
        <v>0</v>
      </c>
      <c r="AN84" s="104">
        <v>3</v>
      </c>
      <c r="AO84" s="102">
        <v>20</v>
      </c>
      <c r="AP84" s="102">
        <v>5</v>
      </c>
      <c r="AQ84" s="105">
        <v>0</v>
      </c>
      <c r="AU84" s="125" t="str">
        <f>HYPERLINK("http://www.jianrmod.cn/data/shipGetInfo.html?type=0&amp;cid=10008311","详细")</f>
        <v>详细</v>
      </c>
    </row>
    <row r="85" spans="1:47">
      <c r="A85" s="100">
        <v>10008411</v>
      </c>
      <c r="B85" s="101">
        <v>110</v>
      </c>
      <c r="C85" s="102">
        <v>2</v>
      </c>
      <c r="D85" s="103" t="s">
        <v>301</v>
      </c>
      <c r="F85" s="103" t="s">
        <v>49</v>
      </c>
      <c r="G85" s="103">
        <v>1</v>
      </c>
      <c r="H85" s="103">
        <v>2</v>
      </c>
      <c r="I85" s="104" t="s">
        <v>50</v>
      </c>
      <c r="J85" s="102" t="s">
        <v>246</v>
      </c>
      <c r="K85" s="102">
        <v>14</v>
      </c>
      <c r="L85" s="103">
        <v>2</v>
      </c>
      <c r="M85" s="104">
        <v>29</v>
      </c>
      <c r="N85" s="102">
        <v>20</v>
      </c>
      <c r="O85" s="102">
        <v>70</v>
      </c>
      <c r="P85" s="102">
        <v>45</v>
      </c>
      <c r="Q85" s="104">
        <f>_xlfn.FLOOR.MATH(28+0.3*B85)</f>
        <v>61</v>
      </c>
      <c r="R85" s="102">
        <f>_xlfn.FLOOR.MATH(5+0.1*B85)</f>
        <v>16</v>
      </c>
      <c r="S85" s="102">
        <f>_xlfn.FLOOR.MATH(36+0.4*B85)</f>
        <v>80</v>
      </c>
      <c r="T85" s="105">
        <f>_xlfn.FLOOR.MATH(30+0.52*B85)</f>
        <v>87</v>
      </c>
      <c r="U85" s="102">
        <v>10</v>
      </c>
      <c r="V85" s="102">
        <v>36</v>
      </c>
      <c r="W85" s="106" t="s">
        <v>115</v>
      </c>
      <c r="X85" s="106" t="s">
        <v>302</v>
      </c>
      <c r="Y85" s="102" t="s">
        <v>241</v>
      </c>
      <c r="Z85" s="102" t="s">
        <v>128</v>
      </c>
      <c r="AA85" s="104">
        <v>0</v>
      </c>
      <c r="AB85" s="105">
        <v>0</v>
      </c>
      <c r="AC85" s="104">
        <v>2</v>
      </c>
      <c r="AD85" s="123" t="s">
        <v>300</v>
      </c>
      <c r="AE85" s="104">
        <v>10</v>
      </c>
      <c r="AF85" s="105">
        <v>25</v>
      </c>
      <c r="AG85" s="104">
        <v>0.48</v>
      </c>
      <c r="AH85" s="102">
        <v>0.9</v>
      </c>
      <c r="AI85" s="105">
        <v>0.5</v>
      </c>
      <c r="AJ85" s="104">
        <v>2</v>
      </c>
      <c r="AK85" s="102">
        <v>4</v>
      </c>
      <c r="AL85" s="102">
        <v>3</v>
      </c>
      <c r="AM85" s="105">
        <v>0</v>
      </c>
      <c r="AN85" s="104">
        <v>3</v>
      </c>
      <c r="AO85" s="102">
        <v>20</v>
      </c>
      <c r="AP85" s="102">
        <v>5</v>
      </c>
      <c r="AQ85" s="105">
        <v>0</v>
      </c>
      <c r="AU85" s="125" t="str">
        <f>HYPERLINK("http://www.jianrmod.cn/data/shipGetInfo.html?type=0&amp;cid=10008411","详细")</f>
        <v>详细</v>
      </c>
    </row>
    <row r="86" spans="1:47">
      <c r="A86" s="100">
        <v>10008511</v>
      </c>
      <c r="B86" s="101">
        <v>110</v>
      </c>
      <c r="C86" s="102">
        <v>2</v>
      </c>
      <c r="D86" s="103" t="s">
        <v>303</v>
      </c>
      <c r="F86" s="103" t="s">
        <v>49</v>
      </c>
      <c r="G86" s="103">
        <v>1</v>
      </c>
      <c r="H86" s="103">
        <v>2</v>
      </c>
      <c r="I86" s="104" t="s">
        <v>50</v>
      </c>
      <c r="J86" s="102" t="s">
        <v>246</v>
      </c>
      <c r="K86" s="102">
        <v>14</v>
      </c>
      <c r="L86" s="103">
        <v>2</v>
      </c>
      <c r="M86" s="104">
        <v>29</v>
      </c>
      <c r="N86" s="102">
        <v>20</v>
      </c>
      <c r="O86" s="102">
        <v>70</v>
      </c>
      <c r="P86" s="102">
        <v>45</v>
      </c>
      <c r="Q86" s="104">
        <f>_xlfn.FLOOR.MATH(28+0.3*B86)</f>
        <v>61</v>
      </c>
      <c r="R86" s="102">
        <f>_xlfn.FLOOR.MATH(5+0.1*B86)</f>
        <v>16</v>
      </c>
      <c r="S86" s="102">
        <f>_xlfn.FLOOR.MATH(36+0.4*B86)</f>
        <v>80</v>
      </c>
      <c r="T86" s="105">
        <f>_xlfn.FLOOR.MATH(30+0.52*B86)</f>
        <v>87</v>
      </c>
      <c r="U86" s="102">
        <v>10</v>
      </c>
      <c r="V86" s="102">
        <v>36</v>
      </c>
      <c r="W86" s="106" t="s">
        <v>115</v>
      </c>
      <c r="X86" s="106" t="s">
        <v>304</v>
      </c>
      <c r="Y86" s="102" t="s">
        <v>241</v>
      </c>
      <c r="Z86" s="102" t="s">
        <v>128</v>
      </c>
      <c r="AA86" s="104">
        <v>0</v>
      </c>
      <c r="AB86" s="105">
        <v>0</v>
      </c>
      <c r="AC86" s="104">
        <v>2</v>
      </c>
      <c r="AD86" s="123" t="s">
        <v>300</v>
      </c>
      <c r="AE86" s="104">
        <v>10</v>
      </c>
      <c r="AF86" s="105">
        <v>25</v>
      </c>
      <c r="AG86" s="104">
        <v>0.48</v>
      </c>
      <c r="AH86" s="102">
        <v>0.9</v>
      </c>
      <c r="AI86" s="105">
        <v>0.5</v>
      </c>
      <c r="AJ86" s="104">
        <v>2</v>
      </c>
      <c r="AK86" s="102">
        <v>4</v>
      </c>
      <c r="AL86" s="102">
        <v>3</v>
      </c>
      <c r="AM86" s="105">
        <v>0</v>
      </c>
      <c r="AN86" s="104">
        <v>3</v>
      </c>
      <c r="AO86" s="102">
        <v>20</v>
      </c>
      <c r="AP86" s="102">
        <v>5</v>
      </c>
      <c r="AQ86" s="105">
        <v>0</v>
      </c>
      <c r="AU86" s="125" t="str">
        <f>HYPERLINK("http://www.jianrmod.cn/data/shipGetInfo.html?type=0&amp;cid=10008511","详细")</f>
        <v>详细</v>
      </c>
    </row>
    <row r="87" spans="1:47">
      <c r="A87" s="100">
        <v>10008611</v>
      </c>
      <c r="B87" s="101">
        <v>110</v>
      </c>
      <c r="C87" s="102">
        <v>1</v>
      </c>
      <c r="D87" s="103" t="s">
        <v>305</v>
      </c>
      <c r="F87" s="103" t="s">
        <v>49</v>
      </c>
      <c r="G87" s="103">
        <v>1</v>
      </c>
      <c r="H87" s="103">
        <v>2</v>
      </c>
      <c r="I87" s="104" t="s">
        <v>50</v>
      </c>
      <c r="J87" s="102" t="s">
        <v>246</v>
      </c>
      <c r="K87" s="102">
        <v>17</v>
      </c>
      <c r="L87" s="103">
        <v>-1</v>
      </c>
      <c r="M87" s="104">
        <v>33</v>
      </c>
      <c r="N87" s="102">
        <v>22</v>
      </c>
      <c r="O87" s="102">
        <v>62</v>
      </c>
      <c r="P87" s="102">
        <v>45</v>
      </c>
      <c r="Q87" s="104">
        <f>_xlfn.FLOOR.MATH(26+0.3*B87)</f>
        <v>59</v>
      </c>
      <c r="R87" s="102">
        <f>_xlfn.FLOOR.MATH(5+0.1*B87)</f>
        <v>16</v>
      </c>
      <c r="S87" s="102">
        <f>_xlfn.FLOOR.MATH(36+0.4*B87)</f>
        <v>80</v>
      </c>
      <c r="T87" s="105">
        <f>_xlfn.FLOOR.MATH(30+0.52*B87)</f>
        <v>87</v>
      </c>
      <c r="U87" s="102">
        <v>10</v>
      </c>
      <c r="V87" s="102">
        <v>35.5</v>
      </c>
      <c r="W87" s="106" t="s">
        <v>115</v>
      </c>
      <c r="X87" s="106" t="s">
        <v>306</v>
      </c>
      <c r="Y87" s="102" t="s">
        <v>241</v>
      </c>
      <c r="Z87" s="102" t="s">
        <v>128</v>
      </c>
      <c r="AA87" s="104">
        <v>0</v>
      </c>
      <c r="AB87" s="105">
        <v>0</v>
      </c>
      <c r="AC87" s="104">
        <v>2</v>
      </c>
      <c r="AD87" s="123" t="s">
        <v>307</v>
      </c>
      <c r="AE87" s="104">
        <v>10</v>
      </c>
      <c r="AF87" s="105">
        <v>25</v>
      </c>
      <c r="AG87" s="104">
        <v>0.48</v>
      </c>
      <c r="AH87" s="102">
        <v>0.9</v>
      </c>
      <c r="AI87" s="105">
        <v>0.5</v>
      </c>
      <c r="AJ87" s="104">
        <v>2</v>
      </c>
      <c r="AK87" s="102">
        <v>4</v>
      </c>
      <c r="AL87" s="102">
        <v>3</v>
      </c>
      <c r="AM87" s="105">
        <v>0</v>
      </c>
      <c r="AN87" s="104">
        <v>3</v>
      </c>
      <c r="AO87" s="102">
        <v>12</v>
      </c>
      <c r="AP87" s="102">
        <v>7</v>
      </c>
      <c r="AQ87" s="105">
        <v>0</v>
      </c>
      <c r="AU87" s="125" t="str">
        <f>HYPERLINK("http://www.jianrmod.cn/data/shipGetInfo.html?type=0&amp;cid=10008611","详细")</f>
        <v>详细</v>
      </c>
    </row>
    <row r="88" spans="1:47">
      <c r="A88" s="100">
        <v>10008711</v>
      </c>
      <c r="B88" s="101">
        <v>110</v>
      </c>
      <c r="C88" s="102">
        <v>1</v>
      </c>
      <c r="D88" s="103" t="s">
        <v>308</v>
      </c>
      <c r="F88" s="103" t="s">
        <v>49</v>
      </c>
      <c r="G88" s="103">
        <v>1</v>
      </c>
      <c r="H88" s="103">
        <v>2</v>
      </c>
      <c r="I88" s="104" t="s">
        <v>50</v>
      </c>
      <c r="J88" s="102" t="s">
        <v>246</v>
      </c>
      <c r="K88" s="102">
        <v>17</v>
      </c>
      <c r="L88" s="103">
        <v>-1</v>
      </c>
      <c r="M88" s="104">
        <v>33</v>
      </c>
      <c r="N88" s="102">
        <v>22</v>
      </c>
      <c r="O88" s="102">
        <v>62</v>
      </c>
      <c r="P88" s="102">
        <v>45</v>
      </c>
      <c r="Q88" s="104">
        <f>_xlfn.FLOOR.MATH(26+0.3*B88)</f>
        <v>59</v>
      </c>
      <c r="R88" s="102">
        <f>_xlfn.FLOOR.MATH(5+0.1*B88)</f>
        <v>16</v>
      </c>
      <c r="S88" s="102">
        <f>_xlfn.FLOOR.MATH(36+0.4*B88)</f>
        <v>80</v>
      </c>
      <c r="T88" s="105">
        <f>_xlfn.FLOOR.MATH(30+0.52*B88)</f>
        <v>87</v>
      </c>
      <c r="U88" s="102">
        <v>15</v>
      </c>
      <c r="V88" s="102">
        <v>35.5</v>
      </c>
      <c r="W88" s="106" t="s">
        <v>115</v>
      </c>
      <c r="X88" s="106" t="s">
        <v>309</v>
      </c>
      <c r="Y88" s="102" t="s">
        <v>241</v>
      </c>
      <c r="Z88" s="102" t="s">
        <v>128</v>
      </c>
      <c r="AA88" s="104">
        <v>0</v>
      </c>
      <c r="AB88" s="105">
        <v>0</v>
      </c>
      <c r="AC88" s="104">
        <v>2</v>
      </c>
      <c r="AD88" s="123" t="s">
        <v>300</v>
      </c>
      <c r="AE88" s="104">
        <v>10</v>
      </c>
      <c r="AF88" s="105">
        <v>25</v>
      </c>
      <c r="AG88" s="104">
        <v>0.48</v>
      </c>
      <c r="AH88" s="102">
        <v>0.9</v>
      </c>
      <c r="AI88" s="105">
        <v>0.5</v>
      </c>
      <c r="AJ88" s="104">
        <v>2</v>
      </c>
      <c r="AK88" s="102">
        <v>4</v>
      </c>
      <c r="AL88" s="102">
        <v>3</v>
      </c>
      <c r="AM88" s="105">
        <v>0</v>
      </c>
      <c r="AN88" s="104">
        <v>3</v>
      </c>
      <c r="AO88" s="102">
        <v>12</v>
      </c>
      <c r="AP88" s="102">
        <v>7</v>
      </c>
      <c r="AQ88" s="105">
        <v>0</v>
      </c>
      <c r="AU88" s="125" t="str">
        <f>HYPERLINK("http://www.jianrmod.cn/data/shipGetInfo.html?type=0&amp;cid=10008711","详细")</f>
        <v>详细</v>
      </c>
    </row>
    <row r="89" spans="1:47">
      <c r="A89" s="100">
        <v>10008811</v>
      </c>
      <c r="B89" s="101">
        <v>110</v>
      </c>
      <c r="C89" s="102">
        <v>1</v>
      </c>
      <c r="D89" s="103" t="s">
        <v>310</v>
      </c>
      <c r="F89" s="103" t="s">
        <v>49</v>
      </c>
      <c r="G89" s="103">
        <v>1</v>
      </c>
      <c r="H89" s="103">
        <v>2</v>
      </c>
      <c r="I89" s="104" t="s">
        <v>50</v>
      </c>
      <c r="J89" s="102" t="s">
        <v>246</v>
      </c>
      <c r="K89" s="102">
        <v>17</v>
      </c>
      <c r="L89" s="103">
        <v>-1</v>
      </c>
      <c r="M89" s="104">
        <v>33</v>
      </c>
      <c r="N89" s="102">
        <v>22</v>
      </c>
      <c r="O89" s="102">
        <v>62</v>
      </c>
      <c r="P89" s="102">
        <v>45</v>
      </c>
      <c r="Q89" s="104">
        <f>_xlfn.FLOOR.MATH(26+0.3*B89)</f>
        <v>59</v>
      </c>
      <c r="R89" s="102">
        <f>_xlfn.FLOOR.MATH(5+0.1*B89)</f>
        <v>16</v>
      </c>
      <c r="S89" s="102">
        <f>_xlfn.FLOOR.MATH(36+0.4*B89)</f>
        <v>80</v>
      </c>
      <c r="T89" s="105">
        <f>_xlfn.FLOOR.MATH(30+0.52*B89)</f>
        <v>87</v>
      </c>
      <c r="U89" s="102">
        <v>8</v>
      </c>
      <c r="V89" s="102">
        <v>35.5</v>
      </c>
      <c r="W89" s="106" t="s">
        <v>115</v>
      </c>
      <c r="X89" s="106" t="s">
        <v>311</v>
      </c>
      <c r="Y89" s="102" t="s">
        <v>241</v>
      </c>
      <c r="Z89" s="102" t="s">
        <v>128</v>
      </c>
      <c r="AA89" s="104">
        <v>0</v>
      </c>
      <c r="AB89" s="105">
        <v>0</v>
      </c>
      <c r="AC89" s="104">
        <v>2</v>
      </c>
      <c r="AD89" s="123" t="s">
        <v>300</v>
      </c>
      <c r="AE89" s="104">
        <v>10</v>
      </c>
      <c r="AF89" s="105">
        <v>25</v>
      </c>
      <c r="AG89" s="104">
        <v>0.48</v>
      </c>
      <c r="AH89" s="102">
        <v>0.9</v>
      </c>
      <c r="AI89" s="105">
        <v>0.5</v>
      </c>
      <c r="AJ89" s="104">
        <v>2</v>
      </c>
      <c r="AK89" s="102">
        <v>4</v>
      </c>
      <c r="AL89" s="102">
        <v>3</v>
      </c>
      <c r="AM89" s="105">
        <v>0</v>
      </c>
      <c r="AN89" s="104">
        <v>3</v>
      </c>
      <c r="AO89" s="102">
        <v>12</v>
      </c>
      <c r="AP89" s="102">
        <v>7</v>
      </c>
      <c r="AQ89" s="105">
        <v>0</v>
      </c>
      <c r="AU89" s="125" t="str">
        <f>HYPERLINK("http://www.jianrmod.cn/data/shipGetInfo.html?type=0&amp;cid=10008811","详细")</f>
        <v>详细</v>
      </c>
    </row>
    <row r="90" spans="1:47">
      <c r="A90" s="100">
        <v>10008911</v>
      </c>
      <c r="B90" s="101">
        <v>110</v>
      </c>
      <c r="C90" s="102">
        <v>2</v>
      </c>
      <c r="D90" s="103" t="s">
        <v>312</v>
      </c>
      <c r="F90" s="103" t="s">
        <v>49</v>
      </c>
      <c r="G90" s="103">
        <v>1</v>
      </c>
      <c r="H90" s="103">
        <v>2</v>
      </c>
      <c r="I90" s="104" t="s">
        <v>86</v>
      </c>
      <c r="J90" s="102" t="s">
        <v>246</v>
      </c>
      <c r="K90" s="102">
        <v>17</v>
      </c>
      <c r="L90" s="103">
        <v>-1</v>
      </c>
      <c r="M90" s="104">
        <v>28</v>
      </c>
      <c r="N90" s="102">
        <v>22</v>
      </c>
      <c r="O90" s="102">
        <v>70</v>
      </c>
      <c r="P90" s="102">
        <v>54</v>
      </c>
      <c r="Q90" s="104">
        <f>_xlfn.FLOOR.MATH(25+0.3*B90)</f>
        <v>58</v>
      </c>
      <c r="R90" s="102">
        <f>_xlfn.FLOOR.MATH(6+0.1*B90)</f>
        <v>17</v>
      </c>
      <c r="S90" s="102">
        <f>_xlfn.FLOOR.MATH(37+0.4*B90)</f>
        <v>81</v>
      </c>
      <c r="T90" s="105">
        <f>_xlfn.FLOOR.MATH(30+0.52*B90)</f>
        <v>87</v>
      </c>
      <c r="U90" s="102">
        <v>22</v>
      </c>
      <c r="V90" s="102">
        <v>37</v>
      </c>
      <c r="W90" s="106" t="s">
        <v>115</v>
      </c>
      <c r="X90" s="106" t="s">
        <v>313</v>
      </c>
      <c r="Y90" s="102" t="s">
        <v>241</v>
      </c>
      <c r="Z90" s="102" t="s">
        <v>128</v>
      </c>
      <c r="AA90" s="104">
        <v>0</v>
      </c>
      <c r="AB90" s="105">
        <v>0</v>
      </c>
      <c r="AC90" s="104">
        <v>2</v>
      </c>
      <c r="AD90" s="123" t="s">
        <v>314</v>
      </c>
      <c r="AE90" s="104">
        <v>15</v>
      </c>
      <c r="AF90" s="105">
        <v>25</v>
      </c>
      <c r="AG90" s="104">
        <v>0.48</v>
      </c>
      <c r="AH90" s="102">
        <v>0.9</v>
      </c>
      <c r="AI90" s="105">
        <v>0.4</v>
      </c>
      <c r="AJ90" s="104">
        <v>2</v>
      </c>
      <c r="AK90" s="102">
        <v>4</v>
      </c>
      <c r="AL90" s="102">
        <v>3</v>
      </c>
      <c r="AM90" s="105">
        <v>0</v>
      </c>
      <c r="AN90" s="104">
        <v>0</v>
      </c>
      <c r="AO90" s="102">
        <v>20</v>
      </c>
      <c r="AP90" s="102">
        <v>7</v>
      </c>
      <c r="AQ90" s="105">
        <v>5</v>
      </c>
      <c r="AU90" s="125"/>
    </row>
    <row r="91" spans="1:47">
      <c r="A91" s="100">
        <v>10009011</v>
      </c>
      <c r="B91" s="101">
        <v>110</v>
      </c>
      <c r="C91" s="102">
        <v>1</v>
      </c>
      <c r="D91" s="103" t="s">
        <v>315</v>
      </c>
      <c r="F91" s="103" t="s">
        <v>49</v>
      </c>
      <c r="G91" s="103">
        <v>1</v>
      </c>
      <c r="H91" s="103">
        <v>2</v>
      </c>
      <c r="I91" s="104" t="s">
        <v>86</v>
      </c>
      <c r="J91" s="102" t="s">
        <v>246</v>
      </c>
      <c r="K91" s="102">
        <v>17</v>
      </c>
      <c r="L91" s="103">
        <v>-1</v>
      </c>
      <c r="M91" s="104">
        <v>28</v>
      </c>
      <c r="N91" s="102">
        <v>22</v>
      </c>
      <c r="O91" s="102">
        <v>70</v>
      </c>
      <c r="P91" s="102">
        <v>54</v>
      </c>
      <c r="Q91" s="104">
        <f>_xlfn.FLOOR.MATH(25+0.3*B91)</f>
        <v>58</v>
      </c>
      <c r="R91" s="102">
        <f>_xlfn.FLOOR.MATH(6+0.1*B91)</f>
        <v>17</v>
      </c>
      <c r="S91" s="102">
        <f>_xlfn.FLOOR.MATH(37+0.4*B91)</f>
        <v>81</v>
      </c>
      <c r="T91" s="105">
        <f>_xlfn.FLOOR.MATH(30+0.52*B91)</f>
        <v>87</v>
      </c>
      <c r="U91" s="102">
        <v>22</v>
      </c>
      <c r="V91" s="102">
        <v>37</v>
      </c>
      <c r="W91" s="106" t="s">
        <v>115</v>
      </c>
      <c r="Y91" s="102" t="s">
        <v>241</v>
      </c>
      <c r="Z91" s="102" t="s">
        <v>128</v>
      </c>
      <c r="AA91" s="104">
        <v>0</v>
      </c>
      <c r="AB91" s="105">
        <v>0</v>
      </c>
      <c r="AC91" s="104">
        <v>2</v>
      </c>
      <c r="AD91" s="123" t="s">
        <v>316</v>
      </c>
      <c r="AE91" s="104">
        <v>15</v>
      </c>
      <c r="AF91" s="105">
        <v>25</v>
      </c>
      <c r="AG91" s="104">
        <v>0.48</v>
      </c>
      <c r="AH91" s="102">
        <v>0.9</v>
      </c>
      <c r="AI91" s="105">
        <v>0.4</v>
      </c>
      <c r="AJ91" s="104">
        <v>2</v>
      </c>
      <c r="AK91" s="102">
        <v>4</v>
      </c>
      <c r="AL91" s="102">
        <v>3</v>
      </c>
      <c r="AM91" s="105">
        <v>0</v>
      </c>
      <c r="AN91" s="104">
        <v>0</v>
      </c>
      <c r="AO91" s="102">
        <v>20</v>
      </c>
      <c r="AP91" s="102">
        <v>7</v>
      </c>
      <c r="AQ91" s="105">
        <v>5</v>
      </c>
      <c r="AU91" s="125" t="str">
        <f>HYPERLINK("http://www.jianrmod.cn/data/shipGetInfo.html?type=0&amp;cid=10009011","详细")</f>
        <v>详细</v>
      </c>
    </row>
    <row r="92" spans="1:47">
      <c r="A92" s="100">
        <v>10009111</v>
      </c>
      <c r="B92" s="101">
        <v>110</v>
      </c>
      <c r="C92" s="102">
        <v>1</v>
      </c>
      <c r="D92" s="103" t="s">
        <v>317</v>
      </c>
      <c r="F92" s="103" t="s">
        <v>49</v>
      </c>
      <c r="G92" s="103">
        <v>1</v>
      </c>
      <c r="H92" s="103">
        <v>2</v>
      </c>
      <c r="I92" s="104" t="s">
        <v>86</v>
      </c>
      <c r="J92" s="102" t="s">
        <v>246</v>
      </c>
      <c r="K92" s="102">
        <v>17</v>
      </c>
      <c r="L92" s="103">
        <v>-1</v>
      </c>
      <c r="M92" s="104">
        <v>28</v>
      </c>
      <c r="N92" s="102">
        <v>22</v>
      </c>
      <c r="O92" s="102">
        <v>70</v>
      </c>
      <c r="P92" s="102">
        <v>54</v>
      </c>
      <c r="Q92" s="104">
        <f>_xlfn.FLOOR.MATH(25+0.3*B92)</f>
        <v>58</v>
      </c>
      <c r="R92" s="102">
        <f>_xlfn.FLOOR.MATH(6+0.1*B92)</f>
        <v>17</v>
      </c>
      <c r="S92" s="102">
        <f>_xlfn.FLOOR.MATH(37+0.4*B92)</f>
        <v>81</v>
      </c>
      <c r="T92" s="105">
        <f>_xlfn.FLOOR.MATH(30+0.52*B92)</f>
        <v>87</v>
      </c>
      <c r="U92" s="102">
        <v>20</v>
      </c>
      <c r="V92" s="102">
        <v>37</v>
      </c>
      <c r="W92" s="106" t="s">
        <v>115</v>
      </c>
      <c r="Y92" s="102" t="s">
        <v>241</v>
      </c>
      <c r="Z92" s="102" t="s">
        <v>128</v>
      </c>
      <c r="AA92" s="104">
        <v>0</v>
      </c>
      <c r="AB92" s="105">
        <v>0</v>
      </c>
      <c r="AC92" s="104">
        <v>2</v>
      </c>
      <c r="AD92" s="123" t="s">
        <v>316</v>
      </c>
      <c r="AE92" s="104">
        <v>15</v>
      </c>
      <c r="AF92" s="105">
        <v>25</v>
      </c>
      <c r="AG92" s="104">
        <v>0.48</v>
      </c>
      <c r="AH92" s="102">
        <v>0.9</v>
      </c>
      <c r="AI92" s="105">
        <v>0.4</v>
      </c>
      <c r="AJ92" s="104">
        <v>2</v>
      </c>
      <c r="AK92" s="102">
        <v>4</v>
      </c>
      <c r="AL92" s="102">
        <v>3</v>
      </c>
      <c r="AM92" s="105">
        <v>0</v>
      </c>
      <c r="AN92" s="104">
        <v>0</v>
      </c>
      <c r="AO92" s="102">
        <v>20</v>
      </c>
      <c r="AP92" s="102">
        <v>7</v>
      </c>
      <c r="AQ92" s="105">
        <v>5</v>
      </c>
      <c r="AU92" s="125" t="str">
        <f>HYPERLINK("http://www.jianrmod.cn/data/shipGetInfo.html?type=0&amp;cid=10009111","详细")</f>
        <v>详细</v>
      </c>
    </row>
    <row r="93" spans="1:47">
      <c r="A93" s="100">
        <v>10009211</v>
      </c>
      <c r="B93" s="101">
        <v>110</v>
      </c>
      <c r="C93" s="102">
        <v>1</v>
      </c>
      <c r="D93" s="103" t="s">
        <v>318</v>
      </c>
      <c r="F93" s="103" t="s">
        <v>49</v>
      </c>
      <c r="G93" s="103">
        <v>1</v>
      </c>
      <c r="H93" s="103">
        <v>2</v>
      </c>
      <c r="I93" s="104" t="s">
        <v>86</v>
      </c>
      <c r="J93" s="102" t="s">
        <v>246</v>
      </c>
      <c r="K93" s="102">
        <v>17</v>
      </c>
      <c r="L93" s="103">
        <v>-1</v>
      </c>
      <c r="M93" s="104">
        <v>28</v>
      </c>
      <c r="N93" s="102">
        <v>22</v>
      </c>
      <c r="O93" s="102">
        <v>70</v>
      </c>
      <c r="P93" s="102">
        <v>54</v>
      </c>
      <c r="Q93" s="104">
        <f>_xlfn.FLOOR.MATH(25+0.3*B93)</f>
        <v>58</v>
      </c>
      <c r="R93" s="102">
        <f>_xlfn.FLOOR.MATH(6+0.1*B93)</f>
        <v>17</v>
      </c>
      <c r="S93" s="102">
        <f>_xlfn.FLOOR.MATH(37+0.4*B93)</f>
        <v>81</v>
      </c>
      <c r="T93" s="105">
        <f>_xlfn.FLOOR.MATH(30+0.52*B93)</f>
        <v>87</v>
      </c>
      <c r="U93" s="102">
        <v>20</v>
      </c>
      <c r="V93" s="102">
        <v>37</v>
      </c>
      <c r="W93" s="106" t="s">
        <v>115</v>
      </c>
      <c r="X93" s="106" t="s">
        <v>319</v>
      </c>
      <c r="Y93" s="102" t="s">
        <v>241</v>
      </c>
      <c r="Z93" s="102" t="s">
        <v>128</v>
      </c>
      <c r="AA93" s="104">
        <v>0</v>
      </c>
      <c r="AB93" s="105">
        <v>0</v>
      </c>
      <c r="AC93" s="104">
        <v>2</v>
      </c>
      <c r="AD93" s="123" t="s">
        <v>316</v>
      </c>
      <c r="AE93" s="104">
        <v>15</v>
      </c>
      <c r="AF93" s="105">
        <v>25</v>
      </c>
      <c r="AG93" s="104">
        <v>0.48</v>
      </c>
      <c r="AH93" s="102">
        <v>0.9</v>
      </c>
      <c r="AI93" s="105">
        <v>0.4</v>
      </c>
      <c r="AJ93" s="104">
        <v>2</v>
      </c>
      <c r="AK93" s="102">
        <v>4</v>
      </c>
      <c r="AL93" s="102">
        <v>3</v>
      </c>
      <c r="AM93" s="105">
        <v>0</v>
      </c>
      <c r="AN93" s="104">
        <v>0</v>
      </c>
      <c r="AO93" s="102">
        <v>20</v>
      </c>
      <c r="AP93" s="102">
        <v>7</v>
      </c>
      <c r="AQ93" s="105">
        <v>5</v>
      </c>
      <c r="AU93" s="125" t="str">
        <f>HYPERLINK("http://www.jianrmod.cn/data/shipGetInfo.html?type=0&amp;cid=10009211","详细")</f>
        <v>详细</v>
      </c>
    </row>
    <row r="94" spans="1:47">
      <c r="A94" s="100">
        <v>10009311</v>
      </c>
      <c r="B94" s="101">
        <v>110</v>
      </c>
      <c r="C94" s="102">
        <v>2</v>
      </c>
      <c r="D94" s="103" t="s">
        <v>320</v>
      </c>
      <c r="F94" s="103" t="s">
        <v>49</v>
      </c>
      <c r="G94" s="103">
        <v>1</v>
      </c>
      <c r="H94" s="103">
        <v>2</v>
      </c>
      <c r="I94" s="104" t="s">
        <v>86</v>
      </c>
      <c r="J94" s="102" t="s">
        <v>246</v>
      </c>
      <c r="K94" s="102">
        <v>20</v>
      </c>
      <c r="L94" s="103">
        <v>0</v>
      </c>
      <c r="M94" s="104">
        <v>30</v>
      </c>
      <c r="N94" s="102">
        <v>23</v>
      </c>
      <c r="O94" s="102">
        <v>70</v>
      </c>
      <c r="P94" s="102">
        <v>58</v>
      </c>
      <c r="Q94" s="104">
        <f>_xlfn.FLOOR.MATH(30+0.3*B94)</f>
        <v>63</v>
      </c>
      <c r="R94" s="102">
        <f>_xlfn.FLOOR.MATH(6+0.1*B94)</f>
        <v>17</v>
      </c>
      <c r="S94" s="102">
        <f>_xlfn.FLOOR.MATH(32+0.4*B94)</f>
        <v>76</v>
      </c>
      <c r="T94" s="105">
        <f>_xlfn.FLOOR.MATH(30+0.52*B94)</f>
        <v>87</v>
      </c>
      <c r="U94" s="102">
        <v>20</v>
      </c>
      <c r="V94" s="102">
        <v>35</v>
      </c>
      <c r="W94" s="106" t="s">
        <v>115</v>
      </c>
      <c r="X94" s="106" t="s">
        <v>319</v>
      </c>
      <c r="Y94" s="102" t="s">
        <v>241</v>
      </c>
      <c r="Z94" s="102" t="s">
        <v>128</v>
      </c>
      <c r="AA94" s="104">
        <v>0</v>
      </c>
      <c r="AB94" s="105">
        <v>0</v>
      </c>
      <c r="AC94" s="104">
        <v>2</v>
      </c>
      <c r="AD94" s="123" t="s">
        <v>321</v>
      </c>
      <c r="AE94" s="104">
        <v>15</v>
      </c>
      <c r="AF94" s="105">
        <v>25</v>
      </c>
      <c r="AG94" s="104">
        <v>0.48</v>
      </c>
      <c r="AH94" s="102">
        <v>0.9</v>
      </c>
      <c r="AI94" s="105">
        <v>0.4</v>
      </c>
      <c r="AJ94" s="104">
        <v>2</v>
      </c>
      <c r="AK94" s="102">
        <v>4</v>
      </c>
      <c r="AL94" s="102">
        <v>3</v>
      </c>
      <c r="AM94" s="105">
        <v>0</v>
      </c>
      <c r="AN94" s="104">
        <v>0</v>
      </c>
      <c r="AO94" s="102">
        <v>20</v>
      </c>
      <c r="AP94" s="102">
        <v>8</v>
      </c>
      <c r="AQ94" s="105">
        <v>5</v>
      </c>
      <c r="AU94" s="125" t="str">
        <f>HYPERLINK("http://www.jianrmod.cn/data/shipGetInfo.html?type=0&amp;cid=10009311","详细")</f>
        <v>详细</v>
      </c>
    </row>
    <row r="95" spans="1:47">
      <c r="A95" s="100">
        <v>10009411</v>
      </c>
      <c r="B95" s="101">
        <v>110</v>
      </c>
      <c r="C95" s="102">
        <v>2</v>
      </c>
      <c r="D95" s="103" t="s">
        <v>322</v>
      </c>
      <c r="F95" s="103" t="s">
        <v>49</v>
      </c>
      <c r="G95" s="103">
        <v>1</v>
      </c>
      <c r="H95" s="103">
        <v>2</v>
      </c>
      <c r="I95" s="104" t="s">
        <v>86</v>
      </c>
      <c r="J95" s="102" t="s">
        <v>246</v>
      </c>
      <c r="K95" s="102">
        <v>20</v>
      </c>
      <c r="L95" s="103">
        <v>0</v>
      </c>
      <c r="M95" s="104">
        <v>30</v>
      </c>
      <c r="N95" s="102">
        <v>23</v>
      </c>
      <c r="O95" s="102">
        <v>70</v>
      </c>
      <c r="P95" s="102">
        <v>58</v>
      </c>
      <c r="Q95" s="104">
        <f>_xlfn.FLOOR.MATH(30+0.3*B95)</f>
        <v>63</v>
      </c>
      <c r="R95" s="102">
        <f>_xlfn.FLOOR.MATH(6+0.1*B95)</f>
        <v>17</v>
      </c>
      <c r="S95" s="102">
        <f>_xlfn.FLOOR.MATH(32+0.4*B95)</f>
        <v>76</v>
      </c>
      <c r="T95" s="105">
        <f>_xlfn.FLOOR.MATH(30+0.52*B95)</f>
        <v>87</v>
      </c>
      <c r="U95" s="102">
        <v>25</v>
      </c>
      <c r="V95" s="102">
        <v>35</v>
      </c>
      <c r="W95" s="106" t="s">
        <v>115</v>
      </c>
      <c r="Y95" s="102" t="s">
        <v>241</v>
      </c>
      <c r="Z95" s="102" t="s">
        <v>128</v>
      </c>
      <c r="AA95" s="104">
        <v>0</v>
      </c>
      <c r="AB95" s="105">
        <v>0</v>
      </c>
      <c r="AC95" s="104">
        <v>2</v>
      </c>
      <c r="AD95" s="123" t="s">
        <v>223</v>
      </c>
      <c r="AE95" s="104">
        <v>15</v>
      </c>
      <c r="AF95" s="105">
        <v>25</v>
      </c>
      <c r="AG95" s="104">
        <v>0.48</v>
      </c>
      <c r="AH95" s="102">
        <v>0.9</v>
      </c>
      <c r="AI95" s="105">
        <v>0.4</v>
      </c>
      <c r="AJ95" s="104">
        <v>2</v>
      </c>
      <c r="AK95" s="102">
        <v>4</v>
      </c>
      <c r="AL95" s="102">
        <v>3</v>
      </c>
      <c r="AM95" s="105">
        <v>0</v>
      </c>
      <c r="AN95" s="104">
        <v>0</v>
      </c>
      <c r="AO95" s="102">
        <v>20</v>
      </c>
      <c r="AP95" s="102">
        <v>8</v>
      </c>
      <c r="AQ95" s="105">
        <v>5</v>
      </c>
      <c r="AU95" s="125" t="str">
        <f>HYPERLINK("http://www.jianrmod.cn/data/shipGetInfo.html?type=0&amp;cid=10009411","详细")</f>
        <v>详细</v>
      </c>
    </row>
    <row r="96" spans="1:47">
      <c r="A96" s="100">
        <v>10009511</v>
      </c>
      <c r="B96" s="101">
        <v>110</v>
      </c>
      <c r="C96" s="102">
        <v>2</v>
      </c>
      <c r="D96" s="103" t="s">
        <v>323</v>
      </c>
      <c r="F96" s="103" t="s">
        <v>49</v>
      </c>
      <c r="G96" s="103">
        <v>1</v>
      </c>
      <c r="H96" s="103">
        <v>2</v>
      </c>
      <c r="I96" s="104" t="s">
        <v>86</v>
      </c>
      <c r="J96" s="102" t="s">
        <v>246</v>
      </c>
      <c r="K96" s="102">
        <v>20</v>
      </c>
      <c r="L96" s="103">
        <v>0</v>
      </c>
      <c r="M96" s="104">
        <v>30</v>
      </c>
      <c r="N96" s="102">
        <v>23</v>
      </c>
      <c r="O96" s="102">
        <v>70</v>
      </c>
      <c r="P96" s="102">
        <v>58</v>
      </c>
      <c r="Q96" s="104">
        <f>_xlfn.FLOOR.MATH(30+0.3*B96)</f>
        <v>63</v>
      </c>
      <c r="R96" s="102">
        <f>_xlfn.FLOOR.MATH(6+0.1*B96)</f>
        <v>17</v>
      </c>
      <c r="S96" s="102">
        <f>_xlfn.FLOOR.MATH(32+0.4*B96)</f>
        <v>76</v>
      </c>
      <c r="T96" s="105">
        <f>_xlfn.FLOOR.MATH(30+0.52*B96)</f>
        <v>87</v>
      </c>
      <c r="U96" s="102">
        <v>22</v>
      </c>
      <c r="V96" s="102">
        <v>35</v>
      </c>
      <c r="W96" s="106" t="s">
        <v>115</v>
      </c>
      <c r="Y96" s="102" t="s">
        <v>241</v>
      </c>
      <c r="Z96" s="102" t="s">
        <v>128</v>
      </c>
      <c r="AA96" s="104">
        <v>0</v>
      </c>
      <c r="AB96" s="105">
        <v>0</v>
      </c>
      <c r="AC96" s="104">
        <v>2</v>
      </c>
      <c r="AD96" s="123" t="s">
        <v>223</v>
      </c>
      <c r="AE96" s="104">
        <v>15</v>
      </c>
      <c r="AF96" s="105">
        <v>25</v>
      </c>
      <c r="AG96" s="104">
        <v>0.48</v>
      </c>
      <c r="AH96" s="102">
        <v>0.9</v>
      </c>
      <c r="AI96" s="105">
        <v>0.4</v>
      </c>
      <c r="AJ96" s="104">
        <v>2</v>
      </c>
      <c r="AK96" s="102">
        <v>4</v>
      </c>
      <c r="AL96" s="102">
        <v>3</v>
      </c>
      <c r="AM96" s="105">
        <v>0</v>
      </c>
      <c r="AN96" s="104">
        <v>0</v>
      </c>
      <c r="AO96" s="102">
        <v>20</v>
      </c>
      <c r="AP96" s="102">
        <v>8</v>
      </c>
      <c r="AQ96" s="105">
        <v>5</v>
      </c>
      <c r="AU96" s="125" t="str">
        <f>HYPERLINK("http://www.jianrmod.cn/data/shipGetInfo.html?type=0&amp;cid=10009511","详细")</f>
        <v>详细</v>
      </c>
    </row>
    <row r="97" spans="1:47">
      <c r="A97" s="100">
        <v>10009611</v>
      </c>
      <c r="B97" s="101">
        <v>110</v>
      </c>
      <c r="C97" s="102">
        <v>2</v>
      </c>
      <c r="D97" s="103" t="s">
        <v>324</v>
      </c>
      <c r="F97" s="103" t="s">
        <v>49</v>
      </c>
      <c r="G97" s="103">
        <v>1</v>
      </c>
      <c r="H97" s="103">
        <v>2</v>
      </c>
      <c r="I97" s="104" t="s">
        <v>86</v>
      </c>
      <c r="J97" s="102" t="s">
        <v>246</v>
      </c>
      <c r="K97" s="102">
        <v>20</v>
      </c>
      <c r="L97" s="103">
        <v>0</v>
      </c>
      <c r="M97" s="104">
        <v>30</v>
      </c>
      <c r="N97" s="102">
        <v>23</v>
      </c>
      <c r="O97" s="102">
        <v>70</v>
      </c>
      <c r="P97" s="102">
        <v>58</v>
      </c>
      <c r="Q97" s="104">
        <f>_xlfn.FLOOR.MATH(30+0.3*B97)</f>
        <v>63</v>
      </c>
      <c r="R97" s="102">
        <f>_xlfn.FLOOR.MATH(6+0.1*B97)</f>
        <v>17</v>
      </c>
      <c r="S97" s="102">
        <f>_xlfn.FLOOR.MATH(32+0.4*B97)</f>
        <v>76</v>
      </c>
      <c r="T97" s="105">
        <f>_xlfn.FLOOR.MATH(30+0.52*B97)</f>
        <v>87</v>
      </c>
      <c r="U97" s="102">
        <v>23</v>
      </c>
      <c r="V97" s="102">
        <v>35</v>
      </c>
      <c r="W97" s="106" t="s">
        <v>115</v>
      </c>
      <c r="Y97" s="102" t="s">
        <v>241</v>
      </c>
      <c r="Z97" s="102" t="s">
        <v>128</v>
      </c>
      <c r="AA97" s="104">
        <v>0</v>
      </c>
      <c r="AB97" s="105">
        <v>0</v>
      </c>
      <c r="AC97" s="104">
        <v>2</v>
      </c>
      <c r="AD97" s="123" t="s">
        <v>223</v>
      </c>
      <c r="AE97" s="104">
        <v>15</v>
      </c>
      <c r="AF97" s="105">
        <v>25</v>
      </c>
      <c r="AG97" s="104">
        <v>0.48</v>
      </c>
      <c r="AH97" s="102">
        <v>0.9</v>
      </c>
      <c r="AI97" s="105">
        <v>0.4</v>
      </c>
      <c r="AJ97" s="104">
        <v>2</v>
      </c>
      <c r="AK97" s="102">
        <v>4</v>
      </c>
      <c r="AL97" s="102">
        <v>3</v>
      </c>
      <c r="AM97" s="105">
        <v>0</v>
      </c>
      <c r="AN97" s="104">
        <v>0</v>
      </c>
      <c r="AO97" s="102">
        <v>20</v>
      </c>
      <c r="AP97" s="102">
        <v>8</v>
      </c>
      <c r="AQ97" s="105">
        <v>5</v>
      </c>
      <c r="AU97" s="125" t="str">
        <f>HYPERLINK("http://www.jianrmod.cn/data/shipGetInfo.html?type=0&amp;cid=10009611","详细")</f>
        <v>详细</v>
      </c>
    </row>
    <row r="98" spans="1:47">
      <c r="A98" s="100">
        <v>10009711</v>
      </c>
      <c r="B98" s="101">
        <v>110</v>
      </c>
      <c r="C98" s="102">
        <v>4</v>
      </c>
      <c r="D98" s="103" t="s">
        <v>325</v>
      </c>
      <c r="F98" s="103" t="s">
        <v>49</v>
      </c>
      <c r="G98" s="103">
        <v>1</v>
      </c>
      <c r="H98" s="103">
        <v>2</v>
      </c>
      <c r="I98" s="104" t="s">
        <v>326</v>
      </c>
      <c r="J98" s="102" t="s">
        <v>246</v>
      </c>
      <c r="K98" s="102">
        <v>18</v>
      </c>
      <c r="L98" s="103">
        <v>2</v>
      </c>
      <c r="M98" s="104">
        <v>32</v>
      </c>
      <c r="N98" s="102">
        <v>23</v>
      </c>
      <c r="O98" s="102">
        <v>62</v>
      </c>
      <c r="P98" s="102">
        <v>50</v>
      </c>
      <c r="Q98" s="104">
        <f>_xlfn.FLOOR.MATH(24+0.3*B98)</f>
        <v>57</v>
      </c>
      <c r="R98" s="102">
        <f>_xlfn.FLOOR.MATH(5+0.1*B98)</f>
        <v>16</v>
      </c>
      <c r="S98" s="102">
        <f>_xlfn.FLOOR.MATH(39+0.4*B98)</f>
        <v>83</v>
      </c>
      <c r="T98" s="105">
        <f>_xlfn.FLOOR.MATH(31+0.52*B98)</f>
        <v>88</v>
      </c>
      <c r="U98" s="102">
        <v>25</v>
      </c>
      <c r="V98" s="102">
        <v>39</v>
      </c>
      <c r="W98" s="106" t="s">
        <v>115</v>
      </c>
      <c r="X98" s="106" t="s">
        <v>327</v>
      </c>
      <c r="Y98" s="102" t="s">
        <v>241</v>
      </c>
      <c r="Z98" s="102" t="s">
        <v>128</v>
      </c>
      <c r="AA98" s="104">
        <v>0</v>
      </c>
      <c r="AB98" s="105">
        <v>0</v>
      </c>
      <c r="AC98" s="104">
        <v>2</v>
      </c>
      <c r="AD98" s="123" t="s">
        <v>328</v>
      </c>
      <c r="AE98" s="104">
        <v>10</v>
      </c>
      <c r="AF98" s="105">
        <v>15</v>
      </c>
      <c r="AG98" s="104">
        <v>0.48</v>
      </c>
      <c r="AH98" s="102">
        <v>0.9</v>
      </c>
      <c r="AI98" s="105">
        <v>0.5</v>
      </c>
      <c r="AJ98" s="104">
        <v>4</v>
      </c>
      <c r="AK98" s="102">
        <v>8</v>
      </c>
      <c r="AL98" s="102">
        <v>6</v>
      </c>
      <c r="AM98" s="105">
        <v>0</v>
      </c>
      <c r="AN98" s="104">
        <v>0</v>
      </c>
      <c r="AO98" s="102">
        <v>12</v>
      </c>
      <c r="AP98" s="102">
        <v>8</v>
      </c>
      <c r="AQ98" s="105">
        <v>0</v>
      </c>
      <c r="AU98" s="125" t="str">
        <f>HYPERLINK("http://www.jianrmod.cn/data/shipGetInfo.html?type=0&amp;cid=10009711","详细")</f>
        <v>详细</v>
      </c>
    </row>
    <row r="99" spans="1:47">
      <c r="A99" s="100">
        <v>10009811</v>
      </c>
      <c r="B99" s="101">
        <v>110</v>
      </c>
      <c r="C99" s="102">
        <v>1</v>
      </c>
      <c r="D99" s="103" t="s">
        <v>329</v>
      </c>
      <c r="F99" s="103" t="s">
        <v>49</v>
      </c>
      <c r="G99" s="103">
        <v>1</v>
      </c>
      <c r="H99" s="103">
        <v>2</v>
      </c>
      <c r="I99" s="104" t="s">
        <v>330</v>
      </c>
      <c r="J99" s="102" t="s">
        <v>246</v>
      </c>
      <c r="K99" s="102">
        <v>20</v>
      </c>
      <c r="L99" s="103">
        <v>0</v>
      </c>
      <c r="M99" s="104">
        <v>32</v>
      </c>
      <c r="N99" s="102">
        <v>20</v>
      </c>
      <c r="O99" s="102">
        <v>72</v>
      </c>
      <c r="P99" s="102">
        <v>40</v>
      </c>
      <c r="Q99" s="104">
        <f>_xlfn.FLOOR.MATH(30+0.3*B99)</f>
        <v>63</v>
      </c>
      <c r="R99" s="102">
        <f>_xlfn.FLOOR.MATH(6+0.1*B99)</f>
        <v>17</v>
      </c>
      <c r="S99" s="102">
        <f>_xlfn.FLOOR.MATH(40+0.4*B99)</f>
        <v>84</v>
      </c>
      <c r="T99" s="105">
        <f>_xlfn.FLOOR.MATH(30+0.52*B99)</f>
        <v>87</v>
      </c>
      <c r="U99" s="102">
        <v>10</v>
      </c>
      <c r="V99" s="102">
        <v>40</v>
      </c>
      <c r="W99" s="106" t="s">
        <v>115</v>
      </c>
      <c r="X99" s="106" t="s">
        <v>331</v>
      </c>
      <c r="Y99" s="102" t="s">
        <v>241</v>
      </c>
      <c r="Z99" s="102" t="s">
        <v>128</v>
      </c>
      <c r="AA99" s="104">
        <v>0</v>
      </c>
      <c r="AB99" s="105">
        <v>0</v>
      </c>
      <c r="AC99" s="104">
        <v>2</v>
      </c>
      <c r="AD99" s="123" t="s">
        <v>332</v>
      </c>
      <c r="AE99" s="104">
        <v>10</v>
      </c>
      <c r="AF99" s="105">
        <v>20</v>
      </c>
      <c r="AG99" s="104">
        <v>0.48</v>
      </c>
      <c r="AH99" s="102">
        <v>0.9</v>
      </c>
      <c r="AI99" s="105">
        <v>0.5</v>
      </c>
      <c r="AJ99" s="104">
        <v>2</v>
      </c>
      <c r="AK99" s="102">
        <v>4</v>
      </c>
      <c r="AL99" s="102">
        <v>3</v>
      </c>
      <c r="AM99" s="105">
        <v>0</v>
      </c>
      <c r="AN99" s="104">
        <v>0</v>
      </c>
      <c r="AO99" s="102">
        <v>22</v>
      </c>
      <c r="AP99" s="102">
        <v>5</v>
      </c>
      <c r="AQ99" s="105">
        <v>0</v>
      </c>
      <c r="AU99" s="125" t="str">
        <f>HYPERLINK("http://www.jianrmod.cn/data/shipGetInfo.html?type=0&amp;cid=10009811","详细")</f>
        <v>详细</v>
      </c>
    </row>
    <row r="100" spans="1:47">
      <c r="A100" s="100">
        <v>10009911</v>
      </c>
      <c r="B100" s="101">
        <v>110</v>
      </c>
      <c r="C100" s="102">
        <v>5</v>
      </c>
      <c r="D100" s="103" t="s">
        <v>333</v>
      </c>
      <c r="F100" s="103" t="s">
        <v>49</v>
      </c>
      <c r="G100" s="103">
        <v>2</v>
      </c>
      <c r="H100" s="103">
        <v>3</v>
      </c>
      <c r="I100" s="104" t="s">
        <v>330</v>
      </c>
      <c r="J100" s="102" t="s">
        <v>246</v>
      </c>
      <c r="K100" s="102">
        <v>22</v>
      </c>
      <c r="L100" s="103">
        <v>2</v>
      </c>
      <c r="M100" s="104">
        <v>32</v>
      </c>
      <c r="N100" s="102">
        <v>22</v>
      </c>
      <c r="O100" s="102">
        <v>75</v>
      </c>
      <c r="P100" s="102">
        <v>45</v>
      </c>
      <c r="Q100" s="104">
        <f>_xlfn.FLOOR.MATH(40+0.3*B100)</f>
        <v>73</v>
      </c>
      <c r="R100" s="102">
        <f>_xlfn.FLOOR.MATH(8+0.1*B100)</f>
        <v>19</v>
      </c>
      <c r="S100" s="102">
        <f>_xlfn.FLOOR.MATH(50+0.4*B100)</f>
        <v>94</v>
      </c>
      <c r="T100" s="105">
        <f>_xlfn.FLOOR.MATH(32+0.52*B100)</f>
        <v>89</v>
      </c>
      <c r="U100" s="102">
        <v>10</v>
      </c>
      <c r="V100" s="102">
        <v>42</v>
      </c>
      <c r="W100" s="106" t="s">
        <v>115</v>
      </c>
      <c r="X100" s="106" t="s">
        <v>334</v>
      </c>
      <c r="Y100" s="102" t="s">
        <v>241</v>
      </c>
      <c r="Z100" s="102" t="s">
        <v>128</v>
      </c>
      <c r="AA100" s="104">
        <v>0</v>
      </c>
      <c r="AB100" s="105">
        <v>0</v>
      </c>
      <c r="AC100" s="104">
        <v>2</v>
      </c>
      <c r="AD100" s="123" t="s">
        <v>335</v>
      </c>
      <c r="AE100" s="104">
        <v>20</v>
      </c>
      <c r="AF100" s="105">
        <v>25</v>
      </c>
      <c r="AG100" s="104">
        <v>0.64</v>
      </c>
      <c r="AH100" s="102">
        <v>1.2</v>
      </c>
      <c r="AI100" s="105">
        <v>0.5</v>
      </c>
      <c r="AJ100" s="104">
        <v>4</v>
      </c>
      <c r="AK100" s="102">
        <v>8</v>
      </c>
      <c r="AL100" s="102">
        <v>6</v>
      </c>
      <c r="AM100" s="105">
        <v>0</v>
      </c>
      <c r="AN100" s="104">
        <v>0</v>
      </c>
      <c r="AO100" s="102">
        <v>25</v>
      </c>
      <c r="AP100" s="102">
        <v>7</v>
      </c>
      <c r="AQ100" s="105">
        <v>0</v>
      </c>
      <c r="AT100" s="110">
        <v>0.0208333333333333</v>
      </c>
      <c r="AU100" s="125" t="str">
        <f>HYPERLINK("http://www.jianrmod.cn/data/shipGetInfo.html?type=0&amp;cid=10009911","详细")</f>
        <v>详细</v>
      </c>
    </row>
    <row r="101" ht="52.8" spans="1:47">
      <c r="A101" s="100">
        <v>10010013</v>
      </c>
      <c r="B101" s="101">
        <v>110</v>
      </c>
      <c r="C101" s="102">
        <v>6</v>
      </c>
      <c r="D101" s="103" t="s">
        <v>336</v>
      </c>
      <c r="F101" s="103" t="s">
        <v>49</v>
      </c>
      <c r="G101" s="103">
        <v>4</v>
      </c>
      <c r="H101" s="103">
        <v>4</v>
      </c>
      <c r="I101" s="104" t="s">
        <v>50</v>
      </c>
      <c r="J101" s="102" t="s">
        <v>61</v>
      </c>
      <c r="K101" s="102">
        <v>81</v>
      </c>
      <c r="L101" s="103">
        <v>-1</v>
      </c>
      <c r="M101" s="104">
        <v>110</v>
      </c>
      <c r="N101" s="102">
        <v>105</v>
      </c>
      <c r="O101" s="102">
        <v>0</v>
      </c>
      <c r="P101" s="102">
        <v>85</v>
      </c>
      <c r="Q101" s="104">
        <f>_xlfn.FLOOR.MATH(0+0*B101)</f>
        <v>0</v>
      </c>
      <c r="R101" s="102">
        <f>_xlfn.FLOOR.MATH(15+0.25*B101)</f>
        <v>42</v>
      </c>
      <c r="S101" s="102">
        <f>_xlfn.FLOOR.MATH(28+0.2*B101)</f>
        <v>50</v>
      </c>
      <c r="T101" s="105">
        <f>_xlfn.FLOOR.MATH(41+0.51*B101)</f>
        <v>97</v>
      </c>
      <c r="U101" s="102">
        <v>10</v>
      </c>
      <c r="V101" s="102">
        <v>28.25</v>
      </c>
      <c r="W101" s="106" t="s">
        <v>52</v>
      </c>
      <c r="Y101" s="102" t="s">
        <v>54</v>
      </c>
      <c r="Z101" s="102" t="s">
        <v>55</v>
      </c>
      <c r="AA101" s="104" t="s">
        <v>337</v>
      </c>
      <c r="AB101" s="105">
        <v>8</v>
      </c>
      <c r="AC101" s="104">
        <v>4</v>
      </c>
      <c r="AD101" s="123" t="s">
        <v>338</v>
      </c>
      <c r="AE101" s="104">
        <v>125</v>
      </c>
      <c r="AF101" s="105">
        <v>175</v>
      </c>
      <c r="AG101" s="104">
        <v>4.8</v>
      </c>
      <c r="AH101" s="102">
        <v>9</v>
      </c>
      <c r="AI101" s="105">
        <v>1</v>
      </c>
      <c r="AJ101" s="104">
        <v>50</v>
      </c>
      <c r="AK101" s="102">
        <v>60</v>
      </c>
      <c r="AL101" s="102">
        <v>60</v>
      </c>
      <c r="AM101" s="105">
        <v>0</v>
      </c>
      <c r="AN101" s="104">
        <v>91</v>
      </c>
      <c r="AO101" s="102">
        <v>0</v>
      </c>
      <c r="AP101" s="102">
        <v>80</v>
      </c>
      <c r="AQ101" s="105">
        <v>47</v>
      </c>
      <c r="AR101" s="108" t="s">
        <v>339</v>
      </c>
      <c r="AT101" s="110">
        <v>0.25</v>
      </c>
      <c r="AU101" s="125"/>
    </row>
    <row r="102" spans="1:47">
      <c r="A102" s="100">
        <v>10010113</v>
      </c>
      <c r="B102" s="101">
        <v>110</v>
      </c>
      <c r="C102" s="102">
        <v>4</v>
      </c>
      <c r="D102" s="103" t="s">
        <v>340</v>
      </c>
      <c r="E102" s="103" t="s">
        <v>341</v>
      </c>
      <c r="F102" s="103" t="s">
        <v>49</v>
      </c>
      <c r="G102" s="103">
        <v>3</v>
      </c>
      <c r="H102" s="103">
        <v>3</v>
      </c>
      <c r="I102" s="104" t="s">
        <v>60</v>
      </c>
      <c r="J102" s="102" t="s">
        <v>61</v>
      </c>
      <c r="K102" s="102">
        <v>76</v>
      </c>
      <c r="L102" s="103">
        <v>0</v>
      </c>
      <c r="M102" s="104">
        <v>100</v>
      </c>
      <c r="N102" s="102">
        <v>90</v>
      </c>
      <c r="O102" s="102">
        <v>0</v>
      </c>
      <c r="P102" s="102">
        <v>58</v>
      </c>
      <c r="Q102" s="104">
        <f>_xlfn.FLOOR.MATH(0+0*B102)</f>
        <v>0</v>
      </c>
      <c r="R102" s="102">
        <f>_xlfn.FLOOR.MATH(17+0.25*B102)</f>
        <v>44</v>
      </c>
      <c r="S102" s="102">
        <f>_xlfn.FLOOR.MATH(25+0.2*B102)</f>
        <v>47</v>
      </c>
      <c r="T102" s="105">
        <f>_xlfn.FLOOR.MATH(39+0.51*B102)</f>
        <v>95</v>
      </c>
      <c r="U102" s="102">
        <v>21</v>
      </c>
      <c r="V102" s="102">
        <v>25</v>
      </c>
      <c r="W102" s="106" t="s">
        <v>52</v>
      </c>
      <c r="X102" s="106" t="s">
        <v>342</v>
      </c>
      <c r="Y102" s="102" t="s">
        <v>54</v>
      </c>
      <c r="Z102" s="102" t="s">
        <v>55</v>
      </c>
      <c r="AA102" s="104" t="s">
        <v>56</v>
      </c>
      <c r="AB102" s="105">
        <v>12</v>
      </c>
      <c r="AC102" s="104">
        <v>4</v>
      </c>
      <c r="AD102" s="123" t="s">
        <v>343</v>
      </c>
      <c r="AE102" s="104">
        <v>95</v>
      </c>
      <c r="AF102" s="105">
        <v>130</v>
      </c>
      <c r="AG102" s="104">
        <v>3.2</v>
      </c>
      <c r="AH102" s="102">
        <v>6</v>
      </c>
      <c r="AI102" s="105">
        <v>1</v>
      </c>
      <c r="AJ102" s="104">
        <v>50</v>
      </c>
      <c r="AK102" s="102">
        <v>60</v>
      </c>
      <c r="AL102" s="102">
        <v>60</v>
      </c>
      <c r="AM102" s="105">
        <v>0</v>
      </c>
      <c r="AN102" s="104">
        <v>80</v>
      </c>
      <c r="AO102" s="102">
        <v>0</v>
      </c>
      <c r="AP102" s="102">
        <v>70</v>
      </c>
      <c r="AQ102" s="105">
        <v>14</v>
      </c>
      <c r="AU102" s="125" t="str">
        <f>HYPERLINK("http://www.jianrmod.cn/data/shipGetInfo.html?type=0&amp;cid=10010113","详细")</f>
        <v>详细</v>
      </c>
    </row>
    <row r="103" spans="1:47">
      <c r="A103" s="100">
        <v>10010213</v>
      </c>
      <c r="B103" s="101">
        <v>110</v>
      </c>
      <c r="C103" s="102">
        <v>4</v>
      </c>
      <c r="D103" s="103" t="s">
        <v>344</v>
      </c>
      <c r="E103" s="103" t="s">
        <v>345</v>
      </c>
      <c r="F103" s="103" t="s">
        <v>49</v>
      </c>
      <c r="G103" s="103">
        <v>3</v>
      </c>
      <c r="H103" s="103">
        <v>3</v>
      </c>
      <c r="I103" s="104" t="s">
        <v>60</v>
      </c>
      <c r="J103" s="102" t="s">
        <v>61</v>
      </c>
      <c r="K103" s="102">
        <v>76</v>
      </c>
      <c r="L103" s="103">
        <v>0</v>
      </c>
      <c r="M103" s="104">
        <v>100</v>
      </c>
      <c r="N103" s="102">
        <v>90</v>
      </c>
      <c r="O103" s="102">
        <v>0</v>
      </c>
      <c r="P103" s="102">
        <v>58</v>
      </c>
      <c r="Q103" s="104">
        <f>_xlfn.FLOOR.MATH(0+0*B103)</f>
        <v>0</v>
      </c>
      <c r="R103" s="102">
        <f>_xlfn.FLOOR.MATH(17+0.25*B103)</f>
        <v>44</v>
      </c>
      <c r="S103" s="102">
        <f>_xlfn.FLOOR.MATH(25+0.2*B103)</f>
        <v>47</v>
      </c>
      <c r="T103" s="105">
        <f>_xlfn.FLOOR.MATH(39+0.51*B103)</f>
        <v>95</v>
      </c>
      <c r="U103" s="102">
        <v>5</v>
      </c>
      <c r="V103" s="102">
        <v>25</v>
      </c>
      <c r="W103" s="106" t="s">
        <v>52</v>
      </c>
      <c r="Y103" s="102" t="s">
        <v>54</v>
      </c>
      <c r="Z103" s="102" t="s">
        <v>55</v>
      </c>
      <c r="AA103" s="104" t="s">
        <v>56</v>
      </c>
      <c r="AB103" s="105">
        <v>12</v>
      </c>
      <c r="AC103" s="104">
        <v>4</v>
      </c>
      <c r="AD103" s="123" t="s">
        <v>346</v>
      </c>
      <c r="AE103" s="104">
        <v>95</v>
      </c>
      <c r="AF103" s="105">
        <v>130</v>
      </c>
      <c r="AG103" s="104">
        <v>3.2</v>
      </c>
      <c r="AH103" s="102">
        <v>6</v>
      </c>
      <c r="AI103" s="105">
        <v>1</v>
      </c>
      <c r="AJ103" s="104">
        <v>50</v>
      </c>
      <c r="AK103" s="102">
        <v>60</v>
      </c>
      <c r="AL103" s="102">
        <v>60</v>
      </c>
      <c r="AM103" s="105">
        <v>0</v>
      </c>
      <c r="AN103" s="104">
        <v>80</v>
      </c>
      <c r="AO103" s="102">
        <v>0</v>
      </c>
      <c r="AP103" s="102">
        <v>70</v>
      </c>
      <c r="AQ103" s="105">
        <v>14</v>
      </c>
      <c r="AU103" s="125" t="str">
        <f>HYPERLINK("http://www.jianrmod.cn/data/shipGetInfo.html?type=0&amp;cid=10010213","详细")</f>
        <v>详细</v>
      </c>
    </row>
    <row r="104" spans="1:47">
      <c r="A104" s="100">
        <v>10010313</v>
      </c>
      <c r="B104" s="101">
        <v>110</v>
      </c>
      <c r="C104" s="102">
        <v>3</v>
      </c>
      <c r="D104" s="103" t="s">
        <v>347</v>
      </c>
      <c r="F104" s="103" t="s">
        <v>49</v>
      </c>
      <c r="G104" s="103">
        <v>2</v>
      </c>
      <c r="H104" s="103">
        <v>2</v>
      </c>
      <c r="I104" s="104" t="s">
        <v>50</v>
      </c>
      <c r="J104" s="102" t="s">
        <v>61</v>
      </c>
      <c r="K104" s="102">
        <v>68</v>
      </c>
      <c r="L104" s="103">
        <v>0</v>
      </c>
      <c r="M104" s="104">
        <v>88</v>
      </c>
      <c r="N104" s="102">
        <v>86</v>
      </c>
      <c r="O104" s="102">
        <v>0</v>
      </c>
      <c r="P104" s="102">
        <v>60</v>
      </c>
      <c r="Q104" s="104">
        <f>_xlfn.FLOOR.MATH(0+0*B104)</f>
        <v>0</v>
      </c>
      <c r="R104" s="102">
        <f>_xlfn.FLOOR.MATH(10+0.25*B104)</f>
        <v>37</v>
      </c>
      <c r="S104" s="102">
        <f>_xlfn.FLOOR.MATH(15+0.2*B104)</f>
        <v>37</v>
      </c>
      <c r="T104" s="105">
        <f>_xlfn.FLOOR.MATH(38+0.51*B104)</f>
        <v>94</v>
      </c>
      <c r="U104" s="102">
        <v>5</v>
      </c>
      <c r="V104" s="102">
        <v>21</v>
      </c>
      <c r="W104" s="106" t="s">
        <v>52</v>
      </c>
      <c r="Y104" s="102" t="s">
        <v>54</v>
      </c>
      <c r="Z104" s="102" t="s">
        <v>55</v>
      </c>
      <c r="AA104" s="104">
        <v>0</v>
      </c>
      <c r="AB104" s="105">
        <v>0</v>
      </c>
      <c r="AC104" s="104">
        <v>4</v>
      </c>
      <c r="AD104" s="123" t="s">
        <v>242</v>
      </c>
      <c r="AE104" s="104">
        <v>80</v>
      </c>
      <c r="AF104" s="105">
        <v>125</v>
      </c>
      <c r="AG104" s="104">
        <v>2.5</v>
      </c>
      <c r="AH104" s="102">
        <v>5.1</v>
      </c>
      <c r="AI104" s="105">
        <v>1</v>
      </c>
      <c r="AJ104" s="104">
        <v>50</v>
      </c>
      <c r="AK104" s="102">
        <v>60</v>
      </c>
      <c r="AL104" s="102">
        <v>60</v>
      </c>
      <c r="AM104" s="105">
        <v>0</v>
      </c>
      <c r="AN104" s="104">
        <v>73</v>
      </c>
      <c r="AO104" s="102">
        <v>0</v>
      </c>
      <c r="AP104" s="102">
        <v>66</v>
      </c>
      <c r="AQ104" s="105">
        <v>15</v>
      </c>
      <c r="AU104" s="125" t="str">
        <f>HYPERLINK("http://www.jianrmod.cn/data/shipGetInfo.html?type=0&amp;cid=10010313","详细")</f>
        <v>详细</v>
      </c>
    </row>
    <row r="105" spans="1:47">
      <c r="A105" s="100">
        <v>10010413</v>
      </c>
      <c r="B105" s="101">
        <v>110</v>
      </c>
      <c r="C105" s="102">
        <v>4</v>
      </c>
      <c r="D105" s="103" t="s">
        <v>348</v>
      </c>
      <c r="F105" s="103" t="s">
        <v>49</v>
      </c>
      <c r="G105" s="103">
        <v>2</v>
      </c>
      <c r="H105" s="103">
        <v>2</v>
      </c>
      <c r="I105" s="104" t="s">
        <v>50</v>
      </c>
      <c r="J105" s="102" t="s">
        <v>61</v>
      </c>
      <c r="K105" s="102">
        <v>69</v>
      </c>
      <c r="L105" s="103">
        <v>-1</v>
      </c>
      <c r="M105" s="104">
        <v>89</v>
      </c>
      <c r="N105" s="102">
        <v>87</v>
      </c>
      <c r="O105" s="102">
        <v>0</v>
      </c>
      <c r="P105" s="102">
        <v>75</v>
      </c>
      <c r="Q105" s="104">
        <f>_xlfn.FLOOR.MATH(0+0*B105)</f>
        <v>0</v>
      </c>
      <c r="R105" s="102">
        <f>_xlfn.FLOOR.MATH(12+0.25*B105)</f>
        <v>39</v>
      </c>
      <c r="S105" s="102">
        <f>_xlfn.FLOOR.MATH(18+0.2*B105)</f>
        <v>40</v>
      </c>
      <c r="T105" s="105">
        <f>_xlfn.FLOOR.MATH(39+0.51*B105)</f>
        <v>95</v>
      </c>
      <c r="U105" s="102">
        <v>33</v>
      </c>
      <c r="V105" s="102">
        <v>24.5</v>
      </c>
      <c r="W105" s="106" t="s">
        <v>52</v>
      </c>
      <c r="Y105" s="102" t="s">
        <v>54</v>
      </c>
      <c r="Z105" s="102" t="s">
        <v>55</v>
      </c>
      <c r="AA105" s="104" t="s">
        <v>56</v>
      </c>
      <c r="AB105" s="105">
        <v>12</v>
      </c>
      <c r="AC105" s="104">
        <v>4</v>
      </c>
      <c r="AD105" s="123" t="s">
        <v>349</v>
      </c>
      <c r="AE105" s="104">
        <v>80</v>
      </c>
      <c r="AF105" s="105">
        <v>125</v>
      </c>
      <c r="AG105" s="104">
        <v>2.5</v>
      </c>
      <c r="AH105" s="102">
        <v>5.1</v>
      </c>
      <c r="AI105" s="105">
        <v>1</v>
      </c>
      <c r="AJ105" s="104">
        <v>50</v>
      </c>
      <c r="AK105" s="102">
        <v>60</v>
      </c>
      <c r="AL105" s="102">
        <v>60</v>
      </c>
      <c r="AM105" s="105">
        <v>0</v>
      </c>
      <c r="AN105" s="104">
        <v>74</v>
      </c>
      <c r="AO105" s="102">
        <v>0</v>
      </c>
      <c r="AP105" s="102">
        <v>67</v>
      </c>
      <c r="AQ105" s="105">
        <v>32</v>
      </c>
      <c r="AU105" s="125" t="str">
        <f>HYPERLINK("http://www.jianrmod.cn/data/shipGetInfo.html?type=0&amp;cid=10010413","详细")</f>
        <v>详细</v>
      </c>
    </row>
    <row r="106" spans="1:47">
      <c r="A106" s="100">
        <v>10010513</v>
      </c>
      <c r="B106" s="101">
        <v>110</v>
      </c>
      <c r="C106" s="102">
        <v>5</v>
      </c>
      <c r="D106" s="103" t="s">
        <v>350</v>
      </c>
      <c r="F106" s="103" t="s">
        <v>49</v>
      </c>
      <c r="G106" s="103">
        <v>3</v>
      </c>
      <c r="H106" s="103">
        <v>3</v>
      </c>
      <c r="I106" s="104" t="s">
        <v>50</v>
      </c>
      <c r="J106" s="102" t="s">
        <v>61</v>
      </c>
      <c r="K106" s="102">
        <v>85</v>
      </c>
      <c r="L106" s="103">
        <v>-1</v>
      </c>
      <c r="M106" s="104">
        <v>90</v>
      </c>
      <c r="N106" s="102">
        <v>96</v>
      </c>
      <c r="O106" s="102">
        <v>0</v>
      </c>
      <c r="P106" s="102">
        <v>105</v>
      </c>
      <c r="Q106" s="104">
        <f>_xlfn.FLOOR.MATH(0+0*B106)</f>
        <v>0</v>
      </c>
      <c r="R106" s="102">
        <f>_xlfn.FLOOR.MATH(18+0.25*B106)</f>
        <v>45</v>
      </c>
      <c r="S106" s="102">
        <f>_xlfn.FLOOR.MATH(27+0.2*B106)</f>
        <v>49</v>
      </c>
      <c r="T106" s="105">
        <f>_xlfn.FLOOR.MATH(40+0.51*B106)</f>
        <v>96</v>
      </c>
      <c r="U106" s="102">
        <v>15</v>
      </c>
      <c r="V106" s="102">
        <v>30</v>
      </c>
      <c r="W106" s="106" t="s">
        <v>52</v>
      </c>
      <c r="X106" s="106" t="s">
        <v>351</v>
      </c>
      <c r="Y106" s="102" t="s">
        <v>54</v>
      </c>
      <c r="Z106" s="102" t="s">
        <v>55</v>
      </c>
      <c r="AA106" s="104">
        <v>0</v>
      </c>
      <c r="AB106" s="105">
        <v>0</v>
      </c>
      <c r="AC106" s="104">
        <v>4</v>
      </c>
      <c r="AD106" s="123" t="s">
        <v>352</v>
      </c>
      <c r="AE106" s="104">
        <v>90</v>
      </c>
      <c r="AF106" s="105">
        <v>140</v>
      </c>
      <c r="AG106" s="104">
        <v>4.2</v>
      </c>
      <c r="AH106" s="102">
        <v>8</v>
      </c>
      <c r="AI106" s="105">
        <v>1</v>
      </c>
      <c r="AJ106" s="104">
        <v>50</v>
      </c>
      <c r="AK106" s="102">
        <v>60</v>
      </c>
      <c r="AL106" s="102">
        <v>60</v>
      </c>
      <c r="AM106" s="105">
        <v>0</v>
      </c>
      <c r="AN106" s="104">
        <v>75</v>
      </c>
      <c r="AO106" s="102">
        <v>0</v>
      </c>
      <c r="AP106" s="102">
        <v>76</v>
      </c>
      <c r="AQ106" s="105">
        <v>77</v>
      </c>
      <c r="AT106" s="110">
        <v>0.208333333333333</v>
      </c>
      <c r="AU106" s="125"/>
    </row>
    <row r="107" spans="1:47">
      <c r="A107" s="100">
        <v>10010613</v>
      </c>
      <c r="B107" s="101">
        <v>110</v>
      </c>
      <c r="C107" s="102">
        <v>3</v>
      </c>
      <c r="D107" s="103" t="s">
        <v>353</v>
      </c>
      <c r="F107" s="103" t="s">
        <v>49</v>
      </c>
      <c r="G107" s="103">
        <v>2</v>
      </c>
      <c r="H107" s="103">
        <v>2</v>
      </c>
      <c r="I107" s="104" t="s">
        <v>86</v>
      </c>
      <c r="J107" s="102" t="s">
        <v>61</v>
      </c>
      <c r="K107" s="102">
        <v>70</v>
      </c>
      <c r="L107" s="103">
        <v>2</v>
      </c>
      <c r="M107" s="104">
        <v>94</v>
      </c>
      <c r="N107" s="102">
        <v>90</v>
      </c>
      <c r="O107" s="102">
        <v>0</v>
      </c>
      <c r="P107" s="102">
        <v>63</v>
      </c>
      <c r="Q107" s="104">
        <f>_xlfn.FLOOR.MATH(0+0*B107)</f>
        <v>0</v>
      </c>
      <c r="R107" s="102">
        <f>_xlfn.FLOOR.MATH(12+0.25*B107)</f>
        <v>39</v>
      </c>
      <c r="S107" s="102">
        <f>_xlfn.FLOOR.MATH(15+0.2*B107)</f>
        <v>37</v>
      </c>
      <c r="T107" s="105">
        <f>_xlfn.FLOOR.MATH(38+0.51*B107)</f>
        <v>94</v>
      </c>
      <c r="U107" s="102">
        <v>28</v>
      </c>
      <c r="V107" s="102">
        <v>21</v>
      </c>
      <c r="W107" s="106" t="s">
        <v>52</v>
      </c>
      <c r="X107" s="106" t="s">
        <v>354</v>
      </c>
      <c r="Y107" s="102" t="s">
        <v>54</v>
      </c>
      <c r="Z107" s="102" t="s">
        <v>55</v>
      </c>
      <c r="AA107" s="104" t="s">
        <v>56</v>
      </c>
      <c r="AB107" s="105">
        <v>12</v>
      </c>
      <c r="AC107" s="104">
        <v>4</v>
      </c>
      <c r="AD107" s="123" t="s">
        <v>355</v>
      </c>
      <c r="AE107" s="104">
        <v>85</v>
      </c>
      <c r="AF107" s="105">
        <v>120</v>
      </c>
      <c r="AG107" s="104">
        <v>2.5</v>
      </c>
      <c r="AH107" s="102">
        <v>5.1</v>
      </c>
      <c r="AI107" s="105">
        <v>0.8</v>
      </c>
      <c r="AJ107" s="104">
        <v>50</v>
      </c>
      <c r="AK107" s="102">
        <v>60</v>
      </c>
      <c r="AL107" s="102">
        <v>60</v>
      </c>
      <c r="AM107" s="105">
        <v>0</v>
      </c>
      <c r="AN107" s="104">
        <v>74</v>
      </c>
      <c r="AO107" s="102">
        <v>0</v>
      </c>
      <c r="AP107" s="102">
        <v>70</v>
      </c>
      <c r="AQ107" s="105">
        <v>22</v>
      </c>
      <c r="AT107" s="110">
        <v>0.184027777777778</v>
      </c>
      <c r="AU107" s="125" t="str">
        <f>HYPERLINK("http://www.jianrmod.cn/data/shipGetInfo.html?type=0&amp;cid=10010613","详细")</f>
        <v>详细</v>
      </c>
    </row>
    <row r="108" spans="1:47">
      <c r="A108" s="100">
        <v>10010713</v>
      </c>
      <c r="B108" s="101">
        <v>110</v>
      </c>
      <c r="C108" s="102">
        <v>3</v>
      </c>
      <c r="D108" s="103" t="s">
        <v>356</v>
      </c>
      <c r="F108" s="103" t="s">
        <v>49</v>
      </c>
      <c r="G108" s="103">
        <v>2</v>
      </c>
      <c r="H108" s="103">
        <v>2</v>
      </c>
      <c r="I108" s="104" t="s">
        <v>86</v>
      </c>
      <c r="J108" s="102" t="s">
        <v>61</v>
      </c>
      <c r="K108" s="102">
        <v>70</v>
      </c>
      <c r="L108" s="103">
        <v>2</v>
      </c>
      <c r="M108" s="104">
        <v>94</v>
      </c>
      <c r="N108" s="102">
        <v>90</v>
      </c>
      <c r="O108" s="102">
        <v>0</v>
      </c>
      <c r="P108" s="102">
        <v>65</v>
      </c>
      <c r="Q108" s="104">
        <f>_xlfn.FLOOR.MATH(0+0*B108)</f>
        <v>0</v>
      </c>
      <c r="R108" s="102">
        <f>_xlfn.FLOOR.MATH(12+0.25*B108)</f>
        <v>39</v>
      </c>
      <c r="S108" s="102">
        <f>_xlfn.FLOOR.MATH(15+0.2*B108)</f>
        <v>37</v>
      </c>
      <c r="T108" s="105">
        <f>_xlfn.FLOOR.MATH(38+0.51*B108)</f>
        <v>94</v>
      </c>
      <c r="U108" s="102">
        <v>20</v>
      </c>
      <c r="V108" s="102">
        <v>21</v>
      </c>
      <c r="W108" s="106" t="s">
        <v>52</v>
      </c>
      <c r="X108" s="106" t="s">
        <v>354</v>
      </c>
      <c r="Y108" s="102" t="s">
        <v>54</v>
      </c>
      <c r="Z108" s="102" t="s">
        <v>55</v>
      </c>
      <c r="AA108" s="104" t="s">
        <v>56</v>
      </c>
      <c r="AB108" s="105">
        <v>12</v>
      </c>
      <c r="AC108" s="104">
        <v>4</v>
      </c>
      <c r="AD108" s="123" t="s">
        <v>357</v>
      </c>
      <c r="AE108" s="104">
        <v>85</v>
      </c>
      <c r="AF108" s="105">
        <v>120</v>
      </c>
      <c r="AG108" s="104">
        <v>2.5</v>
      </c>
      <c r="AH108" s="102">
        <v>5.1</v>
      </c>
      <c r="AI108" s="105">
        <v>0.8</v>
      </c>
      <c r="AJ108" s="104">
        <v>50</v>
      </c>
      <c r="AK108" s="102">
        <v>60</v>
      </c>
      <c r="AL108" s="102">
        <v>60</v>
      </c>
      <c r="AM108" s="105">
        <v>0</v>
      </c>
      <c r="AN108" s="104">
        <v>74</v>
      </c>
      <c r="AO108" s="102">
        <v>0</v>
      </c>
      <c r="AP108" s="102">
        <v>70</v>
      </c>
      <c r="AQ108" s="105">
        <v>23</v>
      </c>
      <c r="AT108" s="110">
        <v>0.184027777777778</v>
      </c>
      <c r="AU108" s="125" t="str">
        <f>HYPERLINK("http://www.jianrmod.cn/data/shipGetInfo.html?type=0&amp;cid=10010713","详细")</f>
        <v>详细</v>
      </c>
    </row>
    <row r="109" spans="1:47">
      <c r="A109" s="100">
        <v>10010813</v>
      </c>
      <c r="B109" s="101">
        <v>110</v>
      </c>
      <c r="C109" s="102">
        <v>4</v>
      </c>
      <c r="D109" s="103" t="s">
        <v>358</v>
      </c>
      <c r="F109" s="103" t="s">
        <v>49</v>
      </c>
      <c r="G109" s="103">
        <v>3</v>
      </c>
      <c r="H109" s="103">
        <v>3</v>
      </c>
      <c r="I109" s="104" t="s">
        <v>86</v>
      </c>
      <c r="J109" s="102" t="s">
        <v>61</v>
      </c>
      <c r="K109" s="102">
        <v>77</v>
      </c>
      <c r="L109" s="103">
        <v>-1</v>
      </c>
      <c r="M109" s="104">
        <v>100</v>
      </c>
      <c r="N109" s="102">
        <v>91</v>
      </c>
      <c r="O109" s="102">
        <v>0</v>
      </c>
      <c r="P109" s="102">
        <v>65</v>
      </c>
      <c r="Q109" s="104">
        <f>_xlfn.FLOOR.MATH(0+0*B109)</f>
        <v>0</v>
      </c>
      <c r="R109" s="102">
        <f>_xlfn.FLOOR.MATH(12+0.25*B109)</f>
        <v>39</v>
      </c>
      <c r="S109" s="102">
        <f>_xlfn.FLOOR.MATH(16+0.2*B109)</f>
        <v>38</v>
      </c>
      <c r="T109" s="105">
        <f>_xlfn.FLOOR.MATH(39+0.51*B109)</f>
        <v>95</v>
      </c>
      <c r="U109" s="102">
        <v>22</v>
      </c>
      <c r="V109" s="102">
        <v>21</v>
      </c>
      <c r="W109" s="106" t="s">
        <v>52</v>
      </c>
      <c r="X109" s="106" t="s">
        <v>359</v>
      </c>
      <c r="Y109" s="102" t="s">
        <v>54</v>
      </c>
      <c r="Z109" s="102" t="s">
        <v>55</v>
      </c>
      <c r="AA109" s="104" t="s">
        <v>75</v>
      </c>
      <c r="AB109" s="105">
        <v>16</v>
      </c>
      <c r="AC109" s="104">
        <v>4</v>
      </c>
      <c r="AD109" s="123" t="s">
        <v>360</v>
      </c>
      <c r="AE109" s="104">
        <v>95</v>
      </c>
      <c r="AF109" s="105">
        <v>140</v>
      </c>
      <c r="AG109" s="104">
        <v>3.2</v>
      </c>
      <c r="AH109" s="102">
        <v>6</v>
      </c>
      <c r="AI109" s="105">
        <v>0.8</v>
      </c>
      <c r="AJ109" s="104">
        <v>50</v>
      </c>
      <c r="AK109" s="102">
        <v>60</v>
      </c>
      <c r="AL109" s="102">
        <v>60</v>
      </c>
      <c r="AM109" s="105">
        <v>0</v>
      </c>
      <c r="AN109" s="104">
        <v>80</v>
      </c>
      <c r="AO109" s="102">
        <v>0</v>
      </c>
      <c r="AP109" s="102">
        <v>71</v>
      </c>
      <c r="AQ109" s="105">
        <v>23</v>
      </c>
      <c r="AT109" s="110">
        <v>0.194444444444444</v>
      </c>
      <c r="AU109" s="125" t="str">
        <f>HYPERLINK("http://www.jianrmod.cn/data/shipGetInfo.html?type=0&amp;cid=10010813","详细")</f>
        <v>详细</v>
      </c>
    </row>
    <row r="110" spans="1:47">
      <c r="A110" s="100">
        <v>10010913</v>
      </c>
      <c r="B110" s="101">
        <v>110</v>
      </c>
      <c r="C110" s="102">
        <v>4</v>
      </c>
      <c r="D110" s="103" t="s">
        <v>361</v>
      </c>
      <c r="F110" s="103" t="s">
        <v>49</v>
      </c>
      <c r="G110" s="103">
        <v>3</v>
      </c>
      <c r="H110" s="103">
        <v>3</v>
      </c>
      <c r="I110" s="104" t="s">
        <v>86</v>
      </c>
      <c r="J110" s="102" t="s">
        <v>61</v>
      </c>
      <c r="K110" s="102">
        <v>77</v>
      </c>
      <c r="L110" s="103">
        <v>-1</v>
      </c>
      <c r="M110" s="104">
        <v>100</v>
      </c>
      <c r="N110" s="102">
        <v>91</v>
      </c>
      <c r="O110" s="102">
        <v>0</v>
      </c>
      <c r="P110" s="102">
        <v>65</v>
      </c>
      <c r="Q110" s="104">
        <f>_xlfn.FLOOR.MATH(0+0*B110)</f>
        <v>0</v>
      </c>
      <c r="R110" s="102">
        <f>_xlfn.FLOOR.MATH(12+0.25*B110)</f>
        <v>39</v>
      </c>
      <c r="S110" s="102">
        <f>_xlfn.FLOOR.MATH(16+0.2*B110)</f>
        <v>38</v>
      </c>
      <c r="T110" s="105">
        <f>_xlfn.FLOOR.MATH(39+0.51*B110)</f>
        <v>95</v>
      </c>
      <c r="U110" s="102">
        <v>24</v>
      </c>
      <c r="V110" s="102">
        <v>21</v>
      </c>
      <c r="W110" s="106" t="s">
        <v>52</v>
      </c>
      <c r="X110" s="106" t="s">
        <v>362</v>
      </c>
      <c r="Y110" s="102" t="s">
        <v>54</v>
      </c>
      <c r="Z110" s="102" t="s">
        <v>55</v>
      </c>
      <c r="AA110" s="104" t="s">
        <v>75</v>
      </c>
      <c r="AB110" s="105">
        <v>16</v>
      </c>
      <c r="AC110" s="104">
        <v>4</v>
      </c>
      <c r="AD110" s="123" t="s">
        <v>360</v>
      </c>
      <c r="AE110" s="104">
        <v>95</v>
      </c>
      <c r="AF110" s="105">
        <v>140</v>
      </c>
      <c r="AG110" s="104">
        <v>3.2</v>
      </c>
      <c r="AH110" s="102">
        <v>6</v>
      </c>
      <c r="AI110" s="105">
        <v>0.8</v>
      </c>
      <c r="AJ110" s="104">
        <v>50</v>
      </c>
      <c r="AK110" s="102">
        <v>60</v>
      </c>
      <c r="AL110" s="102">
        <v>60</v>
      </c>
      <c r="AM110" s="105">
        <v>0</v>
      </c>
      <c r="AN110" s="104">
        <v>80</v>
      </c>
      <c r="AO110" s="102">
        <v>0</v>
      </c>
      <c r="AP110" s="102">
        <v>71</v>
      </c>
      <c r="AQ110" s="105">
        <v>23</v>
      </c>
      <c r="AT110" s="110">
        <v>0.194444444444444</v>
      </c>
      <c r="AU110" s="125" t="str">
        <f>HYPERLINK("http://www.jianrmod.cn/data/shipGetInfo.html?type=0&amp;cid=10010913","详细")</f>
        <v>详细</v>
      </c>
    </row>
    <row r="111" spans="1:47">
      <c r="A111" s="100">
        <v>10011013</v>
      </c>
      <c r="B111" s="101">
        <v>110</v>
      </c>
      <c r="C111" s="102">
        <v>4</v>
      </c>
      <c r="D111" s="103" t="s">
        <v>363</v>
      </c>
      <c r="F111" s="103" t="s">
        <v>49</v>
      </c>
      <c r="G111" s="103">
        <v>3</v>
      </c>
      <c r="H111" s="103">
        <v>3</v>
      </c>
      <c r="I111" s="104" t="s">
        <v>86</v>
      </c>
      <c r="J111" s="102" t="s">
        <v>61</v>
      </c>
      <c r="K111" s="102">
        <v>77</v>
      </c>
      <c r="L111" s="103">
        <v>-1</v>
      </c>
      <c r="M111" s="104">
        <v>100</v>
      </c>
      <c r="N111" s="102">
        <v>91</v>
      </c>
      <c r="O111" s="102">
        <v>0</v>
      </c>
      <c r="P111" s="102">
        <v>65</v>
      </c>
      <c r="Q111" s="104">
        <f>_xlfn.FLOOR.MATH(0+0*B111)</f>
        <v>0</v>
      </c>
      <c r="R111" s="102">
        <f>_xlfn.FLOOR.MATH(20+0.25*B111)</f>
        <v>47</v>
      </c>
      <c r="S111" s="102">
        <f>_xlfn.FLOOR.MATH(16+0.2*B111)</f>
        <v>38</v>
      </c>
      <c r="T111" s="105">
        <f>_xlfn.FLOOR.MATH(39+0.51*B111)</f>
        <v>95</v>
      </c>
      <c r="U111" s="102">
        <v>26</v>
      </c>
      <c r="V111" s="102">
        <v>21</v>
      </c>
      <c r="W111" s="106" t="s">
        <v>52</v>
      </c>
      <c r="X111" s="106" t="s">
        <v>364</v>
      </c>
      <c r="Y111" s="102" t="s">
        <v>54</v>
      </c>
      <c r="Z111" s="102" t="s">
        <v>55</v>
      </c>
      <c r="AA111" s="104" t="s">
        <v>75</v>
      </c>
      <c r="AB111" s="105">
        <v>16</v>
      </c>
      <c r="AC111" s="104">
        <v>4</v>
      </c>
      <c r="AD111" s="123" t="s">
        <v>360</v>
      </c>
      <c r="AE111" s="104">
        <v>95</v>
      </c>
      <c r="AF111" s="105">
        <v>140</v>
      </c>
      <c r="AG111" s="104">
        <v>3.2</v>
      </c>
      <c r="AH111" s="102">
        <v>6</v>
      </c>
      <c r="AI111" s="105">
        <v>0.8</v>
      </c>
      <c r="AJ111" s="104">
        <v>50</v>
      </c>
      <c r="AK111" s="102">
        <v>60</v>
      </c>
      <c r="AL111" s="102">
        <v>60</v>
      </c>
      <c r="AM111" s="105">
        <v>0</v>
      </c>
      <c r="AN111" s="104">
        <v>80</v>
      </c>
      <c r="AO111" s="102">
        <v>0</v>
      </c>
      <c r="AP111" s="102">
        <v>71</v>
      </c>
      <c r="AQ111" s="105">
        <v>23</v>
      </c>
      <c r="AT111" s="110">
        <v>0.194444444444444</v>
      </c>
      <c r="AU111" s="125" t="str">
        <f>HYPERLINK("http://www.jianrmod.cn/data/shipGetInfo.html?type=0&amp;cid=10011013","详细")</f>
        <v>详细</v>
      </c>
    </row>
    <row r="112" spans="1:47">
      <c r="A112" s="100">
        <v>10011113</v>
      </c>
      <c r="B112" s="101">
        <v>110</v>
      </c>
      <c r="C112" s="102">
        <v>5</v>
      </c>
      <c r="D112" s="103" t="s">
        <v>365</v>
      </c>
      <c r="F112" s="103" t="s">
        <v>49</v>
      </c>
      <c r="G112" s="103">
        <v>3</v>
      </c>
      <c r="H112" s="103">
        <v>3</v>
      </c>
      <c r="I112" s="104" t="s">
        <v>86</v>
      </c>
      <c r="J112" s="102" t="s">
        <v>61</v>
      </c>
      <c r="K112" s="102">
        <v>74</v>
      </c>
      <c r="L112" s="103">
        <v>2</v>
      </c>
      <c r="M112" s="104">
        <v>108</v>
      </c>
      <c r="N112" s="102">
        <v>92</v>
      </c>
      <c r="O112" s="102">
        <v>0</v>
      </c>
      <c r="P112" s="102">
        <v>90</v>
      </c>
      <c r="Q112" s="104">
        <f>_xlfn.FLOOR.MATH(0+0*B112)</f>
        <v>0</v>
      </c>
      <c r="R112" s="102">
        <f>_xlfn.FLOOR.MATH(18+0.25*B112)</f>
        <v>45</v>
      </c>
      <c r="S112" s="102">
        <f>_xlfn.FLOOR.MATH(25+0.3*B112)</f>
        <v>58</v>
      </c>
      <c r="T112" s="105">
        <f>_xlfn.FLOOR.MATH(40+0.51*B112)</f>
        <v>96</v>
      </c>
      <c r="U112" s="102">
        <v>30</v>
      </c>
      <c r="V112" s="102">
        <v>28</v>
      </c>
      <c r="W112" s="106" t="s">
        <v>52</v>
      </c>
      <c r="X112" s="106" t="s">
        <v>351</v>
      </c>
      <c r="Y112" s="102" t="s">
        <v>54</v>
      </c>
      <c r="Z112" s="102" t="s">
        <v>55</v>
      </c>
      <c r="AA112" s="104" t="s">
        <v>56</v>
      </c>
      <c r="AB112" s="105">
        <v>12</v>
      </c>
      <c r="AC112" s="104">
        <v>4</v>
      </c>
      <c r="AD112" s="123" t="s">
        <v>366</v>
      </c>
      <c r="AE112" s="104">
        <v>95</v>
      </c>
      <c r="AF112" s="105">
        <v>140</v>
      </c>
      <c r="AG112" s="104">
        <v>4.2</v>
      </c>
      <c r="AH112" s="102">
        <v>8</v>
      </c>
      <c r="AI112" s="105">
        <v>0.8</v>
      </c>
      <c r="AJ112" s="104">
        <v>50</v>
      </c>
      <c r="AK112" s="102">
        <v>60</v>
      </c>
      <c r="AL112" s="102">
        <v>60</v>
      </c>
      <c r="AM112" s="105">
        <v>0</v>
      </c>
      <c r="AN112" s="104">
        <v>88</v>
      </c>
      <c r="AO112" s="102">
        <v>0</v>
      </c>
      <c r="AP112" s="102">
        <v>72</v>
      </c>
      <c r="AQ112" s="105">
        <v>60</v>
      </c>
      <c r="AT112" s="110">
        <v>0.229166666666667</v>
      </c>
      <c r="AU112" s="125"/>
    </row>
    <row r="113" spans="1:48">
      <c r="A113" s="100">
        <v>10011213</v>
      </c>
      <c r="B113" s="101">
        <v>110</v>
      </c>
      <c r="C113" s="102">
        <v>5</v>
      </c>
      <c r="D113" s="103" t="s">
        <v>367</v>
      </c>
      <c r="F113" s="103" t="s">
        <v>49</v>
      </c>
      <c r="G113" s="103">
        <v>3</v>
      </c>
      <c r="H113" s="103">
        <v>4</v>
      </c>
      <c r="I113" s="104" t="s">
        <v>91</v>
      </c>
      <c r="J113" s="102" t="s">
        <v>61</v>
      </c>
      <c r="K113" s="102">
        <v>75</v>
      </c>
      <c r="L113" s="103">
        <v>1</v>
      </c>
      <c r="M113" s="104">
        <v>101</v>
      </c>
      <c r="N113" s="102">
        <v>98</v>
      </c>
      <c r="O113" s="102">
        <v>0</v>
      </c>
      <c r="P113" s="102">
        <v>62</v>
      </c>
      <c r="Q113" s="104">
        <f>_xlfn.FLOOR.MATH(0+0*B113)</f>
        <v>0</v>
      </c>
      <c r="R113" s="102">
        <f>_xlfn.FLOOR.MATH(14+0.25*B113)</f>
        <v>41</v>
      </c>
      <c r="S113" s="102">
        <f>_xlfn.FLOOR.MATH(28+0.2*B113)</f>
        <v>50</v>
      </c>
      <c r="T113" s="105">
        <f>_xlfn.FLOOR.MATH(40+0.51*B113)</f>
        <v>96</v>
      </c>
      <c r="U113" s="102">
        <v>17</v>
      </c>
      <c r="V113" s="102">
        <v>31</v>
      </c>
      <c r="W113" s="106" t="s">
        <v>52</v>
      </c>
      <c r="X113" s="106" t="s">
        <v>368</v>
      </c>
      <c r="Y113" s="102" t="s">
        <v>54</v>
      </c>
      <c r="Z113" s="102" t="s">
        <v>55</v>
      </c>
      <c r="AA113" s="104" t="s">
        <v>56</v>
      </c>
      <c r="AB113" s="105">
        <v>12</v>
      </c>
      <c r="AC113" s="104">
        <v>4</v>
      </c>
      <c r="AD113" s="123" t="s">
        <v>369</v>
      </c>
      <c r="AE113" s="104">
        <v>90</v>
      </c>
      <c r="AF113" s="105">
        <v>130</v>
      </c>
      <c r="AG113" s="104">
        <v>4.2</v>
      </c>
      <c r="AH113" s="102">
        <v>8</v>
      </c>
      <c r="AI113" s="105">
        <v>1.1</v>
      </c>
      <c r="AJ113" s="104">
        <v>50</v>
      </c>
      <c r="AK113" s="102">
        <v>60</v>
      </c>
      <c r="AL113" s="102">
        <v>60</v>
      </c>
      <c r="AM113" s="105">
        <v>0</v>
      </c>
      <c r="AN113" s="104">
        <v>81</v>
      </c>
      <c r="AO113" s="102">
        <v>0</v>
      </c>
      <c r="AP113" s="102">
        <v>78</v>
      </c>
      <c r="AQ113" s="105">
        <v>16</v>
      </c>
      <c r="AT113" s="110">
        <v>0.215277777777778</v>
      </c>
      <c r="AV113" s="112" t="s">
        <v>370</v>
      </c>
    </row>
    <row r="114" ht="52.8" spans="1:46">
      <c r="A114" s="100">
        <v>10011313</v>
      </c>
      <c r="B114" s="101">
        <v>110</v>
      </c>
      <c r="C114" s="102">
        <v>5</v>
      </c>
      <c r="D114" s="103" t="s">
        <v>371</v>
      </c>
      <c r="F114" s="103" t="s">
        <v>49</v>
      </c>
      <c r="G114" s="103">
        <v>6</v>
      </c>
      <c r="H114" s="103">
        <v>5</v>
      </c>
      <c r="I114" s="104" t="s">
        <v>330</v>
      </c>
      <c r="J114" s="102" t="s">
        <v>61</v>
      </c>
      <c r="K114" s="102">
        <v>78</v>
      </c>
      <c r="L114" s="103">
        <v>2</v>
      </c>
      <c r="M114" s="104">
        <v>96</v>
      </c>
      <c r="N114" s="102">
        <v>102</v>
      </c>
      <c r="O114" s="102">
        <v>0</v>
      </c>
      <c r="P114" s="102">
        <v>60</v>
      </c>
      <c r="Q114" s="104">
        <f>_xlfn.FLOOR.MATH(0+0*B114)</f>
        <v>0</v>
      </c>
      <c r="R114" s="102">
        <f>_xlfn.FLOOR.MATH(13+0.25*B114)</f>
        <v>40</v>
      </c>
      <c r="S114" s="102">
        <f>_xlfn.FLOOR.MATH(29+0.2*B114)</f>
        <v>51</v>
      </c>
      <c r="T114" s="105">
        <f>_xlfn.FLOOR.MATH(40+0.51*B114)</f>
        <v>96</v>
      </c>
      <c r="U114" s="102">
        <v>23</v>
      </c>
      <c r="V114" s="102">
        <v>32</v>
      </c>
      <c r="W114" s="106" t="s">
        <v>52</v>
      </c>
      <c r="X114" s="106" t="s">
        <v>372</v>
      </c>
      <c r="Y114" s="102" t="s">
        <v>54</v>
      </c>
      <c r="Z114" s="102" t="s">
        <v>55</v>
      </c>
      <c r="AA114" s="104" t="s">
        <v>56</v>
      </c>
      <c r="AB114" s="105">
        <v>12</v>
      </c>
      <c r="AC114" s="104">
        <v>4</v>
      </c>
      <c r="AD114" s="123" t="s">
        <v>373</v>
      </c>
      <c r="AE114" s="104">
        <v>90</v>
      </c>
      <c r="AF114" s="105">
        <v>130</v>
      </c>
      <c r="AG114" s="104">
        <v>4.2</v>
      </c>
      <c r="AH114" s="102">
        <v>8</v>
      </c>
      <c r="AI114" s="105">
        <v>1</v>
      </c>
      <c r="AJ114" s="104">
        <v>50</v>
      </c>
      <c r="AK114" s="102">
        <v>60</v>
      </c>
      <c r="AL114" s="102">
        <v>60</v>
      </c>
      <c r="AM114" s="105">
        <v>0</v>
      </c>
      <c r="AN114" s="104">
        <v>76</v>
      </c>
      <c r="AO114" s="102">
        <v>0</v>
      </c>
      <c r="AP114" s="102">
        <v>82</v>
      </c>
      <c r="AQ114" s="105">
        <v>15</v>
      </c>
      <c r="AR114" s="108" t="s">
        <v>374</v>
      </c>
      <c r="AT114" s="110">
        <v>0.222222222222222</v>
      </c>
    </row>
    <row r="115" spans="1:47">
      <c r="A115" s="100">
        <v>10011413</v>
      </c>
      <c r="B115" s="101">
        <v>110</v>
      </c>
      <c r="C115" s="102">
        <v>4</v>
      </c>
      <c r="D115" s="103" t="s">
        <v>375</v>
      </c>
      <c r="F115" s="103" t="s">
        <v>49</v>
      </c>
      <c r="G115" s="103">
        <v>2</v>
      </c>
      <c r="H115" s="103">
        <v>2</v>
      </c>
      <c r="I115" s="104" t="s">
        <v>73</v>
      </c>
      <c r="J115" s="102" t="s">
        <v>51</v>
      </c>
      <c r="K115" s="102">
        <v>72</v>
      </c>
      <c r="L115" s="103">
        <v>0</v>
      </c>
      <c r="M115" s="104">
        <v>81</v>
      </c>
      <c r="N115" s="102">
        <v>85</v>
      </c>
      <c r="O115" s="102">
        <v>0</v>
      </c>
      <c r="P115" s="102">
        <v>55</v>
      </c>
      <c r="Q115" s="104">
        <f>_xlfn.FLOOR.MATH(0+0*B115)</f>
        <v>0</v>
      </c>
      <c r="R115" s="102">
        <f>_xlfn.FLOOR.MATH(15+0.25*B115)</f>
        <v>42</v>
      </c>
      <c r="S115" s="102">
        <f>_xlfn.FLOOR.MATH(30+0.3*B115)</f>
        <v>63</v>
      </c>
      <c r="T115" s="105">
        <f>_xlfn.FLOOR.MATH(39+0.51*B115)</f>
        <v>95</v>
      </c>
      <c r="U115" s="102">
        <v>16</v>
      </c>
      <c r="V115" s="102">
        <v>31.5</v>
      </c>
      <c r="W115" s="106" t="s">
        <v>52</v>
      </c>
      <c r="Y115" s="102" t="s">
        <v>54</v>
      </c>
      <c r="Z115" s="102" t="s">
        <v>55</v>
      </c>
      <c r="AA115" s="104" t="s">
        <v>56</v>
      </c>
      <c r="AB115" s="105">
        <v>12</v>
      </c>
      <c r="AC115" s="104">
        <v>4</v>
      </c>
      <c r="AD115" s="123" t="s">
        <v>376</v>
      </c>
      <c r="AE115" s="104">
        <v>70</v>
      </c>
      <c r="AF115" s="105">
        <v>110</v>
      </c>
      <c r="AG115" s="104">
        <v>2.88</v>
      </c>
      <c r="AH115" s="102">
        <v>6</v>
      </c>
      <c r="AI115" s="105">
        <v>0.75</v>
      </c>
      <c r="AJ115" s="104">
        <v>40</v>
      </c>
      <c r="AK115" s="102">
        <v>50</v>
      </c>
      <c r="AL115" s="102">
        <v>40</v>
      </c>
      <c r="AM115" s="105">
        <v>0</v>
      </c>
      <c r="AN115" s="104">
        <v>56</v>
      </c>
      <c r="AO115" s="102">
        <v>0</v>
      </c>
      <c r="AP115" s="102">
        <v>74</v>
      </c>
      <c r="AQ115" s="105">
        <v>13</v>
      </c>
      <c r="AU115" s="125" t="str">
        <f>HYPERLINK("http://www.jianrmod.cn/data/shipGetInfo.html?type=0&amp;cid=10011413","详细")</f>
        <v>详细</v>
      </c>
    </row>
    <row r="116" spans="1:47">
      <c r="A116" s="100">
        <v>10011513</v>
      </c>
      <c r="B116" s="101">
        <v>110</v>
      </c>
      <c r="C116" s="102">
        <v>4</v>
      </c>
      <c r="D116" s="103" t="s">
        <v>377</v>
      </c>
      <c r="F116" s="103" t="s">
        <v>49</v>
      </c>
      <c r="G116" s="103">
        <v>2</v>
      </c>
      <c r="H116" s="103">
        <v>2</v>
      </c>
      <c r="I116" s="104" t="s">
        <v>73</v>
      </c>
      <c r="J116" s="102" t="s">
        <v>51</v>
      </c>
      <c r="K116" s="102">
        <v>72</v>
      </c>
      <c r="L116" s="103">
        <v>0</v>
      </c>
      <c r="M116" s="104">
        <v>81</v>
      </c>
      <c r="N116" s="102">
        <v>85</v>
      </c>
      <c r="O116" s="102">
        <v>0</v>
      </c>
      <c r="P116" s="102">
        <v>55</v>
      </c>
      <c r="Q116" s="104">
        <f>_xlfn.FLOOR.MATH(0+0*B116)</f>
        <v>0</v>
      </c>
      <c r="R116" s="102">
        <f>_xlfn.FLOOR.MATH(15+0.25*B116)</f>
        <v>42</v>
      </c>
      <c r="S116" s="102">
        <f>_xlfn.FLOOR.MATH(30+0.3*B116)</f>
        <v>63</v>
      </c>
      <c r="T116" s="105">
        <f>_xlfn.FLOOR.MATH(39+0.51*B116)</f>
        <v>95</v>
      </c>
      <c r="U116" s="102">
        <v>10</v>
      </c>
      <c r="V116" s="102">
        <v>31.5</v>
      </c>
      <c r="W116" s="106" t="s">
        <v>52</v>
      </c>
      <c r="Y116" s="102" t="s">
        <v>54</v>
      </c>
      <c r="Z116" s="102" t="s">
        <v>55</v>
      </c>
      <c r="AA116" s="104" t="s">
        <v>56</v>
      </c>
      <c r="AB116" s="105">
        <v>12</v>
      </c>
      <c r="AC116" s="104">
        <v>4</v>
      </c>
      <c r="AD116" s="123" t="s">
        <v>376</v>
      </c>
      <c r="AE116" s="104">
        <v>70</v>
      </c>
      <c r="AF116" s="105">
        <v>110</v>
      </c>
      <c r="AG116" s="104">
        <v>2.88</v>
      </c>
      <c r="AH116" s="102">
        <v>6</v>
      </c>
      <c r="AI116" s="105">
        <v>0.75</v>
      </c>
      <c r="AJ116" s="104">
        <v>40</v>
      </c>
      <c r="AK116" s="102">
        <v>50</v>
      </c>
      <c r="AL116" s="102">
        <v>40</v>
      </c>
      <c r="AM116" s="105">
        <v>0</v>
      </c>
      <c r="AN116" s="104">
        <v>56</v>
      </c>
      <c r="AO116" s="102">
        <v>0</v>
      </c>
      <c r="AP116" s="102">
        <v>74</v>
      </c>
      <c r="AQ116" s="105">
        <v>13</v>
      </c>
      <c r="AT116" s="110">
        <v>0.184027777777778</v>
      </c>
      <c r="AU116" s="125"/>
    </row>
    <row r="117" spans="1:48">
      <c r="A117" s="100">
        <v>10011713</v>
      </c>
      <c r="B117" s="101">
        <v>110</v>
      </c>
      <c r="C117" s="102">
        <v>5</v>
      </c>
      <c r="D117" s="103" t="s">
        <v>378</v>
      </c>
      <c r="E117" s="103" t="s">
        <v>379</v>
      </c>
      <c r="F117" s="103" t="s">
        <v>49</v>
      </c>
      <c r="G117" s="103">
        <v>3</v>
      </c>
      <c r="H117" s="103">
        <v>3</v>
      </c>
      <c r="I117" s="104" t="s">
        <v>60</v>
      </c>
      <c r="J117" s="102" t="s">
        <v>380</v>
      </c>
      <c r="K117" s="102">
        <v>67</v>
      </c>
      <c r="L117" s="103">
        <v>1</v>
      </c>
      <c r="M117" s="104">
        <v>40</v>
      </c>
      <c r="N117" s="102">
        <v>85</v>
      </c>
      <c r="O117" s="102">
        <v>0</v>
      </c>
      <c r="P117" s="102">
        <v>70</v>
      </c>
      <c r="Q117" s="104">
        <f>_xlfn.FLOOR.MATH(0+0*B117)</f>
        <v>0</v>
      </c>
      <c r="R117" s="102">
        <f>_xlfn.FLOOR.MATH(45+0.25*B117)</f>
        <v>72</v>
      </c>
      <c r="S117" s="102">
        <f>_xlfn.FLOOR.MATH(35+0.2*B117)</f>
        <v>57</v>
      </c>
      <c r="T117" s="105">
        <f>_xlfn.FLOOR.MATH(32+0.49*B117)</f>
        <v>85</v>
      </c>
      <c r="U117" s="102">
        <v>5</v>
      </c>
      <c r="V117" s="102">
        <v>33</v>
      </c>
      <c r="W117" s="106" t="s">
        <v>115</v>
      </c>
      <c r="X117" s="106" t="s">
        <v>381</v>
      </c>
      <c r="Y117" s="102" t="s">
        <v>54</v>
      </c>
      <c r="Z117" s="102" t="s">
        <v>55</v>
      </c>
      <c r="AA117" s="104" t="s">
        <v>382</v>
      </c>
      <c r="AB117" s="105">
        <v>60</v>
      </c>
      <c r="AC117" s="104">
        <v>4</v>
      </c>
      <c r="AD117" s="123" t="s">
        <v>383</v>
      </c>
      <c r="AE117" s="104">
        <v>70</v>
      </c>
      <c r="AF117" s="105">
        <v>65</v>
      </c>
      <c r="AG117" s="104">
        <v>2.88</v>
      </c>
      <c r="AH117" s="102">
        <v>5.4</v>
      </c>
      <c r="AI117" s="105">
        <v>1</v>
      </c>
      <c r="AJ117" s="104">
        <v>20</v>
      </c>
      <c r="AK117" s="102">
        <v>20</v>
      </c>
      <c r="AL117" s="102">
        <v>40</v>
      </c>
      <c r="AM117" s="105">
        <v>10</v>
      </c>
      <c r="AN117" s="104">
        <v>0</v>
      </c>
      <c r="AO117" s="102">
        <v>0</v>
      </c>
      <c r="AP117" s="102">
        <v>25</v>
      </c>
      <c r="AQ117" s="105">
        <v>44</v>
      </c>
      <c r="AT117" s="110">
        <v>0.173611111111111</v>
      </c>
      <c r="AU117" s="125"/>
      <c r="AV117" s="112" t="s">
        <v>384</v>
      </c>
    </row>
    <row r="118" spans="1:47">
      <c r="A118" s="100">
        <v>10011813</v>
      </c>
      <c r="B118" s="101">
        <v>110</v>
      </c>
      <c r="C118" s="102">
        <v>4</v>
      </c>
      <c r="D118" s="103" t="s">
        <v>385</v>
      </c>
      <c r="F118" s="103" t="s">
        <v>49</v>
      </c>
      <c r="G118" s="103">
        <v>3</v>
      </c>
      <c r="H118" s="103">
        <v>3</v>
      </c>
      <c r="I118" s="104" t="s">
        <v>73</v>
      </c>
      <c r="J118" s="102" t="s">
        <v>114</v>
      </c>
      <c r="K118" s="102">
        <v>52</v>
      </c>
      <c r="L118" s="103">
        <v>0</v>
      </c>
      <c r="M118" s="104">
        <v>35</v>
      </c>
      <c r="N118" s="102">
        <v>58</v>
      </c>
      <c r="O118" s="102">
        <v>0</v>
      </c>
      <c r="P118" s="102">
        <v>66</v>
      </c>
      <c r="Q118" s="104">
        <f>_xlfn.FLOOR.MATH(0+0*B118)</f>
        <v>0</v>
      </c>
      <c r="R118" s="102">
        <f>_xlfn.FLOOR.MATH(38+0.25*B118)</f>
        <v>65</v>
      </c>
      <c r="S118" s="102">
        <f>_xlfn.FLOOR.MATH(32+0.2*B118)</f>
        <v>54</v>
      </c>
      <c r="T118" s="105">
        <f>_xlfn.FLOOR.MATH(36+0.54*B118)</f>
        <v>95</v>
      </c>
      <c r="U118" s="102">
        <v>6</v>
      </c>
      <c r="V118" s="102">
        <v>35</v>
      </c>
      <c r="W118" s="106" t="s">
        <v>115</v>
      </c>
      <c r="X118" s="106" t="s">
        <v>386</v>
      </c>
      <c r="Y118" s="102" t="s">
        <v>54</v>
      </c>
      <c r="Z118" s="102" t="s">
        <v>55</v>
      </c>
      <c r="AA118" s="104" t="s">
        <v>387</v>
      </c>
      <c r="AB118" s="105">
        <v>48</v>
      </c>
      <c r="AC118" s="104">
        <v>4</v>
      </c>
      <c r="AD118" s="123" t="s">
        <v>388</v>
      </c>
      <c r="AE118" s="104">
        <v>50</v>
      </c>
      <c r="AF118" s="105">
        <v>55</v>
      </c>
      <c r="AG118" s="104">
        <v>2.08</v>
      </c>
      <c r="AH118" s="102">
        <v>4.3</v>
      </c>
      <c r="AI118" s="105">
        <v>1</v>
      </c>
      <c r="AJ118" s="104">
        <v>30</v>
      </c>
      <c r="AK118" s="102">
        <v>40</v>
      </c>
      <c r="AL118" s="102">
        <v>60</v>
      </c>
      <c r="AM118" s="105">
        <v>40</v>
      </c>
      <c r="AN118" s="104">
        <v>0</v>
      </c>
      <c r="AO118" s="102">
        <v>0</v>
      </c>
      <c r="AP118" s="102">
        <v>20</v>
      </c>
      <c r="AQ118" s="105">
        <v>36</v>
      </c>
      <c r="AT118" s="110">
        <v>0.25</v>
      </c>
      <c r="AU118" s="125" t="str">
        <f>HYPERLINK("http://www.jianrmod.cn/data/shipGetInfo.html?type=0&amp;cid=10011813","详细")</f>
        <v>详细</v>
      </c>
    </row>
    <row r="119" ht="39.6" spans="1:48">
      <c r="A119" s="100">
        <v>10011913</v>
      </c>
      <c r="B119" s="101">
        <v>110</v>
      </c>
      <c r="C119" s="102">
        <v>5</v>
      </c>
      <c r="D119" s="103" t="s">
        <v>389</v>
      </c>
      <c r="F119" s="103" t="s">
        <v>49</v>
      </c>
      <c r="G119" s="103">
        <v>4</v>
      </c>
      <c r="H119" s="103">
        <v>4</v>
      </c>
      <c r="I119" s="104" t="s">
        <v>50</v>
      </c>
      <c r="J119" s="102" t="s">
        <v>114</v>
      </c>
      <c r="K119" s="102">
        <v>48</v>
      </c>
      <c r="L119" s="103">
        <v>0</v>
      </c>
      <c r="M119" s="104">
        <v>40</v>
      </c>
      <c r="N119" s="102">
        <v>61</v>
      </c>
      <c r="O119" s="102">
        <v>0</v>
      </c>
      <c r="P119" s="102">
        <v>77</v>
      </c>
      <c r="Q119" s="104">
        <f>_xlfn.FLOOR.MATH(0+0*B119)</f>
        <v>0</v>
      </c>
      <c r="R119" s="102">
        <f>_xlfn.FLOOR.MATH(40+0.25*B119)</f>
        <v>67</v>
      </c>
      <c r="S119" s="102">
        <f>_xlfn.FLOOR.MATH(29+0.2*B119)</f>
        <v>51</v>
      </c>
      <c r="T119" s="105">
        <f>_xlfn.FLOOR.MATH(37+0.54*B119)</f>
        <v>96</v>
      </c>
      <c r="U119" s="102">
        <v>15</v>
      </c>
      <c r="V119" s="102">
        <v>31</v>
      </c>
      <c r="W119" s="106" t="s">
        <v>115</v>
      </c>
      <c r="Y119" s="102" t="s">
        <v>54</v>
      </c>
      <c r="Z119" s="102" t="s">
        <v>55</v>
      </c>
      <c r="AA119" s="104" t="s">
        <v>390</v>
      </c>
      <c r="AB119" s="105">
        <v>72</v>
      </c>
      <c r="AC119" s="104">
        <v>4</v>
      </c>
      <c r="AD119" s="123" t="s">
        <v>391</v>
      </c>
      <c r="AE119" s="104">
        <v>50</v>
      </c>
      <c r="AF119" s="105">
        <v>60</v>
      </c>
      <c r="AG119" s="104">
        <v>2.08</v>
      </c>
      <c r="AH119" s="102">
        <v>3.9</v>
      </c>
      <c r="AI119" s="105">
        <v>1</v>
      </c>
      <c r="AJ119" s="104">
        <v>30</v>
      </c>
      <c r="AK119" s="102">
        <v>40</v>
      </c>
      <c r="AL119" s="102">
        <v>60</v>
      </c>
      <c r="AM119" s="105">
        <v>40</v>
      </c>
      <c r="AN119" s="104">
        <v>3</v>
      </c>
      <c r="AO119" s="102">
        <v>0</v>
      </c>
      <c r="AP119" s="102">
        <v>18</v>
      </c>
      <c r="AQ119" s="105">
        <v>58</v>
      </c>
      <c r="AR119" s="108" t="s">
        <v>392</v>
      </c>
      <c r="AT119" s="110">
        <v>0.163194444444444</v>
      </c>
      <c r="AU119" s="125"/>
      <c r="AV119" s="112" t="s">
        <v>393</v>
      </c>
    </row>
    <row r="120" spans="1:48">
      <c r="A120" s="100">
        <v>10012013</v>
      </c>
      <c r="B120" s="101">
        <v>110</v>
      </c>
      <c r="C120" s="102">
        <v>4</v>
      </c>
      <c r="D120" s="103" t="s">
        <v>394</v>
      </c>
      <c r="F120" s="103" t="s">
        <v>49</v>
      </c>
      <c r="G120" s="103">
        <v>3</v>
      </c>
      <c r="H120" s="103">
        <v>3</v>
      </c>
      <c r="I120" s="104" t="s">
        <v>86</v>
      </c>
      <c r="J120" s="102" t="s">
        <v>114</v>
      </c>
      <c r="K120" s="102">
        <v>50</v>
      </c>
      <c r="L120" s="103">
        <v>2</v>
      </c>
      <c r="M120" s="104">
        <v>40</v>
      </c>
      <c r="N120" s="102">
        <v>55</v>
      </c>
      <c r="O120" s="102">
        <v>0</v>
      </c>
      <c r="P120" s="102">
        <v>68</v>
      </c>
      <c r="Q120" s="104">
        <f>_xlfn.FLOOR.MATH(0+0*B120)</f>
        <v>0</v>
      </c>
      <c r="R120" s="102">
        <f>_xlfn.FLOOR.MATH(38+0.25*B120)</f>
        <v>65</v>
      </c>
      <c r="S120" s="102">
        <f>_xlfn.FLOOR.MATH(30+0.2*B120)</f>
        <v>52</v>
      </c>
      <c r="T120" s="105">
        <f>_xlfn.FLOOR.MATH(36+0.54*B120)</f>
        <v>95</v>
      </c>
      <c r="U120" s="102">
        <v>12</v>
      </c>
      <c r="V120" s="102">
        <v>32.5</v>
      </c>
      <c r="W120" s="106" t="s">
        <v>115</v>
      </c>
      <c r="X120" s="106" t="s">
        <v>395</v>
      </c>
      <c r="Y120" s="102" t="s">
        <v>54</v>
      </c>
      <c r="Z120" s="102" t="s">
        <v>55</v>
      </c>
      <c r="AA120" s="104" t="s">
        <v>153</v>
      </c>
      <c r="AB120" s="105">
        <v>75</v>
      </c>
      <c r="AC120" s="104">
        <v>4</v>
      </c>
      <c r="AD120" s="123" t="s">
        <v>396</v>
      </c>
      <c r="AE120" s="104">
        <v>55</v>
      </c>
      <c r="AF120" s="105">
        <v>60</v>
      </c>
      <c r="AG120" s="104">
        <v>2.08</v>
      </c>
      <c r="AH120" s="102">
        <v>3.9</v>
      </c>
      <c r="AI120" s="105">
        <v>0.8</v>
      </c>
      <c r="AJ120" s="104">
        <v>30</v>
      </c>
      <c r="AK120" s="102">
        <v>40</v>
      </c>
      <c r="AL120" s="102">
        <v>60</v>
      </c>
      <c r="AM120" s="105">
        <v>40</v>
      </c>
      <c r="AN120" s="104">
        <v>0</v>
      </c>
      <c r="AO120" s="102">
        <v>0</v>
      </c>
      <c r="AP120" s="102">
        <v>15</v>
      </c>
      <c r="AQ120" s="105">
        <v>45</v>
      </c>
      <c r="AT120" s="110">
        <v>0.159722222222222</v>
      </c>
      <c r="AU120" s="125"/>
      <c r="AV120" s="112" t="s">
        <v>397</v>
      </c>
    </row>
    <row r="121" ht="66" spans="1:48">
      <c r="A121" s="100">
        <v>10012113</v>
      </c>
      <c r="B121" s="101">
        <v>110</v>
      </c>
      <c r="C121" s="102">
        <v>5</v>
      </c>
      <c r="D121" s="103" t="s">
        <v>398</v>
      </c>
      <c r="F121" s="103" t="s">
        <v>49</v>
      </c>
      <c r="G121" s="103">
        <v>4</v>
      </c>
      <c r="H121" s="103">
        <v>4</v>
      </c>
      <c r="I121" s="104" t="s">
        <v>86</v>
      </c>
      <c r="J121" s="102" t="s">
        <v>114</v>
      </c>
      <c r="K121" s="102">
        <v>50</v>
      </c>
      <c r="L121" s="103">
        <v>2</v>
      </c>
      <c r="M121" s="104">
        <v>45</v>
      </c>
      <c r="N121" s="102">
        <v>55</v>
      </c>
      <c r="O121" s="102">
        <v>0</v>
      </c>
      <c r="P121" s="102">
        <v>70</v>
      </c>
      <c r="Q121" s="104">
        <f>_xlfn.FLOOR.MATH(0+0*B121)</f>
        <v>0</v>
      </c>
      <c r="R121" s="102">
        <f>_xlfn.FLOOR.MATH(40+0.3*B121)</f>
        <v>73</v>
      </c>
      <c r="S121" s="102">
        <f>_xlfn.FLOOR.MATH(30+0.2*B121)</f>
        <v>52</v>
      </c>
      <c r="T121" s="105">
        <f>_xlfn.FLOOR.MATH(37+0.54*B121)</f>
        <v>96</v>
      </c>
      <c r="U121" s="102">
        <v>55</v>
      </c>
      <c r="V121" s="102">
        <v>32.5</v>
      </c>
      <c r="W121" s="106" t="s">
        <v>115</v>
      </c>
      <c r="X121" s="106" t="s">
        <v>399</v>
      </c>
      <c r="Y121" s="102" t="s">
        <v>54</v>
      </c>
      <c r="Z121" s="102" t="s">
        <v>55</v>
      </c>
      <c r="AA121" s="104" t="s">
        <v>153</v>
      </c>
      <c r="AB121" s="105">
        <v>75</v>
      </c>
      <c r="AC121" s="104">
        <v>4</v>
      </c>
      <c r="AD121" s="123" t="s">
        <v>400</v>
      </c>
      <c r="AE121" s="104">
        <v>55</v>
      </c>
      <c r="AF121" s="105">
        <v>60</v>
      </c>
      <c r="AG121" s="104">
        <v>2.08</v>
      </c>
      <c r="AH121" s="102">
        <v>3.9</v>
      </c>
      <c r="AI121" s="105">
        <v>0.8</v>
      </c>
      <c r="AJ121" s="104">
        <v>30</v>
      </c>
      <c r="AK121" s="102">
        <v>40</v>
      </c>
      <c r="AL121" s="102">
        <v>60</v>
      </c>
      <c r="AM121" s="105">
        <v>40</v>
      </c>
      <c r="AN121" s="104">
        <v>0</v>
      </c>
      <c r="AO121" s="102">
        <v>0</v>
      </c>
      <c r="AP121" s="102">
        <v>15</v>
      </c>
      <c r="AQ121" s="105">
        <v>49</v>
      </c>
      <c r="AR121" s="108" t="s">
        <v>401</v>
      </c>
      <c r="AT121" s="110">
        <v>0.159722222222222</v>
      </c>
      <c r="AU121" s="125"/>
      <c r="AV121" s="112" t="s">
        <v>402</v>
      </c>
    </row>
    <row r="122" spans="1:48">
      <c r="A122" s="100">
        <v>10012212</v>
      </c>
      <c r="B122" s="101">
        <v>110</v>
      </c>
      <c r="C122" s="102">
        <v>4</v>
      </c>
      <c r="D122" s="103" t="s">
        <v>403</v>
      </c>
      <c r="E122" s="103" t="s">
        <v>404</v>
      </c>
      <c r="F122" s="103" t="s">
        <v>49</v>
      </c>
      <c r="G122" s="103">
        <v>1</v>
      </c>
      <c r="H122" s="103">
        <v>3</v>
      </c>
      <c r="I122" s="104" t="s">
        <v>60</v>
      </c>
      <c r="J122" s="102" t="s">
        <v>125</v>
      </c>
      <c r="K122" s="102">
        <v>33</v>
      </c>
      <c r="L122" s="103">
        <v>-1</v>
      </c>
      <c r="M122" s="104">
        <v>25</v>
      </c>
      <c r="N122" s="102">
        <v>33</v>
      </c>
      <c r="O122" s="102">
        <v>0</v>
      </c>
      <c r="P122" s="102">
        <v>49</v>
      </c>
      <c r="Q122" s="104">
        <f>_xlfn.FLOOR.MATH(0+0*B122)</f>
        <v>0</v>
      </c>
      <c r="R122" s="102">
        <f>_xlfn.FLOOR.MATH(36+0.25*B122)</f>
        <v>63</v>
      </c>
      <c r="S122" s="102">
        <f>_xlfn.FLOOR.MATH(28+0.2*B122)</f>
        <v>50</v>
      </c>
      <c r="T122" s="105">
        <f>_xlfn.FLOOR.MATH(34+0.51*B122)</f>
        <v>90</v>
      </c>
      <c r="U122" s="102">
        <v>9</v>
      </c>
      <c r="V122" s="102">
        <v>28</v>
      </c>
      <c r="W122" s="106" t="s">
        <v>115</v>
      </c>
      <c r="Y122" s="102" t="s">
        <v>127</v>
      </c>
      <c r="Z122" s="102" t="s">
        <v>128</v>
      </c>
      <c r="AA122" s="104" t="s">
        <v>405</v>
      </c>
      <c r="AB122" s="105">
        <v>40</v>
      </c>
      <c r="AC122" s="104">
        <v>3</v>
      </c>
      <c r="AD122" s="123" t="s">
        <v>406</v>
      </c>
      <c r="AE122" s="104">
        <v>35</v>
      </c>
      <c r="AF122" s="105">
        <v>35</v>
      </c>
      <c r="AG122" s="104">
        <v>1.28</v>
      </c>
      <c r="AH122" s="102">
        <v>2.4</v>
      </c>
      <c r="AI122" s="105">
        <v>0.75</v>
      </c>
      <c r="AJ122" s="104">
        <v>20</v>
      </c>
      <c r="AK122" s="102">
        <v>30</v>
      </c>
      <c r="AL122" s="102">
        <v>50</v>
      </c>
      <c r="AM122" s="105">
        <v>20</v>
      </c>
      <c r="AN122" s="104">
        <v>0</v>
      </c>
      <c r="AO122" s="102">
        <v>0</v>
      </c>
      <c r="AP122" s="102">
        <v>7</v>
      </c>
      <c r="AQ122" s="105">
        <v>19</v>
      </c>
      <c r="AT122" s="110">
        <v>0.111111111111111</v>
      </c>
      <c r="AU122" s="125"/>
      <c r="AV122" s="112" t="s">
        <v>407</v>
      </c>
    </row>
    <row r="123" spans="1:47">
      <c r="A123" s="100">
        <v>10012312</v>
      </c>
      <c r="B123" s="101">
        <v>110</v>
      </c>
      <c r="C123" s="102">
        <v>3</v>
      </c>
      <c r="D123" s="103" t="s">
        <v>408</v>
      </c>
      <c r="F123" s="103" t="s">
        <v>49</v>
      </c>
      <c r="G123" s="103">
        <v>1</v>
      </c>
      <c r="H123" s="103">
        <v>3</v>
      </c>
      <c r="I123" s="104" t="s">
        <v>86</v>
      </c>
      <c r="J123" s="102" t="s">
        <v>125</v>
      </c>
      <c r="K123" s="102">
        <v>35</v>
      </c>
      <c r="L123" s="103">
        <v>1</v>
      </c>
      <c r="M123" s="104">
        <v>20</v>
      </c>
      <c r="N123" s="102">
        <v>27</v>
      </c>
      <c r="O123" s="102">
        <v>0</v>
      </c>
      <c r="P123" s="102">
        <v>63</v>
      </c>
      <c r="Q123" s="104">
        <f>_xlfn.FLOOR.MATH(0+0*B123)</f>
        <v>0</v>
      </c>
      <c r="R123" s="102">
        <f>_xlfn.FLOOR.MATH(36+0.25*B123)</f>
        <v>63</v>
      </c>
      <c r="S123" s="102">
        <f>_xlfn.FLOOR.MATH(15+0.2*B123)</f>
        <v>37</v>
      </c>
      <c r="T123" s="105">
        <f>_xlfn.FLOOR.MATH(33+0.51*B123)</f>
        <v>89</v>
      </c>
      <c r="U123" s="102">
        <v>15</v>
      </c>
      <c r="V123" s="102">
        <v>16.5</v>
      </c>
      <c r="W123" s="106" t="s">
        <v>115</v>
      </c>
      <c r="X123" s="106" t="s">
        <v>409</v>
      </c>
      <c r="Y123" s="102" t="s">
        <v>127</v>
      </c>
      <c r="Z123" s="102" t="s">
        <v>128</v>
      </c>
      <c r="AA123" s="104" t="s">
        <v>410</v>
      </c>
      <c r="AB123" s="105">
        <v>28</v>
      </c>
      <c r="AC123" s="104">
        <v>3</v>
      </c>
      <c r="AD123" s="123" t="s">
        <v>411</v>
      </c>
      <c r="AE123" s="104">
        <v>35</v>
      </c>
      <c r="AF123" s="105">
        <v>40</v>
      </c>
      <c r="AG123" s="104">
        <v>1.28</v>
      </c>
      <c r="AH123" s="102">
        <v>2.4</v>
      </c>
      <c r="AI123" s="105">
        <v>0.625</v>
      </c>
      <c r="AJ123" s="104">
        <v>20</v>
      </c>
      <c r="AK123" s="102">
        <v>30</v>
      </c>
      <c r="AL123" s="102">
        <v>50</v>
      </c>
      <c r="AM123" s="105">
        <v>20</v>
      </c>
      <c r="AN123" s="104">
        <v>0</v>
      </c>
      <c r="AO123" s="102">
        <v>0</v>
      </c>
      <c r="AP123" s="102">
        <v>4</v>
      </c>
      <c r="AQ123" s="105">
        <v>38</v>
      </c>
      <c r="AU123" s="125" t="str">
        <f>HYPERLINK("http://www.jianrmod.cn/data/shipGetInfo.html?type=0&amp;cid=10012312","详细")</f>
        <v>详细</v>
      </c>
    </row>
    <row r="124" spans="1:46">
      <c r="A124" s="100">
        <v>10012412</v>
      </c>
      <c r="B124" s="101">
        <v>110</v>
      </c>
      <c r="C124" s="102">
        <v>4</v>
      </c>
      <c r="D124" s="103" t="s">
        <v>412</v>
      </c>
      <c r="F124" s="103" t="s">
        <v>49</v>
      </c>
      <c r="G124" s="103">
        <v>2</v>
      </c>
      <c r="H124" s="103">
        <v>3</v>
      </c>
      <c r="I124" s="104" t="s">
        <v>50</v>
      </c>
      <c r="J124" s="102" t="s">
        <v>125</v>
      </c>
      <c r="K124" s="102">
        <v>35</v>
      </c>
      <c r="L124" s="103">
        <v>1</v>
      </c>
      <c r="M124" s="104">
        <v>20</v>
      </c>
      <c r="N124" s="102">
        <v>27</v>
      </c>
      <c r="O124" s="102">
        <v>0</v>
      </c>
      <c r="P124" s="102">
        <v>63</v>
      </c>
      <c r="Q124" s="104">
        <f>_xlfn.FLOOR.MATH(5+0.1*B124)</f>
        <v>16</v>
      </c>
      <c r="R124" s="102">
        <f>_xlfn.FLOOR.MATH(36+0.25*B124)</f>
        <v>63</v>
      </c>
      <c r="S124" s="102">
        <f>_xlfn.FLOOR.MATH(15+0.2*B124)</f>
        <v>37</v>
      </c>
      <c r="T124" s="105">
        <f>_xlfn.FLOOR.MATH(34+0.51*B124)</f>
        <v>90</v>
      </c>
      <c r="U124" s="102">
        <v>30</v>
      </c>
      <c r="V124" s="102">
        <v>16.5</v>
      </c>
      <c r="W124" s="106" t="s">
        <v>115</v>
      </c>
      <c r="X124" s="106" t="s">
        <v>413</v>
      </c>
      <c r="Y124" s="102" t="s">
        <v>127</v>
      </c>
      <c r="Z124" s="102" t="s">
        <v>128</v>
      </c>
      <c r="AA124" s="104" t="s">
        <v>410</v>
      </c>
      <c r="AB124" s="105">
        <v>28</v>
      </c>
      <c r="AC124" s="104">
        <v>3</v>
      </c>
      <c r="AD124" s="123" t="s">
        <v>414</v>
      </c>
      <c r="AE124" s="104">
        <v>30</v>
      </c>
      <c r="AF124" s="105">
        <v>40</v>
      </c>
      <c r="AG124" s="104">
        <v>1.28</v>
      </c>
      <c r="AH124" s="102">
        <v>2.4</v>
      </c>
      <c r="AI124" s="105">
        <v>0.75</v>
      </c>
      <c r="AJ124" s="104">
        <v>20</v>
      </c>
      <c r="AK124" s="102">
        <v>30</v>
      </c>
      <c r="AL124" s="102">
        <v>50</v>
      </c>
      <c r="AM124" s="105">
        <v>20</v>
      </c>
      <c r="AN124" s="104">
        <v>2</v>
      </c>
      <c r="AO124" s="102">
        <v>0</v>
      </c>
      <c r="AP124" s="102">
        <v>4</v>
      </c>
      <c r="AQ124" s="105">
        <v>33</v>
      </c>
      <c r="AT124" s="110">
        <v>0.114583333333333</v>
      </c>
    </row>
    <row r="125" spans="1:47">
      <c r="A125" s="100">
        <v>10012512</v>
      </c>
      <c r="B125" s="101">
        <v>110</v>
      </c>
      <c r="C125" s="102">
        <v>3</v>
      </c>
      <c r="D125" s="103" t="s">
        <v>415</v>
      </c>
      <c r="F125" s="103" t="s">
        <v>49</v>
      </c>
      <c r="G125" s="103">
        <v>2</v>
      </c>
      <c r="H125" s="103">
        <v>3</v>
      </c>
      <c r="I125" s="104" t="s">
        <v>50</v>
      </c>
      <c r="J125" s="102" t="s">
        <v>125</v>
      </c>
      <c r="K125" s="102">
        <v>40</v>
      </c>
      <c r="L125" s="103">
        <v>0</v>
      </c>
      <c r="M125" s="104">
        <v>20</v>
      </c>
      <c r="N125" s="102">
        <v>38</v>
      </c>
      <c r="O125" s="102">
        <v>0</v>
      </c>
      <c r="P125" s="102">
        <v>70</v>
      </c>
      <c r="Q125" s="104">
        <f>_xlfn.FLOOR.MATH(0+0*B125)</f>
        <v>0</v>
      </c>
      <c r="R125" s="102">
        <f>_xlfn.FLOOR.MATH(38+0.25*B125)</f>
        <v>65</v>
      </c>
      <c r="S125" s="102">
        <f>_xlfn.FLOOR.MATH(22+0.2*B125)</f>
        <v>44</v>
      </c>
      <c r="T125" s="105">
        <f>_xlfn.FLOOR.MATH(33+0.51*B125)</f>
        <v>89</v>
      </c>
      <c r="U125" s="102">
        <v>22</v>
      </c>
      <c r="V125" s="102">
        <v>25</v>
      </c>
      <c r="W125" s="106" t="s">
        <v>115</v>
      </c>
      <c r="X125" s="106" t="s">
        <v>416</v>
      </c>
      <c r="Y125" s="102" t="s">
        <v>127</v>
      </c>
      <c r="Z125" s="102" t="s">
        <v>128</v>
      </c>
      <c r="AA125" s="104" t="s">
        <v>417</v>
      </c>
      <c r="AB125" s="105">
        <v>40</v>
      </c>
      <c r="AC125" s="104">
        <v>3</v>
      </c>
      <c r="AD125" s="123" t="s">
        <v>418</v>
      </c>
      <c r="AE125" s="104">
        <v>30</v>
      </c>
      <c r="AF125" s="105">
        <v>40</v>
      </c>
      <c r="AG125" s="104">
        <v>1.28</v>
      </c>
      <c r="AH125" s="102">
        <v>2.4</v>
      </c>
      <c r="AI125" s="105">
        <v>0.75</v>
      </c>
      <c r="AJ125" s="104">
        <v>20</v>
      </c>
      <c r="AK125" s="102">
        <v>30</v>
      </c>
      <c r="AL125" s="102">
        <v>50</v>
      </c>
      <c r="AM125" s="105">
        <v>20</v>
      </c>
      <c r="AN125" s="104">
        <v>2</v>
      </c>
      <c r="AO125" s="102">
        <v>0</v>
      </c>
      <c r="AP125" s="102">
        <v>9</v>
      </c>
      <c r="AQ125" s="105">
        <v>44</v>
      </c>
      <c r="AU125" s="125" t="str">
        <f>HYPERLINK("http://www.jianrmod.cn/data/shipGetInfo.html?type=0&amp;cid=10012512","详细")</f>
        <v>详细</v>
      </c>
    </row>
    <row r="126" spans="1:47">
      <c r="A126" s="100">
        <v>10012612</v>
      </c>
      <c r="B126" s="101">
        <v>110</v>
      </c>
      <c r="C126" s="102">
        <v>3</v>
      </c>
      <c r="D126" s="103" t="s">
        <v>419</v>
      </c>
      <c r="F126" s="103" t="s">
        <v>49</v>
      </c>
      <c r="G126" s="103">
        <v>2</v>
      </c>
      <c r="H126" s="103">
        <v>3</v>
      </c>
      <c r="I126" s="104" t="s">
        <v>86</v>
      </c>
      <c r="J126" s="102" t="s">
        <v>125</v>
      </c>
      <c r="K126" s="102">
        <v>36</v>
      </c>
      <c r="L126" s="103">
        <v>0</v>
      </c>
      <c r="M126" s="104">
        <v>20</v>
      </c>
      <c r="N126" s="102">
        <v>40</v>
      </c>
      <c r="O126" s="102">
        <v>0</v>
      </c>
      <c r="P126" s="102">
        <v>65</v>
      </c>
      <c r="Q126" s="104">
        <f>_xlfn.FLOOR.MATH(0+0*B126)</f>
        <v>0</v>
      </c>
      <c r="R126" s="102">
        <f>_xlfn.FLOOR.MATH(39+0.25*B126)</f>
        <v>66</v>
      </c>
      <c r="S126" s="102">
        <f>_xlfn.FLOOR.MATH(28+0.2*B126)</f>
        <v>50</v>
      </c>
      <c r="T126" s="105">
        <f>_xlfn.FLOOR.MATH(33+0.51*B126)</f>
        <v>89</v>
      </c>
      <c r="U126" s="102">
        <v>10</v>
      </c>
      <c r="V126" s="102">
        <v>31</v>
      </c>
      <c r="W126" s="106" t="s">
        <v>115</v>
      </c>
      <c r="X126" s="106" t="s">
        <v>416</v>
      </c>
      <c r="Y126" s="102" t="s">
        <v>127</v>
      </c>
      <c r="Z126" s="102" t="s">
        <v>128</v>
      </c>
      <c r="AA126" s="104" t="s">
        <v>420</v>
      </c>
      <c r="AB126" s="105">
        <v>35</v>
      </c>
      <c r="AC126" s="104">
        <v>3</v>
      </c>
      <c r="AD126" s="123" t="s">
        <v>411</v>
      </c>
      <c r="AE126" s="104">
        <v>35</v>
      </c>
      <c r="AF126" s="105">
        <v>40</v>
      </c>
      <c r="AG126" s="104">
        <v>1.28</v>
      </c>
      <c r="AH126" s="102">
        <v>2.4</v>
      </c>
      <c r="AI126" s="105">
        <v>0.625</v>
      </c>
      <c r="AJ126" s="104">
        <v>20</v>
      </c>
      <c r="AK126" s="102">
        <v>30</v>
      </c>
      <c r="AL126" s="102">
        <v>50</v>
      </c>
      <c r="AM126" s="105">
        <v>20</v>
      </c>
      <c r="AN126" s="104">
        <v>0</v>
      </c>
      <c r="AO126" s="102">
        <v>0</v>
      </c>
      <c r="AP126" s="102">
        <v>10</v>
      </c>
      <c r="AQ126" s="105">
        <v>50</v>
      </c>
      <c r="AT126" s="110">
        <v>0.114583333333333</v>
      </c>
      <c r="AU126" s="125" t="str">
        <f>HYPERLINK("http://www.jianrmod.cn/data/shipGetInfo.html?type=0&amp;cid=10012612","详细")</f>
        <v>详细</v>
      </c>
    </row>
    <row r="127" spans="1:47">
      <c r="A127" s="100">
        <v>10012712</v>
      </c>
      <c r="B127" s="101">
        <v>110</v>
      </c>
      <c r="C127" s="102">
        <v>3</v>
      </c>
      <c r="D127" s="103" t="s">
        <v>421</v>
      </c>
      <c r="F127" s="103" t="s">
        <v>49</v>
      </c>
      <c r="G127" s="103">
        <v>1</v>
      </c>
      <c r="H127" s="103">
        <v>2</v>
      </c>
      <c r="I127" s="104" t="s">
        <v>50</v>
      </c>
      <c r="J127" s="102" t="s">
        <v>125</v>
      </c>
      <c r="K127" s="102">
        <v>43</v>
      </c>
      <c r="L127" s="103">
        <v>1</v>
      </c>
      <c r="M127" s="104">
        <v>20</v>
      </c>
      <c r="N127" s="102">
        <v>42</v>
      </c>
      <c r="O127" s="102">
        <v>0</v>
      </c>
      <c r="P127" s="102">
        <v>72</v>
      </c>
      <c r="Q127" s="104">
        <f>_xlfn.FLOOR.MATH(0+0*B127)</f>
        <v>0</v>
      </c>
      <c r="R127" s="102">
        <f>_xlfn.FLOOR.MATH(36+0.25*B127)</f>
        <v>63</v>
      </c>
      <c r="S127" s="102">
        <f>_xlfn.FLOOR.MATH(21+0.2*B127)</f>
        <v>43</v>
      </c>
      <c r="T127" s="105">
        <f>_xlfn.FLOOR.MATH(33+0.51*B127)</f>
        <v>89</v>
      </c>
      <c r="U127" s="102">
        <v>21</v>
      </c>
      <c r="V127" s="102">
        <v>24</v>
      </c>
      <c r="W127" s="106" t="s">
        <v>115</v>
      </c>
      <c r="Y127" s="102" t="s">
        <v>127</v>
      </c>
      <c r="Z127" s="102" t="s">
        <v>128</v>
      </c>
      <c r="AA127" s="104" t="s">
        <v>422</v>
      </c>
      <c r="AB127" s="105">
        <v>35</v>
      </c>
      <c r="AC127" s="104">
        <v>3</v>
      </c>
      <c r="AD127" s="123" t="s">
        <v>423</v>
      </c>
      <c r="AE127" s="104">
        <v>30</v>
      </c>
      <c r="AF127" s="105">
        <v>40</v>
      </c>
      <c r="AG127" s="104">
        <v>1.28</v>
      </c>
      <c r="AH127" s="102">
        <v>2.4</v>
      </c>
      <c r="AI127" s="105">
        <v>0.75</v>
      </c>
      <c r="AJ127" s="104">
        <v>20</v>
      </c>
      <c r="AK127" s="102">
        <v>30</v>
      </c>
      <c r="AL127" s="102">
        <v>50</v>
      </c>
      <c r="AM127" s="105">
        <v>20</v>
      </c>
      <c r="AN127" s="104">
        <v>2</v>
      </c>
      <c r="AO127" s="102">
        <v>0</v>
      </c>
      <c r="AP127" s="102">
        <v>11</v>
      </c>
      <c r="AQ127" s="105">
        <v>48</v>
      </c>
      <c r="AU127" s="125" t="str">
        <f>HYPERLINK("http://www.jianrmod.cn/data/shipGetInfo.html?type=0&amp;cid=10012712","详细")</f>
        <v>详细</v>
      </c>
    </row>
    <row r="128" spans="1:47">
      <c r="A128" s="100">
        <v>10012813</v>
      </c>
      <c r="B128" s="101">
        <v>110</v>
      </c>
      <c r="C128" s="102">
        <v>3</v>
      </c>
      <c r="D128" s="103" t="s">
        <v>424</v>
      </c>
      <c r="F128" s="103" t="s">
        <v>49</v>
      </c>
      <c r="G128" s="103">
        <v>2</v>
      </c>
      <c r="H128" s="103">
        <v>2</v>
      </c>
      <c r="I128" s="104" t="s">
        <v>73</v>
      </c>
      <c r="J128" s="102" t="s">
        <v>51</v>
      </c>
      <c r="K128" s="102">
        <v>55</v>
      </c>
      <c r="L128" s="103">
        <v>1</v>
      </c>
      <c r="M128" s="104">
        <v>68</v>
      </c>
      <c r="N128" s="102">
        <v>50</v>
      </c>
      <c r="O128" s="102">
        <v>42</v>
      </c>
      <c r="P128" s="102">
        <v>50</v>
      </c>
      <c r="Q128" s="104">
        <f>_xlfn.FLOOR.MATH(0+0*B128)</f>
        <v>0</v>
      </c>
      <c r="R128" s="102">
        <f>_xlfn.FLOOR.MATH(13+0.25*B128)</f>
        <v>40</v>
      </c>
      <c r="S128" s="102">
        <f>_xlfn.FLOOR.MATH(25+0.3*B128)</f>
        <v>58</v>
      </c>
      <c r="T128" s="105">
        <f>_xlfn.FLOOR.MATH(38+0.51*B128)</f>
        <v>94</v>
      </c>
      <c r="U128" s="102">
        <v>13</v>
      </c>
      <c r="V128" s="102">
        <v>27.5</v>
      </c>
      <c r="W128" s="106" t="s">
        <v>52</v>
      </c>
      <c r="Y128" s="102" t="s">
        <v>54</v>
      </c>
      <c r="Z128" s="102" t="s">
        <v>55</v>
      </c>
      <c r="AA128" s="104" t="s">
        <v>160</v>
      </c>
      <c r="AB128" s="105">
        <v>6</v>
      </c>
      <c r="AC128" s="104">
        <v>3</v>
      </c>
      <c r="AD128" s="123" t="s">
        <v>425</v>
      </c>
      <c r="AE128" s="104">
        <v>50</v>
      </c>
      <c r="AF128" s="105">
        <v>90</v>
      </c>
      <c r="AG128" s="104">
        <v>2.08</v>
      </c>
      <c r="AH128" s="102">
        <v>4.3</v>
      </c>
      <c r="AI128" s="105">
        <v>0.75</v>
      </c>
      <c r="AJ128" s="104">
        <v>40</v>
      </c>
      <c r="AK128" s="102">
        <v>50</v>
      </c>
      <c r="AL128" s="102">
        <v>40</v>
      </c>
      <c r="AM128" s="105">
        <v>0</v>
      </c>
      <c r="AN128" s="104">
        <v>43</v>
      </c>
      <c r="AO128" s="102">
        <v>0</v>
      </c>
      <c r="AP128" s="102">
        <v>38</v>
      </c>
      <c r="AQ128" s="105">
        <v>10</v>
      </c>
      <c r="AU128" s="125" t="str">
        <f>HYPERLINK("http://www.jianrmod.cn/data/shipGetInfo.html?type=0&amp;cid=10012813","详细")</f>
        <v>详细</v>
      </c>
    </row>
    <row r="129" spans="1:47">
      <c r="A129" s="100">
        <v>10012913</v>
      </c>
      <c r="B129" s="101">
        <v>110</v>
      </c>
      <c r="C129" s="102">
        <v>3</v>
      </c>
      <c r="D129" s="103" t="s">
        <v>426</v>
      </c>
      <c r="F129" s="103" t="s">
        <v>49</v>
      </c>
      <c r="G129" s="103">
        <v>2</v>
      </c>
      <c r="H129" s="103">
        <v>2</v>
      </c>
      <c r="I129" s="104" t="s">
        <v>73</v>
      </c>
      <c r="J129" s="102" t="s">
        <v>51</v>
      </c>
      <c r="K129" s="102">
        <v>55</v>
      </c>
      <c r="L129" s="103">
        <v>1</v>
      </c>
      <c r="M129" s="104">
        <v>68</v>
      </c>
      <c r="N129" s="102">
        <v>50</v>
      </c>
      <c r="O129" s="102">
        <v>42</v>
      </c>
      <c r="P129" s="102">
        <v>50</v>
      </c>
      <c r="Q129" s="104">
        <f>_xlfn.FLOOR.MATH(0+0*B129)</f>
        <v>0</v>
      </c>
      <c r="R129" s="102">
        <f>_xlfn.FLOOR.MATH(13+0.25*B129)</f>
        <v>40</v>
      </c>
      <c r="S129" s="102">
        <f>_xlfn.FLOOR.MATH(25+0.3*B129)</f>
        <v>58</v>
      </c>
      <c r="T129" s="105">
        <f>_xlfn.FLOOR.MATH(38+0.51*B129)</f>
        <v>94</v>
      </c>
      <c r="U129" s="102">
        <v>15</v>
      </c>
      <c r="V129" s="102">
        <v>27.5</v>
      </c>
      <c r="W129" s="106" t="s">
        <v>52</v>
      </c>
      <c r="Y129" s="102" t="s">
        <v>54</v>
      </c>
      <c r="Z129" s="102" t="s">
        <v>55</v>
      </c>
      <c r="AA129" s="104" t="s">
        <v>160</v>
      </c>
      <c r="AB129" s="105">
        <v>6</v>
      </c>
      <c r="AC129" s="104">
        <v>3</v>
      </c>
      <c r="AD129" s="123" t="s">
        <v>425</v>
      </c>
      <c r="AE129" s="104">
        <v>50</v>
      </c>
      <c r="AF129" s="105">
        <v>90</v>
      </c>
      <c r="AG129" s="104">
        <v>2.08</v>
      </c>
      <c r="AH129" s="102">
        <v>4.3</v>
      </c>
      <c r="AI129" s="105">
        <v>0.75</v>
      </c>
      <c r="AJ129" s="104">
        <v>40</v>
      </c>
      <c r="AK129" s="102">
        <v>50</v>
      </c>
      <c r="AL129" s="102">
        <v>40</v>
      </c>
      <c r="AM129" s="105">
        <v>0</v>
      </c>
      <c r="AN129" s="104">
        <v>43</v>
      </c>
      <c r="AO129" s="102">
        <v>0</v>
      </c>
      <c r="AP129" s="102">
        <v>38</v>
      </c>
      <c r="AQ129" s="105">
        <v>10</v>
      </c>
      <c r="AU129" s="125" t="str">
        <f>HYPERLINK("http://www.jianrmod.cn/data/shipGetInfo.html?type=0&amp;cid=10012913","详细")</f>
        <v>详细</v>
      </c>
    </row>
    <row r="130" spans="1:47">
      <c r="A130" s="100">
        <v>10013013</v>
      </c>
      <c r="B130" s="101">
        <v>110</v>
      </c>
      <c r="C130" s="102">
        <v>4</v>
      </c>
      <c r="D130" s="103" t="s">
        <v>427</v>
      </c>
      <c r="F130" s="103" t="s">
        <v>49</v>
      </c>
      <c r="G130" s="103">
        <v>2</v>
      </c>
      <c r="H130" s="103">
        <v>2</v>
      </c>
      <c r="I130" s="104" t="s">
        <v>73</v>
      </c>
      <c r="J130" s="102" t="s">
        <v>51</v>
      </c>
      <c r="K130" s="102">
        <v>57</v>
      </c>
      <c r="L130" s="103">
        <v>-1</v>
      </c>
      <c r="M130" s="104">
        <v>68</v>
      </c>
      <c r="N130" s="102">
        <v>50</v>
      </c>
      <c r="O130" s="102">
        <v>42</v>
      </c>
      <c r="P130" s="102">
        <v>52</v>
      </c>
      <c r="Q130" s="104">
        <f>_xlfn.FLOOR.MATH(0+0*B130)</f>
        <v>0</v>
      </c>
      <c r="R130" s="102">
        <f>_xlfn.FLOOR.MATH(14+0.25*B130)</f>
        <v>41</v>
      </c>
      <c r="S130" s="102">
        <f>_xlfn.FLOOR.MATH(25+0.3*B130)</f>
        <v>58</v>
      </c>
      <c r="T130" s="105">
        <f>_xlfn.FLOOR.MATH(39+0.51*B130)</f>
        <v>95</v>
      </c>
      <c r="U130" s="102">
        <v>8</v>
      </c>
      <c r="V130" s="102">
        <v>27.5</v>
      </c>
      <c r="W130" s="106" t="s">
        <v>52</v>
      </c>
      <c r="X130" s="106" t="s">
        <v>428</v>
      </c>
      <c r="Y130" s="102" t="s">
        <v>54</v>
      </c>
      <c r="Z130" s="102" t="s">
        <v>55</v>
      </c>
      <c r="AA130" s="104" t="s">
        <v>160</v>
      </c>
      <c r="AB130" s="105">
        <v>6</v>
      </c>
      <c r="AC130" s="104">
        <v>3</v>
      </c>
      <c r="AD130" s="123" t="s">
        <v>425</v>
      </c>
      <c r="AE130" s="104">
        <v>50</v>
      </c>
      <c r="AF130" s="105">
        <v>90</v>
      </c>
      <c r="AG130" s="104">
        <v>2.08</v>
      </c>
      <c r="AH130" s="102">
        <v>4.3</v>
      </c>
      <c r="AI130" s="105">
        <v>0.75</v>
      </c>
      <c r="AJ130" s="104">
        <v>40</v>
      </c>
      <c r="AK130" s="102">
        <v>50</v>
      </c>
      <c r="AL130" s="102">
        <v>40</v>
      </c>
      <c r="AM130" s="105">
        <v>0</v>
      </c>
      <c r="AN130" s="104">
        <v>43</v>
      </c>
      <c r="AO130" s="102">
        <v>0</v>
      </c>
      <c r="AP130" s="102">
        <v>39</v>
      </c>
      <c r="AQ130" s="105">
        <v>11</v>
      </c>
      <c r="AU130" s="125" t="str">
        <f>HYPERLINK("http://www.jianrmod.cn/data/shipGetInfo.html?type=0&amp;cid=10013013","详细")</f>
        <v>详细</v>
      </c>
    </row>
    <row r="131" spans="1:47">
      <c r="A131" s="100">
        <v>10013112</v>
      </c>
      <c r="B131" s="101">
        <v>110</v>
      </c>
      <c r="C131" s="102">
        <v>3</v>
      </c>
      <c r="D131" s="103" t="s">
        <v>429</v>
      </c>
      <c r="E131" s="103" t="s">
        <v>430</v>
      </c>
      <c r="F131" s="103" t="s">
        <v>49</v>
      </c>
      <c r="G131" s="103">
        <v>2</v>
      </c>
      <c r="H131" s="103">
        <v>2</v>
      </c>
      <c r="I131" s="104" t="s">
        <v>60</v>
      </c>
      <c r="J131" s="102" t="s">
        <v>157</v>
      </c>
      <c r="K131" s="102">
        <v>36</v>
      </c>
      <c r="L131" s="103">
        <v>0</v>
      </c>
      <c r="M131" s="104">
        <v>48</v>
      </c>
      <c r="N131" s="102">
        <v>41</v>
      </c>
      <c r="O131" s="102">
        <v>51</v>
      </c>
      <c r="P131" s="102">
        <v>48</v>
      </c>
      <c r="Q131" s="104">
        <f>_xlfn.FLOOR.MATH(0+0*B131)</f>
        <v>0</v>
      </c>
      <c r="R131" s="102">
        <f>_xlfn.FLOOR.MATH(11+0.35*B131)</f>
        <v>49</v>
      </c>
      <c r="S131" s="102">
        <f>_xlfn.FLOOR.MATH(35+0.4*B131)</f>
        <v>79</v>
      </c>
      <c r="T131" s="105">
        <f>_xlfn.FLOOR.MATH(35+0.51*B131)</f>
        <v>91</v>
      </c>
      <c r="U131" s="102">
        <v>10</v>
      </c>
      <c r="V131" s="102">
        <v>35</v>
      </c>
      <c r="W131" s="106" t="s">
        <v>158</v>
      </c>
      <c r="X131" s="106" t="s">
        <v>431</v>
      </c>
      <c r="Y131" s="102" t="s">
        <v>127</v>
      </c>
      <c r="Z131" s="102" t="s">
        <v>128</v>
      </c>
      <c r="AA131" s="104" t="s">
        <v>160</v>
      </c>
      <c r="AB131" s="105">
        <v>6</v>
      </c>
      <c r="AC131" s="104">
        <v>3</v>
      </c>
      <c r="AD131" s="123" t="s">
        <v>168</v>
      </c>
      <c r="AE131" s="104">
        <v>40</v>
      </c>
      <c r="AF131" s="105">
        <v>65</v>
      </c>
      <c r="AG131" s="104">
        <v>1.28</v>
      </c>
      <c r="AH131" s="102">
        <v>2.4</v>
      </c>
      <c r="AI131" s="105">
        <v>0.75</v>
      </c>
      <c r="AJ131" s="104">
        <v>30</v>
      </c>
      <c r="AK131" s="102">
        <v>40</v>
      </c>
      <c r="AL131" s="102">
        <v>30</v>
      </c>
      <c r="AM131" s="105">
        <v>0</v>
      </c>
      <c r="AN131" s="104">
        <v>28</v>
      </c>
      <c r="AO131" s="102">
        <v>10</v>
      </c>
      <c r="AP131" s="102">
        <v>13</v>
      </c>
      <c r="AQ131" s="105">
        <v>9</v>
      </c>
      <c r="AT131" s="110">
        <v>0.0520833333333333</v>
      </c>
      <c r="AU131" s="125" t="str">
        <f>HYPERLINK("http://www.jianrmod.cn/data/shipGetInfo.html?type=0&amp;cid=10013112","详细")</f>
        <v>详细</v>
      </c>
    </row>
    <row r="132" spans="1:47">
      <c r="A132" s="100">
        <v>10013212</v>
      </c>
      <c r="B132" s="101">
        <v>110</v>
      </c>
      <c r="C132" s="102">
        <v>3</v>
      </c>
      <c r="D132" s="103" t="s">
        <v>432</v>
      </c>
      <c r="E132" s="103" t="s">
        <v>433</v>
      </c>
      <c r="F132" s="103" t="s">
        <v>49</v>
      </c>
      <c r="G132" s="103">
        <v>2</v>
      </c>
      <c r="H132" s="103">
        <v>2</v>
      </c>
      <c r="I132" s="104" t="s">
        <v>60</v>
      </c>
      <c r="J132" s="102" t="s">
        <v>157</v>
      </c>
      <c r="K132" s="102">
        <v>36</v>
      </c>
      <c r="L132" s="103">
        <v>0</v>
      </c>
      <c r="M132" s="104">
        <v>48</v>
      </c>
      <c r="N132" s="102">
        <v>41</v>
      </c>
      <c r="O132" s="102">
        <v>51</v>
      </c>
      <c r="P132" s="102">
        <v>48</v>
      </c>
      <c r="Q132" s="104">
        <f>_xlfn.FLOOR.MATH(0+0*B132)</f>
        <v>0</v>
      </c>
      <c r="R132" s="102">
        <f>_xlfn.FLOOR.MATH(11+0.35*B132)</f>
        <v>49</v>
      </c>
      <c r="S132" s="102">
        <f>_xlfn.FLOOR.MATH(35+0.4*B132)</f>
        <v>79</v>
      </c>
      <c r="T132" s="105">
        <f>_xlfn.FLOOR.MATH(35+0.51*B132)</f>
        <v>91</v>
      </c>
      <c r="U132" s="102">
        <v>15</v>
      </c>
      <c r="V132" s="102">
        <v>35</v>
      </c>
      <c r="W132" s="106" t="s">
        <v>158</v>
      </c>
      <c r="X132" s="106" t="s">
        <v>431</v>
      </c>
      <c r="Y132" s="102" t="s">
        <v>127</v>
      </c>
      <c r="Z132" s="102" t="s">
        <v>128</v>
      </c>
      <c r="AA132" s="104" t="s">
        <v>160</v>
      </c>
      <c r="AB132" s="105">
        <v>6</v>
      </c>
      <c r="AC132" s="104">
        <v>3</v>
      </c>
      <c r="AD132" s="123" t="s">
        <v>168</v>
      </c>
      <c r="AE132" s="104">
        <v>40</v>
      </c>
      <c r="AF132" s="105">
        <v>65</v>
      </c>
      <c r="AG132" s="104">
        <v>1.28</v>
      </c>
      <c r="AH132" s="102">
        <v>2.4</v>
      </c>
      <c r="AI132" s="105">
        <v>0.75</v>
      </c>
      <c r="AJ132" s="104">
        <v>30</v>
      </c>
      <c r="AK132" s="102">
        <v>40</v>
      </c>
      <c r="AL132" s="102">
        <v>30</v>
      </c>
      <c r="AM132" s="105">
        <v>0</v>
      </c>
      <c r="AN132" s="104">
        <v>28</v>
      </c>
      <c r="AO132" s="102">
        <v>10</v>
      </c>
      <c r="AP132" s="102">
        <v>13</v>
      </c>
      <c r="AQ132" s="105">
        <v>9</v>
      </c>
      <c r="AT132" s="110">
        <v>0.0520833333333333</v>
      </c>
      <c r="AU132" s="125" t="str">
        <f>HYPERLINK("http://www.jianrmod.cn/data/shipGetInfo.html?type=0&amp;cid=10013212","详细")</f>
        <v>详细</v>
      </c>
    </row>
    <row r="133" spans="1:47">
      <c r="A133" s="100">
        <v>10013312</v>
      </c>
      <c r="B133" s="101">
        <v>110</v>
      </c>
      <c r="C133" s="102">
        <v>3</v>
      </c>
      <c r="D133" s="103" t="s">
        <v>434</v>
      </c>
      <c r="E133" s="103" t="s">
        <v>435</v>
      </c>
      <c r="F133" s="103" t="s">
        <v>49</v>
      </c>
      <c r="G133" s="103">
        <v>2</v>
      </c>
      <c r="H133" s="103">
        <v>2</v>
      </c>
      <c r="I133" s="104" t="s">
        <v>60</v>
      </c>
      <c r="J133" s="102" t="s">
        <v>157</v>
      </c>
      <c r="K133" s="102">
        <v>37</v>
      </c>
      <c r="L133" s="103">
        <v>-1</v>
      </c>
      <c r="M133" s="104">
        <v>48</v>
      </c>
      <c r="N133" s="102">
        <v>42</v>
      </c>
      <c r="O133" s="102">
        <v>51</v>
      </c>
      <c r="P133" s="102">
        <v>48</v>
      </c>
      <c r="Q133" s="104">
        <f>_xlfn.FLOOR.MATH(0+0*B133)</f>
        <v>0</v>
      </c>
      <c r="R133" s="102">
        <f>_xlfn.FLOOR.MATH(11+0.35*B133)</f>
        <v>49</v>
      </c>
      <c r="S133" s="102">
        <f>_xlfn.FLOOR.MATH(35+0.4*B133)</f>
        <v>79</v>
      </c>
      <c r="T133" s="105">
        <f>_xlfn.FLOOR.MATH(35+0.51*B133)</f>
        <v>91</v>
      </c>
      <c r="U133" s="102">
        <v>20</v>
      </c>
      <c r="V133" s="102">
        <v>35</v>
      </c>
      <c r="W133" s="106" t="s">
        <v>158</v>
      </c>
      <c r="X133" s="106" t="s">
        <v>431</v>
      </c>
      <c r="Y133" s="102" t="s">
        <v>127</v>
      </c>
      <c r="Z133" s="102" t="s">
        <v>128</v>
      </c>
      <c r="AA133" s="104" t="s">
        <v>160</v>
      </c>
      <c r="AB133" s="105">
        <v>6</v>
      </c>
      <c r="AC133" s="104">
        <v>3</v>
      </c>
      <c r="AD133" s="123" t="s">
        <v>168</v>
      </c>
      <c r="AE133" s="104">
        <v>40</v>
      </c>
      <c r="AF133" s="105">
        <v>65</v>
      </c>
      <c r="AG133" s="104">
        <v>1.28</v>
      </c>
      <c r="AH133" s="102">
        <v>2.4</v>
      </c>
      <c r="AI133" s="105">
        <v>0.75</v>
      </c>
      <c r="AJ133" s="104">
        <v>30</v>
      </c>
      <c r="AK133" s="102">
        <v>40</v>
      </c>
      <c r="AL133" s="102">
        <v>30</v>
      </c>
      <c r="AM133" s="105">
        <v>0</v>
      </c>
      <c r="AN133" s="104">
        <v>28</v>
      </c>
      <c r="AO133" s="102">
        <v>10</v>
      </c>
      <c r="AP133" s="102">
        <v>14</v>
      </c>
      <c r="AQ133" s="105">
        <v>9</v>
      </c>
      <c r="AT133" s="110">
        <v>0.0520833333333333</v>
      </c>
      <c r="AU133" s="125" t="str">
        <f>HYPERLINK("http://www.jianrmod.cn/data/shipGetInfo.html?type=0&amp;cid=10013312","详细")</f>
        <v>详细</v>
      </c>
    </row>
    <row r="134" spans="1:47">
      <c r="A134" s="100">
        <v>10013412</v>
      </c>
      <c r="B134" s="101">
        <v>110</v>
      </c>
      <c r="C134" s="102">
        <v>3</v>
      </c>
      <c r="D134" s="103" t="s">
        <v>436</v>
      </c>
      <c r="E134" s="103" t="s">
        <v>437</v>
      </c>
      <c r="F134" s="103" t="s">
        <v>49</v>
      </c>
      <c r="G134" s="103">
        <v>2</v>
      </c>
      <c r="H134" s="103">
        <v>2</v>
      </c>
      <c r="I134" s="104" t="s">
        <v>60</v>
      </c>
      <c r="J134" s="102" t="s">
        <v>157</v>
      </c>
      <c r="K134" s="102">
        <v>37</v>
      </c>
      <c r="L134" s="103">
        <v>-1</v>
      </c>
      <c r="M134" s="104">
        <v>48</v>
      </c>
      <c r="N134" s="102">
        <v>42</v>
      </c>
      <c r="O134" s="102">
        <v>51</v>
      </c>
      <c r="P134" s="102">
        <v>48</v>
      </c>
      <c r="Q134" s="104">
        <f>_xlfn.FLOOR.MATH(0+0*B134)</f>
        <v>0</v>
      </c>
      <c r="R134" s="102">
        <f>_xlfn.FLOOR.MATH(11+0.35*B134)</f>
        <v>49</v>
      </c>
      <c r="S134" s="102">
        <f>_xlfn.FLOOR.MATH(35+0.4*B134)</f>
        <v>79</v>
      </c>
      <c r="T134" s="105">
        <f>_xlfn.FLOOR.MATH(35+0.51*B134)</f>
        <v>91</v>
      </c>
      <c r="U134" s="102">
        <v>15</v>
      </c>
      <c r="V134" s="102">
        <v>35</v>
      </c>
      <c r="W134" s="106" t="s">
        <v>158</v>
      </c>
      <c r="Y134" s="102" t="s">
        <v>127</v>
      </c>
      <c r="Z134" s="102" t="s">
        <v>128</v>
      </c>
      <c r="AA134" s="104" t="s">
        <v>160</v>
      </c>
      <c r="AB134" s="105">
        <v>6</v>
      </c>
      <c r="AC134" s="104">
        <v>3</v>
      </c>
      <c r="AD134" s="123" t="s">
        <v>168</v>
      </c>
      <c r="AE134" s="104">
        <v>40</v>
      </c>
      <c r="AF134" s="105">
        <v>65</v>
      </c>
      <c r="AG134" s="104">
        <v>1.28</v>
      </c>
      <c r="AH134" s="102">
        <v>2.4</v>
      </c>
      <c r="AI134" s="105">
        <v>0.75</v>
      </c>
      <c r="AJ134" s="104">
        <v>30</v>
      </c>
      <c r="AK134" s="102">
        <v>40</v>
      </c>
      <c r="AL134" s="102">
        <v>30</v>
      </c>
      <c r="AM134" s="105">
        <v>0</v>
      </c>
      <c r="AN134" s="104">
        <v>28</v>
      </c>
      <c r="AO134" s="102">
        <v>10</v>
      </c>
      <c r="AP134" s="102">
        <v>14</v>
      </c>
      <c r="AQ134" s="105">
        <v>9</v>
      </c>
      <c r="AT134" s="110">
        <v>0.0520833333333333</v>
      </c>
      <c r="AU134" s="125" t="str">
        <f>HYPERLINK("http://www.jianrmod.cn/data/shipGetInfo.html?type=0&amp;cid=10013412","详细")</f>
        <v>详细</v>
      </c>
    </row>
    <row r="135" spans="1:47">
      <c r="A135" s="100">
        <v>10013512</v>
      </c>
      <c r="B135" s="101">
        <v>110</v>
      </c>
      <c r="C135" s="102">
        <v>3</v>
      </c>
      <c r="D135" s="103" t="s">
        <v>438</v>
      </c>
      <c r="F135" s="103" t="s">
        <v>49</v>
      </c>
      <c r="G135" s="103">
        <v>2</v>
      </c>
      <c r="H135" s="103">
        <v>2</v>
      </c>
      <c r="I135" s="104" t="s">
        <v>50</v>
      </c>
      <c r="J135" s="102" t="s">
        <v>157</v>
      </c>
      <c r="K135" s="102">
        <v>50</v>
      </c>
      <c r="L135" s="103">
        <v>2</v>
      </c>
      <c r="M135" s="104">
        <v>55</v>
      </c>
      <c r="N135" s="102">
        <v>41</v>
      </c>
      <c r="O135" s="102">
        <v>53</v>
      </c>
      <c r="P135" s="102">
        <v>66</v>
      </c>
      <c r="Q135" s="104">
        <f>_xlfn.FLOOR.MATH(0+0*B135)</f>
        <v>0</v>
      </c>
      <c r="R135" s="102">
        <f>_xlfn.FLOOR.MATH(15+0.35*B135)</f>
        <v>53</v>
      </c>
      <c r="S135" s="102">
        <f>_xlfn.FLOOR.MATH(31+0.4*B135)</f>
        <v>75</v>
      </c>
      <c r="T135" s="105">
        <f>_xlfn.FLOOR.MATH(35+0.51*B135)</f>
        <v>91</v>
      </c>
      <c r="U135" s="102">
        <v>13</v>
      </c>
      <c r="V135" s="102">
        <v>32.5</v>
      </c>
      <c r="W135" s="106" t="s">
        <v>158</v>
      </c>
      <c r="X135" s="106" t="s">
        <v>439</v>
      </c>
      <c r="Y135" s="102" t="s">
        <v>127</v>
      </c>
      <c r="Z135" s="102" t="s">
        <v>128</v>
      </c>
      <c r="AA135" s="104" t="s">
        <v>160</v>
      </c>
      <c r="AB135" s="105">
        <v>6</v>
      </c>
      <c r="AC135" s="104">
        <v>3</v>
      </c>
      <c r="AD135" s="123" t="s">
        <v>440</v>
      </c>
      <c r="AE135" s="104">
        <v>35</v>
      </c>
      <c r="AF135" s="105">
        <v>70</v>
      </c>
      <c r="AG135" s="104">
        <v>1.28</v>
      </c>
      <c r="AH135" s="102">
        <v>2.4</v>
      </c>
      <c r="AI135" s="105">
        <v>0.75</v>
      </c>
      <c r="AJ135" s="104">
        <v>30</v>
      </c>
      <c r="AK135" s="102">
        <v>40</v>
      </c>
      <c r="AL135" s="102">
        <v>30</v>
      </c>
      <c r="AM135" s="105">
        <v>0</v>
      </c>
      <c r="AN135" s="104">
        <v>39</v>
      </c>
      <c r="AO135" s="102">
        <v>9</v>
      </c>
      <c r="AP135" s="102">
        <v>14</v>
      </c>
      <c r="AQ135" s="105">
        <v>18</v>
      </c>
      <c r="AT135" s="110">
        <v>0.0555555555555556</v>
      </c>
      <c r="AU135" s="125"/>
    </row>
    <row r="136" spans="1:47">
      <c r="A136" s="100">
        <v>10013612</v>
      </c>
      <c r="B136" s="101">
        <v>110</v>
      </c>
      <c r="C136" s="102">
        <v>3</v>
      </c>
      <c r="D136" s="103" t="s">
        <v>441</v>
      </c>
      <c r="F136" s="103" t="s">
        <v>49</v>
      </c>
      <c r="G136" s="103">
        <v>2</v>
      </c>
      <c r="H136" s="103">
        <v>2</v>
      </c>
      <c r="I136" s="104" t="s">
        <v>50</v>
      </c>
      <c r="J136" s="102" t="s">
        <v>157</v>
      </c>
      <c r="K136" s="102">
        <v>49</v>
      </c>
      <c r="L136" s="103">
        <v>-1</v>
      </c>
      <c r="M136" s="104">
        <v>54</v>
      </c>
      <c r="N136" s="102">
        <v>40</v>
      </c>
      <c r="O136" s="102">
        <v>45</v>
      </c>
      <c r="P136" s="102">
        <v>65</v>
      </c>
      <c r="Q136" s="104">
        <f>_xlfn.FLOOR.MATH(0+0*B136)</f>
        <v>0</v>
      </c>
      <c r="R136" s="102">
        <f>_xlfn.FLOOR.MATH(14+0.35*B136)</f>
        <v>52</v>
      </c>
      <c r="S136" s="102">
        <f>_xlfn.FLOOR.MATH(30+0.4*B136)</f>
        <v>74</v>
      </c>
      <c r="T136" s="105">
        <f>_xlfn.FLOOR.MATH(35+0.51*B136)</f>
        <v>91</v>
      </c>
      <c r="U136" s="102">
        <v>15</v>
      </c>
      <c r="V136" s="102">
        <v>32.5</v>
      </c>
      <c r="W136" s="106" t="s">
        <v>158</v>
      </c>
      <c r="X136" s="106" t="s">
        <v>439</v>
      </c>
      <c r="Y136" s="102" t="s">
        <v>127</v>
      </c>
      <c r="Z136" s="102" t="s">
        <v>128</v>
      </c>
      <c r="AA136" s="104" t="s">
        <v>160</v>
      </c>
      <c r="AB136" s="105">
        <v>6</v>
      </c>
      <c r="AC136" s="104">
        <v>3</v>
      </c>
      <c r="AD136" s="123" t="s">
        <v>440</v>
      </c>
      <c r="AE136" s="104">
        <v>35</v>
      </c>
      <c r="AF136" s="105">
        <v>70</v>
      </c>
      <c r="AG136" s="104">
        <v>1.28</v>
      </c>
      <c r="AH136" s="102">
        <v>2.4</v>
      </c>
      <c r="AI136" s="105">
        <v>0.75</v>
      </c>
      <c r="AJ136" s="104">
        <v>30</v>
      </c>
      <c r="AK136" s="102">
        <v>40</v>
      </c>
      <c r="AL136" s="102">
        <v>30</v>
      </c>
      <c r="AM136" s="105">
        <v>0</v>
      </c>
      <c r="AN136" s="104">
        <v>38</v>
      </c>
      <c r="AO136" s="102">
        <v>5</v>
      </c>
      <c r="AP136" s="102">
        <v>13</v>
      </c>
      <c r="AQ136" s="105">
        <v>18</v>
      </c>
      <c r="AT136" s="110">
        <v>0.0555555555555556</v>
      </c>
      <c r="AU136" s="125"/>
    </row>
    <row r="137" spans="1:47">
      <c r="A137" s="100">
        <v>10013712</v>
      </c>
      <c r="B137" s="101">
        <v>110</v>
      </c>
      <c r="C137" s="102">
        <v>3</v>
      </c>
      <c r="D137" s="103" t="s">
        <v>442</v>
      </c>
      <c r="F137" s="103" t="s">
        <v>49</v>
      </c>
      <c r="G137" s="103">
        <v>2</v>
      </c>
      <c r="H137" s="103">
        <v>2</v>
      </c>
      <c r="I137" s="104" t="s">
        <v>86</v>
      </c>
      <c r="J137" s="102" t="s">
        <v>157</v>
      </c>
      <c r="K137" s="102">
        <v>49</v>
      </c>
      <c r="L137" s="103">
        <v>-1</v>
      </c>
      <c r="M137" s="104">
        <v>63</v>
      </c>
      <c r="N137" s="102">
        <v>53</v>
      </c>
      <c r="O137" s="102">
        <v>0</v>
      </c>
      <c r="P137" s="102">
        <v>68</v>
      </c>
      <c r="Q137" s="104">
        <f>_xlfn.FLOOR.MATH(0+0*B137)</f>
        <v>0</v>
      </c>
      <c r="R137" s="102">
        <f>_xlfn.FLOOR.MATH(16+0.35*B137)</f>
        <v>54</v>
      </c>
      <c r="S137" s="102">
        <f>_xlfn.FLOOR.MATH(31+0.4*B137)</f>
        <v>75</v>
      </c>
      <c r="T137" s="105">
        <f>_xlfn.FLOOR.MATH(35+0.51*B137)</f>
        <v>91</v>
      </c>
      <c r="U137" s="102">
        <v>20</v>
      </c>
      <c r="V137" s="102">
        <v>32.7</v>
      </c>
      <c r="W137" s="106" t="s">
        <v>158</v>
      </c>
      <c r="X137" s="106" t="s">
        <v>443</v>
      </c>
      <c r="Y137" s="102" t="s">
        <v>127</v>
      </c>
      <c r="Z137" s="102" t="s">
        <v>128</v>
      </c>
      <c r="AA137" s="104" t="s">
        <v>160</v>
      </c>
      <c r="AB137" s="105">
        <v>6</v>
      </c>
      <c r="AC137" s="104">
        <v>3</v>
      </c>
      <c r="AD137" s="123" t="s">
        <v>179</v>
      </c>
      <c r="AE137" s="104">
        <v>40</v>
      </c>
      <c r="AF137" s="105">
        <v>70</v>
      </c>
      <c r="AG137" s="104">
        <v>1.28</v>
      </c>
      <c r="AH137" s="102">
        <v>2.4</v>
      </c>
      <c r="AI137" s="105">
        <v>0.625</v>
      </c>
      <c r="AJ137" s="104">
        <v>30</v>
      </c>
      <c r="AK137" s="102">
        <v>40</v>
      </c>
      <c r="AL137" s="102">
        <v>30</v>
      </c>
      <c r="AM137" s="105">
        <v>0</v>
      </c>
      <c r="AN137" s="104">
        <v>38</v>
      </c>
      <c r="AO137" s="102">
        <v>0</v>
      </c>
      <c r="AP137" s="102">
        <v>17</v>
      </c>
      <c r="AQ137" s="105">
        <v>26</v>
      </c>
      <c r="AT137" s="110">
        <v>0.0625</v>
      </c>
      <c r="AU137" s="125"/>
    </row>
    <row r="138" spans="1:47">
      <c r="A138" s="100">
        <v>10013812</v>
      </c>
      <c r="B138" s="101">
        <v>110</v>
      </c>
      <c r="C138" s="102">
        <v>4</v>
      </c>
      <c r="D138" s="103" t="s">
        <v>444</v>
      </c>
      <c r="F138" s="103" t="s">
        <v>49</v>
      </c>
      <c r="G138" s="103">
        <v>2</v>
      </c>
      <c r="H138" s="103">
        <v>2</v>
      </c>
      <c r="I138" s="104" t="s">
        <v>86</v>
      </c>
      <c r="J138" s="102" t="s">
        <v>157</v>
      </c>
      <c r="K138" s="102">
        <v>49</v>
      </c>
      <c r="L138" s="103">
        <v>-1</v>
      </c>
      <c r="M138" s="104">
        <v>63</v>
      </c>
      <c r="N138" s="102">
        <v>53</v>
      </c>
      <c r="O138" s="102">
        <v>0</v>
      </c>
      <c r="P138" s="102">
        <v>78</v>
      </c>
      <c r="Q138" s="104">
        <f>_xlfn.FLOOR.MATH(0+0*B138)</f>
        <v>0</v>
      </c>
      <c r="R138" s="102">
        <f>_xlfn.FLOOR.MATH(16+0.35*B138)</f>
        <v>54</v>
      </c>
      <c r="S138" s="102">
        <f>_xlfn.FLOOR.MATH(31+0.4*B138)</f>
        <v>75</v>
      </c>
      <c r="T138" s="105">
        <f>_xlfn.FLOOR.MATH(36+0.51*B138)</f>
        <v>92</v>
      </c>
      <c r="U138" s="102">
        <v>10</v>
      </c>
      <c r="V138" s="102">
        <v>32.7</v>
      </c>
      <c r="W138" s="106" t="s">
        <v>158</v>
      </c>
      <c r="Y138" s="102" t="s">
        <v>127</v>
      </c>
      <c r="Z138" s="102" t="s">
        <v>128</v>
      </c>
      <c r="AA138" s="104" t="s">
        <v>160</v>
      </c>
      <c r="AB138" s="105">
        <v>6</v>
      </c>
      <c r="AC138" s="104">
        <v>3</v>
      </c>
      <c r="AD138" s="123" t="s">
        <v>445</v>
      </c>
      <c r="AE138" s="104">
        <v>40</v>
      </c>
      <c r="AF138" s="105">
        <v>70</v>
      </c>
      <c r="AG138" s="104">
        <v>1.28</v>
      </c>
      <c r="AH138" s="102">
        <v>2.4</v>
      </c>
      <c r="AI138" s="105">
        <v>0.625</v>
      </c>
      <c r="AJ138" s="104">
        <v>30</v>
      </c>
      <c r="AK138" s="102">
        <v>40</v>
      </c>
      <c r="AL138" s="102">
        <v>30</v>
      </c>
      <c r="AM138" s="105">
        <v>0</v>
      </c>
      <c r="AN138" s="104">
        <v>38</v>
      </c>
      <c r="AO138" s="102">
        <v>0</v>
      </c>
      <c r="AP138" s="102">
        <v>17</v>
      </c>
      <c r="AQ138" s="105">
        <v>42</v>
      </c>
      <c r="AT138" s="110">
        <v>0.0625</v>
      </c>
      <c r="AU138" s="125"/>
    </row>
    <row r="139" spans="1:47">
      <c r="A139" s="100">
        <v>10013912</v>
      </c>
      <c r="B139" s="101">
        <v>110</v>
      </c>
      <c r="C139" s="102">
        <v>3</v>
      </c>
      <c r="D139" s="103" t="s">
        <v>446</v>
      </c>
      <c r="F139" s="103" t="s">
        <v>49</v>
      </c>
      <c r="G139" s="103">
        <v>2</v>
      </c>
      <c r="H139" s="103">
        <v>2</v>
      </c>
      <c r="I139" s="104" t="s">
        <v>86</v>
      </c>
      <c r="J139" s="102" t="s">
        <v>157</v>
      </c>
      <c r="K139" s="102">
        <v>47</v>
      </c>
      <c r="L139" s="103">
        <v>1</v>
      </c>
      <c r="M139" s="104">
        <v>65</v>
      </c>
      <c r="N139" s="102">
        <v>53</v>
      </c>
      <c r="O139" s="102">
        <v>0</v>
      </c>
      <c r="P139" s="102">
        <v>66</v>
      </c>
      <c r="Q139" s="104">
        <f>_xlfn.FLOOR.MATH(0+0*B139)</f>
        <v>0</v>
      </c>
      <c r="R139" s="102">
        <f>_xlfn.FLOOR.MATH(16+0.35*B139)</f>
        <v>54</v>
      </c>
      <c r="S139" s="102">
        <f>_xlfn.FLOOR.MATH(30+0.4*B139)</f>
        <v>74</v>
      </c>
      <c r="T139" s="105">
        <f>_xlfn.FLOOR.MATH(35+0.51*B139)</f>
        <v>91</v>
      </c>
      <c r="U139" s="102">
        <v>16</v>
      </c>
      <c r="V139" s="102">
        <v>32.5</v>
      </c>
      <c r="W139" s="106" t="s">
        <v>158</v>
      </c>
      <c r="X139" s="106" t="s">
        <v>447</v>
      </c>
      <c r="Y139" s="102" t="s">
        <v>127</v>
      </c>
      <c r="Z139" s="102" t="s">
        <v>128</v>
      </c>
      <c r="AA139" s="104" t="s">
        <v>160</v>
      </c>
      <c r="AB139" s="105">
        <v>6</v>
      </c>
      <c r="AC139" s="104">
        <v>3</v>
      </c>
      <c r="AD139" s="123" t="s">
        <v>179</v>
      </c>
      <c r="AE139" s="104">
        <v>40</v>
      </c>
      <c r="AF139" s="105">
        <v>70</v>
      </c>
      <c r="AG139" s="104">
        <v>1.28</v>
      </c>
      <c r="AH139" s="102">
        <v>2.4</v>
      </c>
      <c r="AI139" s="105">
        <v>0.625</v>
      </c>
      <c r="AJ139" s="104">
        <v>30</v>
      </c>
      <c r="AK139" s="102">
        <v>40</v>
      </c>
      <c r="AL139" s="102">
        <v>30</v>
      </c>
      <c r="AM139" s="105">
        <v>0</v>
      </c>
      <c r="AN139" s="104">
        <v>40</v>
      </c>
      <c r="AO139" s="102">
        <v>0</v>
      </c>
      <c r="AP139" s="102">
        <v>17</v>
      </c>
      <c r="AQ139" s="105">
        <v>23</v>
      </c>
      <c r="AT139" s="110">
        <v>0.0555555555555556</v>
      </c>
      <c r="AU139" s="125" t="str">
        <f>HYPERLINK("http://www.jianrmod.cn/data/shipGetInfo.html?type=0&amp;cid=10013912","详细")</f>
        <v>详细</v>
      </c>
    </row>
    <row r="140" spans="1:47">
      <c r="A140" s="100">
        <v>10014012</v>
      </c>
      <c r="B140" s="101">
        <v>110</v>
      </c>
      <c r="C140" s="102">
        <v>3</v>
      </c>
      <c r="D140" s="103" t="s">
        <v>448</v>
      </c>
      <c r="F140" s="103" t="s">
        <v>49</v>
      </c>
      <c r="G140" s="103">
        <v>2</v>
      </c>
      <c r="H140" s="103">
        <v>2</v>
      </c>
      <c r="I140" s="104" t="s">
        <v>86</v>
      </c>
      <c r="J140" s="102" t="s">
        <v>157</v>
      </c>
      <c r="K140" s="102">
        <v>47</v>
      </c>
      <c r="L140" s="103">
        <v>1</v>
      </c>
      <c r="M140" s="104">
        <v>65</v>
      </c>
      <c r="N140" s="102">
        <v>53</v>
      </c>
      <c r="O140" s="102">
        <v>0</v>
      </c>
      <c r="P140" s="102">
        <v>66</v>
      </c>
      <c r="Q140" s="104">
        <f>_xlfn.FLOOR.MATH(0+0*B140)</f>
        <v>0</v>
      </c>
      <c r="R140" s="102">
        <f>_xlfn.FLOOR.MATH(16+0.35*B140)</f>
        <v>54</v>
      </c>
      <c r="S140" s="102">
        <f>_xlfn.FLOOR.MATH(30+0.4*B140)</f>
        <v>74</v>
      </c>
      <c r="T140" s="105">
        <f>_xlfn.FLOOR.MATH(35+0.51*B140)</f>
        <v>91</v>
      </c>
      <c r="U140" s="102">
        <v>15</v>
      </c>
      <c r="V140" s="102">
        <v>32.5</v>
      </c>
      <c r="W140" s="106" t="s">
        <v>158</v>
      </c>
      <c r="Y140" s="102" t="s">
        <v>127</v>
      </c>
      <c r="Z140" s="102" t="s">
        <v>128</v>
      </c>
      <c r="AA140" s="104" t="s">
        <v>160</v>
      </c>
      <c r="AB140" s="105">
        <v>6</v>
      </c>
      <c r="AC140" s="104">
        <v>3</v>
      </c>
      <c r="AD140" s="123" t="s">
        <v>179</v>
      </c>
      <c r="AE140" s="104">
        <v>40</v>
      </c>
      <c r="AF140" s="105">
        <v>70</v>
      </c>
      <c r="AG140" s="104">
        <v>1.28</v>
      </c>
      <c r="AH140" s="102">
        <v>2.4</v>
      </c>
      <c r="AI140" s="105">
        <v>0.625</v>
      </c>
      <c r="AJ140" s="104">
        <v>30</v>
      </c>
      <c r="AK140" s="102">
        <v>40</v>
      </c>
      <c r="AL140" s="102">
        <v>30</v>
      </c>
      <c r="AM140" s="105">
        <v>0</v>
      </c>
      <c r="AN140" s="104">
        <v>40</v>
      </c>
      <c r="AO140" s="102">
        <v>0</v>
      </c>
      <c r="AP140" s="102">
        <v>17</v>
      </c>
      <c r="AQ140" s="105">
        <v>23</v>
      </c>
      <c r="AU140" s="125" t="str">
        <f>HYPERLINK("http://www.jianrmod.cn/data/shipGetInfo.html?type=0&amp;cid=10014012","详细")</f>
        <v>详细</v>
      </c>
    </row>
    <row r="141" spans="1:46">
      <c r="A141" s="100">
        <v>10014112</v>
      </c>
      <c r="B141" s="101">
        <v>110</v>
      </c>
      <c r="C141" s="102">
        <v>3</v>
      </c>
      <c r="D141" s="103" t="s">
        <v>449</v>
      </c>
      <c r="F141" s="103" t="s">
        <v>49</v>
      </c>
      <c r="G141" s="103">
        <v>2</v>
      </c>
      <c r="H141" s="103">
        <v>2</v>
      </c>
      <c r="I141" s="104" t="s">
        <v>86</v>
      </c>
      <c r="J141" s="102" t="s">
        <v>157</v>
      </c>
      <c r="K141" s="102">
        <v>45</v>
      </c>
      <c r="L141" s="103">
        <v>-1</v>
      </c>
      <c r="M141" s="104">
        <v>63</v>
      </c>
      <c r="N141" s="102">
        <v>53</v>
      </c>
      <c r="O141" s="102">
        <v>0</v>
      </c>
      <c r="P141" s="102">
        <v>68</v>
      </c>
      <c r="Q141" s="104">
        <f>_xlfn.FLOOR.MATH(0+0*B141)</f>
        <v>0</v>
      </c>
      <c r="R141" s="102">
        <f>_xlfn.FLOOR.MATH(16+0.35*B141)</f>
        <v>54</v>
      </c>
      <c r="S141" s="102">
        <f>_xlfn.FLOOR.MATH(31+0.4*B141)</f>
        <v>75</v>
      </c>
      <c r="T141" s="105">
        <f>_xlfn.FLOOR.MATH(35+0.51*B141)</f>
        <v>91</v>
      </c>
      <c r="U141" s="102">
        <v>15</v>
      </c>
      <c r="V141" s="102">
        <v>32.5</v>
      </c>
      <c r="W141" s="106" t="s">
        <v>158</v>
      </c>
      <c r="X141" s="106" t="s">
        <v>450</v>
      </c>
      <c r="Y141" s="102" t="s">
        <v>127</v>
      </c>
      <c r="Z141" s="102" t="s">
        <v>128</v>
      </c>
      <c r="AA141" s="104" t="s">
        <v>160</v>
      </c>
      <c r="AB141" s="105">
        <v>6</v>
      </c>
      <c r="AC141" s="104">
        <v>3</v>
      </c>
      <c r="AD141" s="123" t="s">
        <v>451</v>
      </c>
      <c r="AE141" s="104">
        <v>40</v>
      </c>
      <c r="AF141" s="105">
        <v>70</v>
      </c>
      <c r="AG141" s="104">
        <v>1.28</v>
      </c>
      <c r="AH141" s="102">
        <v>2.4</v>
      </c>
      <c r="AI141" s="105">
        <v>0.625</v>
      </c>
      <c r="AJ141" s="104">
        <v>30</v>
      </c>
      <c r="AK141" s="102">
        <v>40</v>
      </c>
      <c r="AL141" s="102">
        <v>30</v>
      </c>
      <c r="AM141" s="105">
        <v>0</v>
      </c>
      <c r="AN141" s="104">
        <v>38</v>
      </c>
      <c r="AO141" s="102">
        <v>0</v>
      </c>
      <c r="AP141" s="102">
        <v>17</v>
      </c>
      <c r="AQ141" s="105">
        <v>26</v>
      </c>
      <c r="AT141" s="110">
        <v>0.0590277777777778</v>
      </c>
    </row>
    <row r="142" spans="1:47">
      <c r="A142" s="100">
        <v>10014212</v>
      </c>
      <c r="B142" s="101">
        <v>110</v>
      </c>
      <c r="C142" s="102">
        <v>3</v>
      </c>
      <c r="D142" s="103" t="s">
        <v>452</v>
      </c>
      <c r="F142" s="103" t="s">
        <v>49</v>
      </c>
      <c r="G142" s="103">
        <v>2</v>
      </c>
      <c r="H142" s="103">
        <v>2</v>
      </c>
      <c r="I142" s="104" t="s">
        <v>86</v>
      </c>
      <c r="J142" s="102" t="s">
        <v>157</v>
      </c>
      <c r="K142" s="102">
        <v>45</v>
      </c>
      <c r="L142" s="103">
        <v>-1</v>
      </c>
      <c r="M142" s="104">
        <v>63</v>
      </c>
      <c r="N142" s="102">
        <v>53</v>
      </c>
      <c r="O142" s="102">
        <v>0</v>
      </c>
      <c r="P142" s="102">
        <v>68</v>
      </c>
      <c r="Q142" s="104">
        <f>_xlfn.FLOOR.MATH(0+0*B142)</f>
        <v>0</v>
      </c>
      <c r="R142" s="102">
        <f>_xlfn.FLOOR.MATH(16+0.35*B142)</f>
        <v>54</v>
      </c>
      <c r="S142" s="102">
        <f>_xlfn.FLOOR.MATH(31+0.4*B142)</f>
        <v>75</v>
      </c>
      <c r="T142" s="105">
        <f>_xlfn.FLOOR.MATH(35+0.51*B142)</f>
        <v>91</v>
      </c>
      <c r="U142" s="102">
        <v>15</v>
      </c>
      <c r="V142" s="102">
        <v>32.5</v>
      </c>
      <c r="W142" s="106" t="s">
        <v>158</v>
      </c>
      <c r="X142" s="106" t="s">
        <v>453</v>
      </c>
      <c r="Y142" s="102" t="s">
        <v>127</v>
      </c>
      <c r="Z142" s="102" t="s">
        <v>128</v>
      </c>
      <c r="AA142" s="104" t="s">
        <v>160</v>
      </c>
      <c r="AB142" s="105">
        <v>6</v>
      </c>
      <c r="AC142" s="104">
        <v>3</v>
      </c>
      <c r="AD142" s="123" t="s">
        <v>451</v>
      </c>
      <c r="AE142" s="104">
        <v>40</v>
      </c>
      <c r="AF142" s="105">
        <v>70</v>
      </c>
      <c r="AG142" s="104">
        <v>1.28</v>
      </c>
      <c r="AH142" s="102">
        <v>2.4</v>
      </c>
      <c r="AI142" s="105">
        <v>0.625</v>
      </c>
      <c r="AJ142" s="104">
        <v>30</v>
      </c>
      <c r="AK142" s="102">
        <v>40</v>
      </c>
      <c r="AL142" s="102">
        <v>30</v>
      </c>
      <c r="AM142" s="105">
        <v>0</v>
      </c>
      <c r="AN142" s="104">
        <v>38</v>
      </c>
      <c r="AO142" s="102">
        <v>0</v>
      </c>
      <c r="AP142" s="102">
        <v>17</v>
      </c>
      <c r="AQ142" s="105">
        <v>26</v>
      </c>
      <c r="AU142" s="125" t="str">
        <f>HYPERLINK("http://www.jianrmod.cn/data/shipGetInfo.html?type=0&amp;cid=10014212","详细")</f>
        <v>详细</v>
      </c>
    </row>
    <row r="143" spans="1:47">
      <c r="A143" s="100">
        <v>10014312</v>
      </c>
      <c r="B143" s="101">
        <v>110</v>
      </c>
      <c r="C143" s="102">
        <v>3</v>
      </c>
      <c r="D143" s="103" t="s">
        <v>454</v>
      </c>
      <c r="F143" s="103" t="s">
        <v>49</v>
      </c>
      <c r="G143" s="103">
        <v>2</v>
      </c>
      <c r="H143" s="103">
        <v>2</v>
      </c>
      <c r="I143" s="104" t="s">
        <v>86</v>
      </c>
      <c r="J143" s="102" t="s">
        <v>157</v>
      </c>
      <c r="K143" s="102">
        <v>43</v>
      </c>
      <c r="L143" s="103">
        <v>1</v>
      </c>
      <c r="M143" s="104">
        <v>63</v>
      </c>
      <c r="N143" s="102">
        <v>52</v>
      </c>
      <c r="O143" s="102">
        <v>0</v>
      </c>
      <c r="P143" s="102">
        <v>65</v>
      </c>
      <c r="Q143" s="104">
        <f>_xlfn.FLOOR.MATH(0+0*B143)</f>
        <v>0</v>
      </c>
      <c r="R143" s="102">
        <f>_xlfn.FLOOR.MATH(15+0.35*B143)</f>
        <v>53</v>
      </c>
      <c r="S143" s="102">
        <f>_xlfn.FLOOR.MATH(31+0.4*B143)</f>
        <v>75</v>
      </c>
      <c r="T143" s="105">
        <f>_xlfn.FLOOR.MATH(35+0.51*B143)</f>
        <v>91</v>
      </c>
      <c r="U143" s="102">
        <v>12</v>
      </c>
      <c r="V143" s="102">
        <v>32.7</v>
      </c>
      <c r="W143" s="106" t="s">
        <v>158</v>
      </c>
      <c r="X143" s="106" t="s">
        <v>455</v>
      </c>
      <c r="Y143" s="102" t="s">
        <v>127</v>
      </c>
      <c r="Z143" s="102" t="s">
        <v>128</v>
      </c>
      <c r="AA143" s="104" t="s">
        <v>160</v>
      </c>
      <c r="AB143" s="105">
        <v>6</v>
      </c>
      <c r="AC143" s="104">
        <v>3</v>
      </c>
      <c r="AD143" s="123" t="s">
        <v>179</v>
      </c>
      <c r="AE143" s="104">
        <v>40</v>
      </c>
      <c r="AF143" s="105">
        <v>70</v>
      </c>
      <c r="AG143" s="104">
        <v>1.28</v>
      </c>
      <c r="AH143" s="102">
        <v>2.4</v>
      </c>
      <c r="AI143" s="105">
        <v>0.625</v>
      </c>
      <c r="AJ143" s="104">
        <v>30</v>
      </c>
      <c r="AK143" s="102">
        <v>40</v>
      </c>
      <c r="AL143" s="102">
        <v>30</v>
      </c>
      <c r="AM143" s="105">
        <v>0</v>
      </c>
      <c r="AN143" s="104">
        <v>38</v>
      </c>
      <c r="AO143" s="102">
        <v>0</v>
      </c>
      <c r="AP143" s="102">
        <v>16</v>
      </c>
      <c r="AQ143" s="105">
        <v>23</v>
      </c>
      <c r="AT143" s="110">
        <v>0.0590277777777778</v>
      </c>
      <c r="AU143" s="125" t="str">
        <f>HYPERLINK("http://www.jianrmod.cn/data/shipGetInfo.html?type=0&amp;cid=10014312","详细")</f>
        <v>详细</v>
      </c>
    </row>
    <row r="144" spans="1:46">
      <c r="A144" s="100">
        <v>10014412</v>
      </c>
      <c r="B144" s="101">
        <v>110</v>
      </c>
      <c r="C144" s="102">
        <v>4</v>
      </c>
      <c r="D144" s="103" t="s">
        <v>456</v>
      </c>
      <c r="F144" s="103" t="s">
        <v>49</v>
      </c>
      <c r="G144" s="103">
        <v>1</v>
      </c>
      <c r="H144" s="103">
        <v>2</v>
      </c>
      <c r="I144" s="104" t="s">
        <v>326</v>
      </c>
      <c r="J144" s="102" t="s">
        <v>184</v>
      </c>
      <c r="K144" s="102">
        <v>29</v>
      </c>
      <c r="L144" s="103">
        <v>-1</v>
      </c>
      <c r="M144" s="104">
        <v>55</v>
      </c>
      <c r="N144" s="102">
        <v>46</v>
      </c>
      <c r="O144" s="102">
        <v>50</v>
      </c>
      <c r="P144" s="102">
        <v>54</v>
      </c>
      <c r="Q144" s="104">
        <f>_xlfn.FLOOR.MATH(20+0.4*B144)</f>
        <v>64</v>
      </c>
      <c r="R144" s="102">
        <f>_xlfn.FLOOR.MATH(10+0.1*B144)</f>
        <v>21</v>
      </c>
      <c r="S144" s="102">
        <f>_xlfn.FLOOR.MATH(33+0.4*B144)</f>
        <v>77</v>
      </c>
      <c r="T144" s="105">
        <f>_xlfn.FLOOR.MATH(34+0.52*B144)</f>
        <v>91</v>
      </c>
      <c r="U144" s="102">
        <v>27</v>
      </c>
      <c r="V144" s="102">
        <v>36</v>
      </c>
      <c r="W144" s="106" t="s">
        <v>158</v>
      </c>
      <c r="Y144" s="102" t="s">
        <v>127</v>
      </c>
      <c r="Z144" s="102" t="s">
        <v>128</v>
      </c>
      <c r="AA144" s="104" t="s">
        <v>160</v>
      </c>
      <c r="AB144" s="105">
        <v>6</v>
      </c>
      <c r="AC144" s="104">
        <v>3</v>
      </c>
      <c r="AD144" s="123" t="s">
        <v>457</v>
      </c>
      <c r="AE144" s="104">
        <v>20</v>
      </c>
      <c r="AF144" s="105">
        <v>25</v>
      </c>
      <c r="AG144" s="104">
        <v>0.8</v>
      </c>
      <c r="AH144" s="102">
        <v>1.5</v>
      </c>
      <c r="AI144" s="105">
        <v>0.5</v>
      </c>
      <c r="AJ144" s="104">
        <v>10</v>
      </c>
      <c r="AK144" s="102">
        <v>16</v>
      </c>
      <c r="AL144" s="102">
        <v>10</v>
      </c>
      <c r="AM144" s="105">
        <v>0</v>
      </c>
      <c r="AN144" s="104">
        <v>15</v>
      </c>
      <c r="AO144" s="102">
        <v>10</v>
      </c>
      <c r="AP144" s="102">
        <v>13</v>
      </c>
      <c r="AQ144" s="105">
        <v>12</v>
      </c>
      <c r="AT144" s="110">
        <v>0.0520833333333333</v>
      </c>
    </row>
    <row r="145" spans="1:47">
      <c r="A145" s="100">
        <v>10014512</v>
      </c>
      <c r="B145" s="101">
        <v>110</v>
      </c>
      <c r="C145" s="102">
        <v>2</v>
      </c>
      <c r="D145" s="103" t="s">
        <v>458</v>
      </c>
      <c r="E145" s="103" t="s">
        <v>459</v>
      </c>
      <c r="F145" s="103" t="s">
        <v>49</v>
      </c>
      <c r="G145" s="103">
        <v>1</v>
      </c>
      <c r="H145" s="103">
        <v>2</v>
      </c>
      <c r="I145" s="104" t="s">
        <v>60</v>
      </c>
      <c r="J145" s="102" t="s">
        <v>184</v>
      </c>
      <c r="K145" s="102">
        <v>25</v>
      </c>
      <c r="L145" s="103">
        <v>-1</v>
      </c>
      <c r="M145" s="104">
        <v>40</v>
      </c>
      <c r="N145" s="102">
        <v>30</v>
      </c>
      <c r="O145" s="102">
        <v>66</v>
      </c>
      <c r="P145" s="102">
        <v>40</v>
      </c>
      <c r="Q145" s="104">
        <f>_xlfn.FLOOR.MATH(20+0.4*B145)</f>
        <v>64</v>
      </c>
      <c r="R145" s="102">
        <f>_xlfn.FLOOR.MATH(8+0.1*B145)</f>
        <v>19</v>
      </c>
      <c r="S145" s="102">
        <f>_xlfn.FLOOR.MATH(36+0.35*B145)</f>
        <v>74</v>
      </c>
      <c r="T145" s="105">
        <f>_xlfn.FLOOR.MATH(33+0.52*B145)</f>
        <v>90</v>
      </c>
      <c r="U145" s="102">
        <v>10</v>
      </c>
      <c r="V145" s="102">
        <v>35.2</v>
      </c>
      <c r="W145" s="106" t="s">
        <v>158</v>
      </c>
      <c r="X145" s="106" t="s">
        <v>460</v>
      </c>
      <c r="Y145" s="102" t="s">
        <v>127</v>
      </c>
      <c r="Z145" s="102" t="s">
        <v>128</v>
      </c>
      <c r="AA145" s="104" t="s">
        <v>160</v>
      </c>
      <c r="AB145" s="105">
        <v>6</v>
      </c>
      <c r="AC145" s="104">
        <v>3</v>
      </c>
      <c r="AD145" s="123" t="s">
        <v>192</v>
      </c>
      <c r="AE145" s="104">
        <v>25</v>
      </c>
      <c r="AF145" s="105">
        <v>25</v>
      </c>
      <c r="AG145" s="104">
        <v>0.8</v>
      </c>
      <c r="AH145" s="102">
        <v>1.5</v>
      </c>
      <c r="AI145" s="105">
        <v>0.5</v>
      </c>
      <c r="AJ145" s="104">
        <v>5</v>
      </c>
      <c r="AK145" s="102">
        <v>8</v>
      </c>
      <c r="AL145" s="102">
        <v>5</v>
      </c>
      <c r="AM145" s="105">
        <v>0</v>
      </c>
      <c r="AN145" s="104">
        <v>8</v>
      </c>
      <c r="AO145" s="102">
        <v>29</v>
      </c>
      <c r="AP145" s="102">
        <v>5</v>
      </c>
      <c r="AQ145" s="105">
        <v>5</v>
      </c>
      <c r="AU145" s="125" t="str">
        <f>HYPERLINK("http://www.jianrmod.cn/data/shipGetInfo.html?type=0&amp;cid=10014512","详细")</f>
        <v>详细</v>
      </c>
    </row>
    <row r="146" spans="1:47">
      <c r="A146" s="100">
        <v>10014612</v>
      </c>
      <c r="B146" s="101">
        <v>110</v>
      </c>
      <c r="C146" s="102">
        <v>2</v>
      </c>
      <c r="D146" s="103" t="s">
        <v>461</v>
      </c>
      <c r="E146" s="103" t="s">
        <v>462</v>
      </c>
      <c r="F146" s="103" t="s">
        <v>49</v>
      </c>
      <c r="G146" s="103">
        <v>1</v>
      </c>
      <c r="H146" s="103">
        <v>2</v>
      </c>
      <c r="I146" s="104" t="s">
        <v>60</v>
      </c>
      <c r="J146" s="102" t="s">
        <v>184</v>
      </c>
      <c r="K146" s="102">
        <v>25</v>
      </c>
      <c r="L146" s="103">
        <v>-1</v>
      </c>
      <c r="M146" s="104">
        <v>40</v>
      </c>
      <c r="N146" s="102">
        <v>30</v>
      </c>
      <c r="O146" s="102">
        <v>66</v>
      </c>
      <c r="P146" s="102">
        <v>43</v>
      </c>
      <c r="Q146" s="104">
        <f>_xlfn.FLOOR.MATH(20+0.4*B146)</f>
        <v>64</v>
      </c>
      <c r="R146" s="102">
        <f>_xlfn.FLOOR.MATH(8+0.1*B146)</f>
        <v>19</v>
      </c>
      <c r="S146" s="102">
        <f>_xlfn.FLOOR.MATH(36+0.35*B146)</f>
        <v>74</v>
      </c>
      <c r="T146" s="105">
        <f>_xlfn.FLOOR.MATH(33+0.52*B146)</f>
        <v>90</v>
      </c>
      <c r="U146" s="102">
        <v>10</v>
      </c>
      <c r="V146" s="102">
        <v>35.2</v>
      </c>
      <c r="W146" s="106" t="s">
        <v>158</v>
      </c>
      <c r="Y146" s="102" t="s">
        <v>127</v>
      </c>
      <c r="Z146" s="102" t="s">
        <v>128</v>
      </c>
      <c r="AA146" s="104" t="s">
        <v>160</v>
      </c>
      <c r="AB146" s="105">
        <v>6</v>
      </c>
      <c r="AC146" s="104">
        <v>3</v>
      </c>
      <c r="AD146" s="123" t="s">
        <v>192</v>
      </c>
      <c r="AE146" s="104">
        <v>25</v>
      </c>
      <c r="AF146" s="105">
        <v>25</v>
      </c>
      <c r="AG146" s="104">
        <v>0.8</v>
      </c>
      <c r="AH146" s="102">
        <v>1.5</v>
      </c>
      <c r="AI146" s="105">
        <v>0.5</v>
      </c>
      <c r="AJ146" s="104">
        <v>5</v>
      </c>
      <c r="AK146" s="102">
        <v>8</v>
      </c>
      <c r="AL146" s="102">
        <v>5</v>
      </c>
      <c r="AM146" s="105">
        <v>0</v>
      </c>
      <c r="AN146" s="104">
        <v>8</v>
      </c>
      <c r="AO146" s="102">
        <v>29</v>
      </c>
      <c r="AP146" s="102">
        <v>5</v>
      </c>
      <c r="AQ146" s="105">
        <v>7</v>
      </c>
      <c r="AU146" s="125" t="str">
        <f>HYPERLINK("http://www.jianrmod.cn/data/shipGetInfo.html?type=0&amp;cid=10014612","详细")</f>
        <v>详细</v>
      </c>
    </row>
    <row r="147" spans="1:47">
      <c r="A147" s="100">
        <v>10014712</v>
      </c>
      <c r="B147" s="101">
        <v>110</v>
      </c>
      <c r="C147" s="102">
        <v>2</v>
      </c>
      <c r="D147" s="103" t="s">
        <v>463</v>
      </c>
      <c r="E147" s="103" t="s">
        <v>464</v>
      </c>
      <c r="F147" s="103" t="s">
        <v>49</v>
      </c>
      <c r="G147" s="103">
        <v>1</v>
      </c>
      <c r="H147" s="103">
        <v>2</v>
      </c>
      <c r="I147" s="104" t="s">
        <v>60</v>
      </c>
      <c r="J147" s="102" t="s">
        <v>184</v>
      </c>
      <c r="K147" s="102">
        <v>25</v>
      </c>
      <c r="L147" s="103">
        <v>-1</v>
      </c>
      <c r="M147" s="104">
        <v>40</v>
      </c>
      <c r="N147" s="102">
        <v>30</v>
      </c>
      <c r="O147" s="102">
        <v>66</v>
      </c>
      <c r="P147" s="102">
        <v>43</v>
      </c>
      <c r="Q147" s="104">
        <f>_xlfn.FLOOR.MATH(20+0.4*B147)</f>
        <v>64</v>
      </c>
      <c r="R147" s="102">
        <f>_xlfn.FLOOR.MATH(8+0.1*B147)</f>
        <v>19</v>
      </c>
      <c r="S147" s="102">
        <f>_xlfn.FLOOR.MATH(36+0.35*B147)</f>
        <v>74</v>
      </c>
      <c r="T147" s="105">
        <f>_xlfn.FLOOR.MATH(33+0.52*B147)</f>
        <v>90</v>
      </c>
      <c r="U147" s="102">
        <v>10</v>
      </c>
      <c r="V147" s="102">
        <v>35.2</v>
      </c>
      <c r="W147" s="106" t="s">
        <v>158</v>
      </c>
      <c r="Y147" s="102" t="s">
        <v>127</v>
      </c>
      <c r="Z147" s="102" t="s">
        <v>128</v>
      </c>
      <c r="AA147" s="104" t="s">
        <v>160</v>
      </c>
      <c r="AB147" s="105">
        <v>6</v>
      </c>
      <c r="AC147" s="104">
        <v>3</v>
      </c>
      <c r="AD147" s="123" t="s">
        <v>192</v>
      </c>
      <c r="AE147" s="104">
        <v>25</v>
      </c>
      <c r="AF147" s="105">
        <v>25</v>
      </c>
      <c r="AG147" s="104">
        <v>0.8</v>
      </c>
      <c r="AH147" s="102">
        <v>1.5</v>
      </c>
      <c r="AI147" s="105">
        <v>0.5</v>
      </c>
      <c r="AJ147" s="104">
        <v>5</v>
      </c>
      <c r="AK147" s="102">
        <v>8</v>
      </c>
      <c r="AL147" s="102">
        <v>5</v>
      </c>
      <c r="AM147" s="105">
        <v>0</v>
      </c>
      <c r="AN147" s="104">
        <v>8</v>
      </c>
      <c r="AO147" s="102">
        <v>29</v>
      </c>
      <c r="AP147" s="102">
        <v>5</v>
      </c>
      <c r="AQ147" s="105">
        <v>7</v>
      </c>
      <c r="AU147" s="125" t="str">
        <f>HYPERLINK("http://www.jianrmod.cn/data/shipGetInfo.html?type=0&amp;cid=10014712","详细")</f>
        <v>详细</v>
      </c>
    </row>
    <row r="148" spans="1:47">
      <c r="A148" s="100">
        <v>10014812</v>
      </c>
      <c r="B148" s="101">
        <v>110</v>
      </c>
      <c r="C148" s="102">
        <v>5</v>
      </c>
      <c r="D148" s="103" t="s">
        <v>465</v>
      </c>
      <c r="F148" s="103" t="s">
        <v>49</v>
      </c>
      <c r="G148" s="103">
        <v>1</v>
      </c>
      <c r="H148" s="103">
        <v>2</v>
      </c>
      <c r="I148" s="104" t="s">
        <v>73</v>
      </c>
      <c r="J148" s="102" t="s">
        <v>184</v>
      </c>
      <c r="K148" s="102">
        <v>33</v>
      </c>
      <c r="L148" s="103">
        <v>-1</v>
      </c>
      <c r="M148" s="104">
        <v>49</v>
      </c>
      <c r="N148" s="102">
        <v>43</v>
      </c>
      <c r="O148" s="102">
        <v>53</v>
      </c>
      <c r="P148" s="102">
        <v>46</v>
      </c>
      <c r="Q148" s="104">
        <f>_xlfn.FLOOR.MATH(24+0.4*B148)</f>
        <v>68</v>
      </c>
      <c r="R148" s="102">
        <f>_xlfn.FLOOR.MATH(9+0.1*B148)</f>
        <v>20</v>
      </c>
      <c r="S148" s="102">
        <f>_xlfn.FLOOR.MATH(36+0.35*B148)</f>
        <v>74</v>
      </c>
      <c r="T148" s="105">
        <f>_xlfn.FLOOR.MATH(35+0.52*B148)</f>
        <v>92</v>
      </c>
      <c r="U148" s="102">
        <v>5</v>
      </c>
      <c r="V148" s="102">
        <v>36</v>
      </c>
      <c r="W148" s="106" t="s">
        <v>158</v>
      </c>
      <c r="Y148" s="102" t="s">
        <v>127</v>
      </c>
      <c r="Z148" s="102" t="s">
        <v>128</v>
      </c>
      <c r="AA148" s="104" t="s">
        <v>160</v>
      </c>
      <c r="AB148" s="105">
        <v>6</v>
      </c>
      <c r="AC148" s="104">
        <v>3</v>
      </c>
      <c r="AD148" s="123" t="s">
        <v>466</v>
      </c>
      <c r="AE148" s="104">
        <v>25</v>
      </c>
      <c r="AF148" s="105">
        <v>25</v>
      </c>
      <c r="AG148" s="104">
        <v>0.8</v>
      </c>
      <c r="AH148" s="102">
        <v>1.5</v>
      </c>
      <c r="AI148" s="105">
        <v>0.5</v>
      </c>
      <c r="AJ148" s="104">
        <v>10</v>
      </c>
      <c r="AK148" s="102">
        <v>16</v>
      </c>
      <c r="AL148" s="102">
        <v>10</v>
      </c>
      <c r="AM148" s="105">
        <v>0</v>
      </c>
      <c r="AN148" s="104">
        <v>10</v>
      </c>
      <c r="AO148" s="102">
        <v>13</v>
      </c>
      <c r="AP148" s="102">
        <v>11</v>
      </c>
      <c r="AQ148" s="105">
        <v>8</v>
      </c>
      <c r="AT148" s="110">
        <v>0.0486111111111111</v>
      </c>
      <c r="AU148" s="125"/>
    </row>
    <row r="149" spans="1:47">
      <c r="A149" s="100">
        <v>10014912</v>
      </c>
      <c r="B149" s="101">
        <v>110</v>
      </c>
      <c r="C149" s="102">
        <v>2</v>
      </c>
      <c r="D149" s="103" t="s">
        <v>467</v>
      </c>
      <c r="F149" s="103" t="s">
        <v>49</v>
      </c>
      <c r="G149" s="103">
        <v>1</v>
      </c>
      <c r="H149" s="103">
        <v>2</v>
      </c>
      <c r="I149" s="104" t="s">
        <v>73</v>
      </c>
      <c r="J149" s="102" t="s">
        <v>184</v>
      </c>
      <c r="K149" s="102">
        <v>30</v>
      </c>
      <c r="L149" s="103">
        <v>2</v>
      </c>
      <c r="M149" s="104">
        <v>42</v>
      </c>
      <c r="N149" s="102">
        <v>38</v>
      </c>
      <c r="O149" s="102">
        <v>44</v>
      </c>
      <c r="P149" s="102">
        <v>46</v>
      </c>
      <c r="Q149" s="104">
        <f>_xlfn.FLOOR.MATH(24+0.4*B149)</f>
        <v>68</v>
      </c>
      <c r="R149" s="102">
        <f>_xlfn.FLOOR.MATH(8+0.1*B149)</f>
        <v>19</v>
      </c>
      <c r="S149" s="102">
        <f>_xlfn.FLOOR.MATH(26+0.35*B149)</f>
        <v>64</v>
      </c>
      <c r="T149" s="105">
        <f>_xlfn.FLOOR.MATH(33+0.52*B149)</f>
        <v>90</v>
      </c>
      <c r="U149" s="102">
        <v>20</v>
      </c>
      <c r="V149" s="102">
        <v>29</v>
      </c>
      <c r="W149" s="106" t="s">
        <v>158</v>
      </c>
      <c r="Y149" s="102" t="s">
        <v>127</v>
      </c>
      <c r="Z149" s="102" t="s">
        <v>128</v>
      </c>
      <c r="AA149" s="104">
        <v>0</v>
      </c>
      <c r="AB149" s="105">
        <v>0</v>
      </c>
      <c r="AC149" s="104">
        <v>3</v>
      </c>
      <c r="AD149" s="123" t="s">
        <v>287</v>
      </c>
      <c r="AE149" s="104">
        <v>20</v>
      </c>
      <c r="AF149" s="105">
        <v>25</v>
      </c>
      <c r="AG149" s="104">
        <v>0.8</v>
      </c>
      <c r="AH149" s="102">
        <v>1.65</v>
      </c>
      <c r="AI149" s="105">
        <v>0.5</v>
      </c>
      <c r="AJ149" s="104">
        <v>5</v>
      </c>
      <c r="AK149" s="102">
        <v>8</v>
      </c>
      <c r="AL149" s="102">
        <v>5</v>
      </c>
      <c r="AM149" s="105">
        <v>0</v>
      </c>
      <c r="AN149" s="104">
        <v>9</v>
      </c>
      <c r="AO149" s="102">
        <v>8</v>
      </c>
      <c r="AP149" s="102">
        <v>11</v>
      </c>
      <c r="AQ149" s="105">
        <v>8</v>
      </c>
      <c r="AT149" s="110">
        <v>0.0416666666666667</v>
      </c>
      <c r="AU149" s="125"/>
    </row>
    <row r="150" spans="1:47">
      <c r="A150" s="100">
        <v>10015012</v>
      </c>
      <c r="B150" s="101">
        <v>110</v>
      </c>
      <c r="C150" s="102">
        <v>2</v>
      </c>
      <c r="D150" s="103" t="s">
        <v>468</v>
      </c>
      <c r="F150" s="103" t="s">
        <v>49</v>
      </c>
      <c r="G150" s="103">
        <v>1</v>
      </c>
      <c r="H150" s="103">
        <v>2</v>
      </c>
      <c r="I150" s="104" t="s">
        <v>50</v>
      </c>
      <c r="J150" s="102" t="s">
        <v>184</v>
      </c>
      <c r="K150" s="102">
        <v>30</v>
      </c>
      <c r="L150" s="103">
        <v>2</v>
      </c>
      <c r="M150" s="104">
        <v>42</v>
      </c>
      <c r="N150" s="102">
        <v>35</v>
      </c>
      <c r="O150" s="102">
        <v>64</v>
      </c>
      <c r="P150" s="102">
        <v>55</v>
      </c>
      <c r="Q150" s="104">
        <f>_xlfn.FLOOR.MATH(30+0.4*B150)</f>
        <v>74</v>
      </c>
      <c r="R150" s="102">
        <f>_xlfn.FLOOR.MATH(10+0.1*B150)</f>
        <v>21</v>
      </c>
      <c r="S150" s="102">
        <f>_xlfn.FLOOR.MATH(30+0.35*B150)</f>
        <v>68</v>
      </c>
      <c r="T150" s="105">
        <f>_xlfn.FLOOR.MATH(33+0.52*B150)</f>
        <v>90</v>
      </c>
      <c r="U150" s="102">
        <v>20</v>
      </c>
      <c r="V150" s="102">
        <v>33</v>
      </c>
      <c r="W150" s="106" t="s">
        <v>158</v>
      </c>
      <c r="X150" s="106" t="s">
        <v>469</v>
      </c>
      <c r="Y150" s="102" t="s">
        <v>127</v>
      </c>
      <c r="Z150" s="102" t="s">
        <v>128</v>
      </c>
      <c r="AA150" s="104" t="s">
        <v>160</v>
      </c>
      <c r="AB150" s="105">
        <v>6</v>
      </c>
      <c r="AC150" s="104">
        <v>3</v>
      </c>
      <c r="AD150" s="123" t="s">
        <v>470</v>
      </c>
      <c r="AE150" s="104">
        <v>20</v>
      </c>
      <c r="AF150" s="105">
        <v>30</v>
      </c>
      <c r="AG150" s="104">
        <v>0.8</v>
      </c>
      <c r="AH150" s="102">
        <v>1.5</v>
      </c>
      <c r="AI150" s="105">
        <v>0.5</v>
      </c>
      <c r="AJ150" s="104">
        <v>5</v>
      </c>
      <c r="AK150" s="102">
        <v>8</v>
      </c>
      <c r="AL150" s="102">
        <v>5</v>
      </c>
      <c r="AM150" s="105">
        <v>0</v>
      </c>
      <c r="AN150" s="104">
        <v>12</v>
      </c>
      <c r="AO150" s="102">
        <v>24</v>
      </c>
      <c r="AP150" s="102">
        <v>8</v>
      </c>
      <c r="AQ150" s="105">
        <v>13</v>
      </c>
      <c r="AU150" s="125" t="str">
        <f>HYPERLINK("http://www.jianrmod.cn/data/shipGetInfo.html?type=0&amp;cid=10015012","详细")</f>
        <v>详细</v>
      </c>
    </row>
    <row r="151" spans="1:47">
      <c r="A151" s="100">
        <v>10015112</v>
      </c>
      <c r="B151" s="101">
        <v>110</v>
      </c>
      <c r="C151" s="102">
        <v>2</v>
      </c>
      <c r="D151" s="103" t="s">
        <v>471</v>
      </c>
      <c r="F151" s="103" t="s">
        <v>49</v>
      </c>
      <c r="G151" s="103">
        <v>1</v>
      </c>
      <c r="H151" s="103">
        <v>2</v>
      </c>
      <c r="I151" s="104" t="s">
        <v>50</v>
      </c>
      <c r="J151" s="102" t="s">
        <v>184</v>
      </c>
      <c r="K151" s="102">
        <v>30</v>
      </c>
      <c r="L151" s="103">
        <v>2</v>
      </c>
      <c r="M151" s="104">
        <v>43</v>
      </c>
      <c r="N151" s="102">
        <v>35</v>
      </c>
      <c r="O151" s="102">
        <v>64</v>
      </c>
      <c r="P151" s="102">
        <v>55</v>
      </c>
      <c r="Q151" s="104">
        <f>_xlfn.FLOOR.MATH(30+0.4*B151)</f>
        <v>74</v>
      </c>
      <c r="R151" s="102">
        <f>_xlfn.FLOOR.MATH(10+0.1*B151)</f>
        <v>21</v>
      </c>
      <c r="S151" s="102">
        <f>_xlfn.FLOOR.MATH(30+0.35*B151)</f>
        <v>68</v>
      </c>
      <c r="T151" s="105">
        <f>_xlfn.FLOOR.MATH(33+0.52*B151)</f>
        <v>90</v>
      </c>
      <c r="U151" s="102">
        <v>22</v>
      </c>
      <c r="V151" s="102">
        <v>33</v>
      </c>
      <c r="W151" s="106" t="s">
        <v>158</v>
      </c>
      <c r="X151" s="106" t="s">
        <v>472</v>
      </c>
      <c r="Y151" s="102" t="s">
        <v>127</v>
      </c>
      <c r="Z151" s="102" t="s">
        <v>128</v>
      </c>
      <c r="AA151" s="104" t="s">
        <v>160</v>
      </c>
      <c r="AB151" s="105">
        <v>6</v>
      </c>
      <c r="AC151" s="104">
        <v>3</v>
      </c>
      <c r="AD151" s="123" t="s">
        <v>213</v>
      </c>
      <c r="AE151" s="104">
        <v>20</v>
      </c>
      <c r="AF151" s="105">
        <v>30</v>
      </c>
      <c r="AG151" s="104">
        <v>0.8</v>
      </c>
      <c r="AH151" s="102">
        <v>1.5</v>
      </c>
      <c r="AI151" s="105">
        <v>0.5</v>
      </c>
      <c r="AJ151" s="104">
        <v>5</v>
      </c>
      <c r="AK151" s="102">
        <v>8</v>
      </c>
      <c r="AL151" s="102">
        <v>5</v>
      </c>
      <c r="AM151" s="105">
        <v>0</v>
      </c>
      <c r="AN151" s="104">
        <v>12</v>
      </c>
      <c r="AO151" s="102">
        <v>24</v>
      </c>
      <c r="AP151" s="102">
        <v>8</v>
      </c>
      <c r="AQ151" s="105">
        <v>13</v>
      </c>
      <c r="AU151" s="125" t="str">
        <f>HYPERLINK("http://www.jianrmod.cn/data/shipGetInfo.html?type=0&amp;cid=10015112","详细")</f>
        <v>详细</v>
      </c>
    </row>
    <row r="152" spans="1:47">
      <c r="A152" s="100">
        <v>10015212</v>
      </c>
      <c r="B152" s="101">
        <v>110</v>
      </c>
      <c r="C152" s="102">
        <v>4</v>
      </c>
      <c r="D152" s="103" t="s">
        <v>473</v>
      </c>
      <c r="F152" s="103" t="s">
        <v>49</v>
      </c>
      <c r="G152" s="103">
        <v>1</v>
      </c>
      <c r="H152" s="103">
        <v>2</v>
      </c>
      <c r="I152" s="104" t="s">
        <v>50</v>
      </c>
      <c r="J152" s="102" t="s">
        <v>184</v>
      </c>
      <c r="K152" s="102">
        <v>35</v>
      </c>
      <c r="L152" s="103">
        <v>1</v>
      </c>
      <c r="M152" s="104">
        <v>52</v>
      </c>
      <c r="N152" s="102">
        <v>50</v>
      </c>
      <c r="O152" s="102">
        <v>50</v>
      </c>
      <c r="P152" s="102">
        <v>70</v>
      </c>
      <c r="Q152" s="104">
        <f>_xlfn.FLOOR.MATH(20+0.4*B152)</f>
        <v>64</v>
      </c>
      <c r="R152" s="102">
        <f>_xlfn.FLOOR.MATH(10+0.1*B152)</f>
        <v>21</v>
      </c>
      <c r="S152" s="102">
        <f>_xlfn.FLOOR.MATH(30+0.35*B152)</f>
        <v>68</v>
      </c>
      <c r="T152" s="105">
        <f>_xlfn.FLOOR.MATH(34+0.52*B152)</f>
        <v>91</v>
      </c>
      <c r="U152" s="102">
        <v>13</v>
      </c>
      <c r="V152" s="102">
        <v>33</v>
      </c>
      <c r="W152" s="106" t="s">
        <v>158</v>
      </c>
      <c r="Y152" s="102" t="s">
        <v>127</v>
      </c>
      <c r="Z152" s="102" t="s">
        <v>128</v>
      </c>
      <c r="AA152" s="104" t="s">
        <v>160</v>
      </c>
      <c r="AB152" s="105">
        <v>6</v>
      </c>
      <c r="AC152" s="104">
        <v>3</v>
      </c>
      <c r="AD152" s="123" t="s">
        <v>474</v>
      </c>
      <c r="AE152" s="104">
        <v>20</v>
      </c>
      <c r="AF152" s="105">
        <v>30</v>
      </c>
      <c r="AG152" s="104">
        <v>0.8</v>
      </c>
      <c r="AH152" s="102">
        <v>1.5</v>
      </c>
      <c r="AI152" s="105">
        <v>0.5</v>
      </c>
      <c r="AJ152" s="104">
        <v>10</v>
      </c>
      <c r="AK152" s="102">
        <v>16</v>
      </c>
      <c r="AL152" s="102">
        <v>10</v>
      </c>
      <c r="AM152" s="105">
        <v>0</v>
      </c>
      <c r="AN152" s="104">
        <v>18</v>
      </c>
      <c r="AO152" s="102">
        <v>10</v>
      </c>
      <c r="AP152" s="102">
        <v>15</v>
      </c>
      <c r="AQ152" s="105">
        <v>24</v>
      </c>
      <c r="AT152" s="110">
        <v>0.0555555555555556</v>
      </c>
      <c r="AU152" s="125" t="str">
        <f>HYPERLINK("http://www.jianrmod.cn/data/shipGetInfo.html?type=0&amp;cid=10015212","详细")</f>
        <v>详细</v>
      </c>
    </row>
    <row r="153" spans="1:47">
      <c r="A153" s="100">
        <v>10015312</v>
      </c>
      <c r="B153" s="101">
        <v>110</v>
      </c>
      <c r="C153" s="102">
        <v>5</v>
      </c>
      <c r="D153" s="103" t="s">
        <v>475</v>
      </c>
      <c r="F153" s="103" t="s">
        <v>49</v>
      </c>
      <c r="G153" s="103">
        <v>1</v>
      </c>
      <c r="H153" s="103">
        <v>2</v>
      </c>
      <c r="I153" s="104" t="s">
        <v>50</v>
      </c>
      <c r="J153" s="102" t="s">
        <v>184</v>
      </c>
      <c r="K153" s="102">
        <v>35</v>
      </c>
      <c r="L153" s="103">
        <v>1</v>
      </c>
      <c r="M153" s="104">
        <v>52</v>
      </c>
      <c r="N153" s="102">
        <v>50</v>
      </c>
      <c r="O153" s="102">
        <v>50</v>
      </c>
      <c r="P153" s="102">
        <v>70</v>
      </c>
      <c r="Q153" s="104">
        <f>_xlfn.FLOOR.MATH(20+0.4*B153)</f>
        <v>64</v>
      </c>
      <c r="R153" s="102">
        <f>_xlfn.FLOOR.MATH(10+0.1*B153)</f>
        <v>21</v>
      </c>
      <c r="S153" s="102">
        <f>_xlfn.FLOOR.MATH(30+0.35*B153)</f>
        <v>68</v>
      </c>
      <c r="T153" s="105">
        <f>_xlfn.FLOOR.MATH(35+0.52*B153)</f>
        <v>92</v>
      </c>
      <c r="U153" s="102">
        <v>40</v>
      </c>
      <c r="V153" s="102">
        <v>33</v>
      </c>
      <c r="W153" s="106" t="s">
        <v>158</v>
      </c>
      <c r="Y153" s="102" t="s">
        <v>127</v>
      </c>
      <c r="Z153" s="102" t="s">
        <v>128</v>
      </c>
      <c r="AA153" s="104" t="s">
        <v>160</v>
      </c>
      <c r="AB153" s="105">
        <v>6</v>
      </c>
      <c r="AC153" s="104">
        <v>3</v>
      </c>
      <c r="AD153" s="123" t="s">
        <v>476</v>
      </c>
      <c r="AE153" s="104">
        <v>20</v>
      </c>
      <c r="AF153" s="105">
        <v>30</v>
      </c>
      <c r="AG153" s="104">
        <v>0.8</v>
      </c>
      <c r="AH153" s="102">
        <v>1.5</v>
      </c>
      <c r="AI153" s="105">
        <v>0.5</v>
      </c>
      <c r="AJ153" s="104">
        <v>10</v>
      </c>
      <c r="AK153" s="102">
        <v>16</v>
      </c>
      <c r="AL153" s="102">
        <v>10</v>
      </c>
      <c r="AM153" s="105">
        <v>0</v>
      </c>
      <c r="AN153" s="104">
        <v>18</v>
      </c>
      <c r="AO153" s="102">
        <v>10</v>
      </c>
      <c r="AP153" s="102">
        <v>15</v>
      </c>
      <c r="AQ153" s="105">
        <v>24</v>
      </c>
      <c r="AT153" s="110">
        <v>0.0555555555555556</v>
      </c>
      <c r="AU153" s="125" t="str">
        <f>HYPERLINK("http://www.jianrmod.cn/data/shipGetInfo.html?type=0&amp;cid=10015312","详细")</f>
        <v>详细</v>
      </c>
    </row>
    <row r="154" spans="1:47">
      <c r="A154" s="100">
        <v>10015413</v>
      </c>
      <c r="B154" s="101">
        <v>110</v>
      </c>
      <c r="C154" s="102">
        <v>3</v>
      </c>
      <c r="D154" s="103" t="s">
        <v>477</v>
      </c>
      <c r="F154" s="103" t="s">
        <v>49</v>
      </c>
      <c r="G154" s="103">
        <v>1</v>
      </c>
      <c r="H154" s="103">
        <v>2</v>
      </c>
      <c r="I154" s="104" t="s">
        <v>50</v>
      </c>
      <c r="J154" s="102" t="s">
        <v>51</v>
      </c>
      <c r="K154" s="102">
        <v>52</v>
      </c>
      <c r="L154" s="103">
        <v>0</v>
      </c>
      <c r="M154" s="104">
        <v>67</v>
      </c>
      <c r="N154" s="102">
        <v>43</v>
      </c>
      <c r="O154" s="102">
        <v>45</v>
      </c>
      <c r="P154" s="102">
        <v>48</v>
      </c>
      <c r="Q154" s="104">
        <f>_xlfn.FLOOR.MATH(0+0*B154)</f>
        <v>0</v>
      </c>
      <c r="R154" s="102">
        <f>_xlfn.FLOOR.MATH(14+0.25*B154)</f>
        <v>41</v>
      </c>
      <c r="S154" s="102">
        <f>_xlfn.FLOOR.MATH(30+0.3*B154)</f>
        <v>63</v>
      </c>
      <c r="T154" s="105">
        <f>_xlfn.FLOOR.MATH(38+0.51*B154)</f>
        <v>94</v>
      </c>
      <c r="U154" s="102">
        <v>10</v>
      </c>
      <c r="V154" s="102">
        <v>32</v>
      </c>
      <c r="W154" s="106" t="s">
        <v>52</v>
      </c>
      <c r="Y154" s="102" t="s">
        <v>54</v>
      </c>
      <c r="Z154" s="102" t="s">
        <v>55</v>
      </c>
      <c r="AA154" s="104">
        <v>0</v>
      </c>
      <c r="AB154" s="105">
        <v>0</v>
      </c>
      <c r="AC154" s="104">
        <v>4</v>
      </c>
      <c r="AD154" s="123" t="s">
        <v>242</v>
      </c>
      <c r="AE154" s="104">
        <v>50</v>
      </c>
      <c r="AF154" s="105">
        <v>100</v>
      </c>
      <c r="AG154" s="104">
        <v>2.08</v>
      </c>
      <c r="AH154" s="102">
        <v>3.9</v>
      </c>
      <c r="AI154" s="105">
        <v>0.75</v>
      </c>
      <c r="AJ154" s="104">
        <v>40</v>
      </c>
      <c r="AK154" s="102">
        <v>50</v>
      </c>
      <c r="AL154" s="102">
        <v>40</v>
      </c>
      <c r="AM154" s="105">
        <v>0</v>
      </c>
      <c r="AN154" s="104">
        <v>46</v>
      </c>
      <c r="AO154" s="102">
        <v>0</v>
      </c>
      <c r="AP154" s="102">
        <v>28</v>
      </c>
      <c r="AQ154" s="105">
        <v>9</v>
      </c>
      <c r="AU154" s="125" t="str">
        <f>HYPERLINK("http://www.jianrmod.cn/data/shipGetInfo.html?type=0&amp;cid=10015413","详细")</f>
        <v>详细</v>
      </c>
    </row>
    <row r="155" spans="1:47">
      <c r="A155" s="100">
        <v>10015513</v>
      </c>
      <c r="B155" s="101">
        <v>110</v>
      </c>
      <c r="C155" s="102">
        <v>3</v>
      </c>
      <c r="D155" s="103" t="s">
        <v>478</v>
      </c>
      <c r="F155" s="103" t="s">
        <v>49</v>
      </c>
      <c r="G155" s="103">
        <v>1</v>
      </c>
      <c r="H155" s="103">
        <v>2</v>
      </c>
      <c r="I155" s="104" t="s">
        <v>50</v>
      </c>
      <c r="J155" s="102" t="s">
        <v>51</v>
      </c>
      <c r="K155" s="102">
        <v>52</v>
      </c>
      <c r="L155" s="103">
        <v>0</v>
      </c>
      <c r="M155" s="104">
        <v>67</v>
      </c>
      <c r="N155" s="102">
        <v>43</v>
      </c>
      <c r="O155" s="102">
        <v>45</v>
      </c>
      <c r="P155" s="102">
        <v>48</v>
      </c>
      <c r="Q155" s="104">
        <f>_xlfn.FLOOR.MATH(0+0*B155)</f>
        <v>0</v>
      </c>
      <c r="R155" s="102">
        <f>_xlfn.FLOOR.MATH(14+0.25*B155)</f>
        <v>41</v>
      </c>
      <c r="S155" s="102">
        <f>_xlfn.FLOOR.MATH(30+0.3*B155)</f>
        <v>63</v>
      </c>
      <c r="T155" s="105">
        <f>_xlfn.FLOOR.MATH(38+0.51*B155)</f>
        <v>94</v>
      </c>
      <c r="U155" s="102">
        <v>9</v>
      </c>
      <c r="V155" s="102">
        <v>32</v>
      </c>
      <c r="W155" s="106" t="s">
        <v>52</v>
      </c>
      <c r="Y155" s="102" t="s">
        <v>54</v>
      </c>
      <c r="Z155" s="102" t="s">
        <v>55</v>
      </c>
      <c r="AA155" s="104">
        <v>0</v>
      </c>
      <c r="AB155" s="105">
        <v>0</v>
      </c>
      <c r="AC155" s="104">
        <v>4</v>
      </c>
      <c r="AD155" s="123" t="s">
        <v>242</v>
      </c>
      <c r="AE155" s="104">
        <v>50</v>
      </c>
      <c r="AF155" s="105">
        <v>100</v>
      </c>
      <c r="AG155" s="104">
        <v>2.08</v>
      </c>
      <c r="AH155" s="102">
        <v>3.9</v>
      </c>
      <c r="AI155" s="105">
        <v>0.75</v>
      </c>
      <c r="AJ155" s="104">
        <v>40</v>
      </c>
      <c r="AK155" s="102">
        <v>50</v>
      </c>
      <c r="AL155" s="102">
        <v>40</v>
      </c>
      <c r="AM155" s="105">
        <v>0</v>
      </c>
      <c r="AN155" s="104">
        <v>46</v>
      </c>
      <c r="AO155" s="102">
        <v>0</v>
      </c>
      <c r="AP155" s="102">
        <v>28</v>
      </c>
      <c r="AQ155" s="105">
        <v>9</v>
      </c>
      <c r="AU155" s="125" t="str">
        <f>HYPERLINK("http://www.jianrmod.cn/data/shipGetInfo.html?type=0&amp;cid=10015513","详细")</f>
        <v>详细</v>
      </c>
    </row>
    <row r="156" spans="1:47">
      <c r="A156" s="100">
        <v>10015613</v>
      </c>
      <c r="B156" s="101">
        <v>110</v>
      </c>
      <c r="C156" s="102">
        <v>4</v>
      </c>
      <c r="D156" s="103" t="s">
        <v>479</v>
      </c>
      <c r="F156" s="103" t="s">
        <v>49</v>
      </c>
      <c r="G156" s="103">
        <v>2</v>
      </c>
      <c r="H156" s="103">
        <v>2</v>
      </c>
      <c r="I156" s="104" t="s">
        <v>50</v>
      </c>
      <c r="J156" s="102" t="s">
        <v>480</v>
      </c>
      <c r="K156" s="102">
        <v>57</v>
      </c>
      <c r="L156" s="103">
        <v>-1</v>
      </c>
      <c r="M156" s="104">
        <v>60</v>
      </c>
      <c r="N156" s="102">
        <v>43</v>
      </c>
      <c r="O156" s="102">
        <v>40</v>
      </c>
      <c r="P156" s="102">
        <v>50</v>
      </c>
      <c r="Q156" s="104">
        <f>_xlfn.FLOOR.MATH(0+0*B156)</f>
        <v>0</v>
      </c>
      <c r="R156" s="102">
        <f>_xlfn.FLOOR.MATH(20+0.25*B156)</f>
        <v>47</v>
      </c>
      <c r="S156" s="102">
        <f>_xlfn.FLOOR.MATH(30+0.3*B156)</f>
        <v>63</v>
      </c>
      <c r="T156" s="105">
        <f>_xlfn.FLOOR.MATH(38+0.51*B156)</f>
        <v>94</v>
      </c>
      <c r="U156" s="102">
        <v>18</v>
      </c>
      <c r="V156" s="102">
        <v>32</v>
      </c>
      <c r="W156" s="106" t="s">
        <v>52</v>
      </c>
      <c r="Y156" s="102" t="s">
        <v>54</v>
      </c>
      <c r="Z156" s="102" t="s">
        <v>55</v>
      </c>
      <c r="AA156" s="104" t="s">
        <v>481</v>
      </c>
      <c r="AB156" s="105">
        <v>15</v>
      </c>
      <c r="AC156" s="104">
        <v>4</v>
      </c>
      <c r="AD156" s="123" t="s">
        <v>482</v>
      </c>
      <c r="AE156" s="104">
        <v>50</v>
      </c>
      <c r="AF156" s="105">
        <v>100</v>
      </c>
      <c r="AG156" s="104">
        <v>2.08</v>
      </c>
      <c r="AH156" s="102">
        <v>3.9</v>
      </c>
      <c r="AI156" s="105">
        <v>0.75</v>
      </c>
      <c r="AJ156" s="104">
        <v>50</v>
      </c>
      <c r="AK156" s="102">
        <v>60</v>
      </c>
      <c r="AL156" s="102">
        <v>60</v>
      </c>
      <c r="AM156" s="105">
        <v>10</v>
      </c>
      <c r="AN156" s="104">
        <v>22</v>
      </c>
      <c r="AO156" s="102">
        <v>0</v>
      </c>
      <c r="AP156" s="102">
        <v>28</v>
      </c>
      <c r="AQ156" s="105">
        <v>20</v>
      </c>
      <c r="AU156" s="125" t="str">
        <f>HYPERLINK("http://www.jianrmod.cn/data/shipGetInfo.html?type=0&amp;cid=10015613","详细")</f>
        <v>详细</v>
      </c>
    </row>
    <row r="157" spans="1:47">
      <c r="A157" s="100">
        <v>10015712</v>
      </c>
      <c r="B157" s="101">
        <v>110</v>
      </c>
      <c r="C157" s="102">
        <v>4</v>
      </c>
      <c r="D157" s="103" t="s">
        <v>483</v>
      </c>
      <c r="F157" s="103" t="s">
        <v>49</v>
      </c>
      <c r="G157" s="103">
        <v>1</v>
      </c>
      <c r="H157" s="103">
        <v>2</v>
      </c>
      <c r="I157" s="104" t="s">
        <v>86</v>
      </c>
      <c r="J157" s="102" t="s">
        <v>184</v>
      </c>
      <c r="K157" s="102">
        <v>27</v>
      </c>
      <c r="L157" s="103">
        <v>1</v>
      </c>
      <c r="M157" s="104">
        <v>54</v>
      </c>
      <c r="N157" s="102">
        <v>44</v>
      </c>
      <c r="O157" s="102">
        <v>0</v>
      </c>
      <c r="P157" s="102">
        <v>98</v>
      </c>
      <c r="Q157" s="104">
        <f>_xlfn.FLOOR.MATH(40+0.4*B157)</f>
        <v>84</v>
      </c>
      <c r="R157" s="102">
        <f>_xlfn.FLOOR.MATH(12+0.1*B157)</f>
        <v>23</v>
      </c>
      <c r="S157" s="102">
        <f>_xlfn.FLOOR.MATH(31+0.35*B157)</f>
        <v>69</v>
      </c>
      <c r="T157" s="105">
        <f>_xlfn.FLOOR.MATH(34+0.52*B157)</f>
        <v>91</v>
      </c>
      <c r="U157" s="102">
        <v>40</v>
      </c>
      <c r="V157" s="102">
        <v>33.6</v>
      </c>
      <c r="W157" s="106" t="s">
        <v>158</v>
      </c>
      <c r="Y157" s="102" t="s">
        <v>127</v>
      </c>
      <c r="Z157" s="102" t="s">
        <v>128</v>
      </c>
      <c r="AA157" s="104">
        <v>0</v>
      </c>
      <c r="AB157" s="105">
        <v>0</v>
      </c>
      <c r="AC157" s="104">
        <v>3</v>
      </c>
      <c r="AD157" s="123" t="s">
        <v>223</v>
      </c>
      <c r="AE157" s="104">
        <v>25</v>
      </c>
      <c r="AF157" s="105">
        <v>30</v>
      </c>
      <c r="AG157" s="104">
        <v>0.8</v>
      </c>
      <c r="AH157" s="102">
        <v>1.5</v>
      </c>
      <c r="AI157" s="105">
        <v>0.4</v>
      </c>
      <c r="AJ157" s="104">
        <v>10</v>
      </c>
      <c r="AK157" s="102">
        <v>16</v>
      </c>
      <c r="AL157" s="102">
        <v>10</v>
      </c>
      <c r="AM157" s="105">
        <v>0</v>
      </c>
      <c r="AN157" s="104">
        <v>12</v>
      </c>
      <c r="AO157" s="102">
        <v>0</v>
      </c>
      <c r="AP157" s="102">
        <v>10</v>
      </c>
      <c r="AQ157" s="105">
        <v>68</v>
      </c>
      <c r="AT157" s="110">
        <v>0.0520833333333333</v>
      </c>
      <c r="AU157" s="125"/>
    </row>
    <row r="158" spans="1:47">
      <c r="A158" s="100">
        <v>10015812</v>
      </c>
      <c r="B158" s="101">
        <v>110</v>
      </c>
      <c r="C158" s="102">
        <v>3</v>
      </c>
      <c r="D158" s="103" t="s">
        <v>484</v>
      </c>
      <c r="F158" s="103" t="s">
        <v>49</v>
      </c>
      <c r="G158" s="103">
        <v>1</v>
      </c>
      <c r="H158" s="103">
        <v>2</v>
      </c>
      <c r="I158" s="104" t="s">
        <v>86</v>
      </c>
      <c r="J158" s="102" t="s">
        <v>184</v>
      </c>
      <c r="K158" s="102">
        <v>27</v>
      </c>
      <c r="L158" s="103">
        <v>1</v>
      </c>
      <c r="M158" s="104">
        <v>54</v>
      </c>
      <c r="N158" s="102">
        <v>44</v>
      </c>
      <c r="O158" s="102">
        <v>0</v>
      </c>
      <c r="P158" s="102">
        <v>98</v>
      </c>
      <c r="Q158" s="104">
        <f>_xlfn.FLOOR.MATH(40+0.4*B158)</f>
        <v>84</v>
      </c>
      <c r="R158" s="102">
        <f>_xlfn.FLOOR.MATH(12+0.1*B158)</f>
        <v>23</v>
      </c>
      <c r="S158" s="102">
        <f>_xlfn.FLOOR.MATH(31+0.35*B158)</f>
        <v>69</v>
      </c>
      <c r="T158" s="105">
        <f>_xlfn.FLOOR.MATH(33+0.52*B158)</f>
        <v>90</v>
      </c>
      <c r="U158" s="102">
        <v>15</v>
      </c>
      <c r="V158" s="102">
        <v>33.6</v>
      </c>
      <c r="W158" s="106" t="s">
        <v>158</v>
      </c>
      <c r="Y158" s="102" t="s">
        <v>127</v>
      </c>
      <c r="Z158" s="102" t="s">
        <v>128</v>
      </c>
      <c r="AA158" s="104">
        <v>0</v>
      </c>
      <c r="AB158" s="105">
        <v>0</v>
      </c>
      <c r="AC158" s="104">
        <v>3</v>
      </c>
      <c r="AD158" s="123" t="s">
        <v>223</v>
      </c>
      <c r="AE158" s="104">
        <v>25</v>
      </c>
      <c r="AF158" s="105">
        <v>30</v>
      </c>
      <c r="AG158" s="104">
        <v>0.8</v>
      </c>
      <c r="AH158" s="102">
        <v>1.5</v>
      </c>
      <c r="AI158" s="105">
        <v>0.4</v>
      </c>
      <c r="AJ158" s="104">
        <v>10</v>
      </c>
      <c r="AK158" s="102">
        <v>16</v>
      </c>
      <c r="AL158" s="102">
        <v>10</v>
      </c>
      <c r="AM158" s="105">
        <v>0</v>
      </c>
      <c r="AN158" s="104">
        <v>12</v>
      </c>
      <c r="AO158" s="102">
        <v>0</v>
      </c>
      <c r="AP158" s="102">
        <v>10</v>
      </c>
      <c r="AQ158" s="105">
        <v>68</v>
      </c>
      <c r="AT158" s="110">
        <v>0.0520833333333333</v>
      </c>
      <c r="AU158" s="125" t="str">
        <f>HYPERLINK("http://www.jianrmod.cn/data/shipGetInfo.html?type=0&amp;cid=10015812","详细")</f>
        <v>详细</v>
      </c>
    </row>
    <row r="159" spans="1:48">
      <c r="A159" s="100">
        <v>10016012</v>
      </c>
      <c r="B159" s="101">
        <v>110</v>
      </c>
      <c r="C159" s="102">
        <v>3</v>
      </c>
      <c r="D159" s="103" t="s">
        <v>485</v>
      </c>
      <c r="F159" s="103" t="s">
        <v>49</v>
      </c>
      <c r="G159" s="103">
        <v>1</v>
      </c>
      <c r="H159" s="103">
        <v>2</v>
      </c>
      <c r="I159" s="104" t="s">
        <v>326</v>
      </c>
      <c r="J159" s="102" t="s">
        <v>184</v>
      </c>
      <c r="K159" s="102">
        <v>28</v>
      </c>
      <c r="L159" s="103">
        <v>0</v>
      </c>
      <c r="M159" s="104">
        <v>45</v>
      </c>
      <c r="N159" s="102">
        <v>35</v>
      </c>
      <c r="O159" s="102">
        <v>60</v>
      </c>
      <c r="P159" s="102">
        <v>70</v>
      </c>
      <c r="Q159" s="104">
        <f>_xlfn.FLOOR.MATH(25+0.4*B159)</f>
        <v>69</v>
      </c>
      <c r="R159" s="102">
        <f>_xlfn.FLOOR.MATH(8+0.1*B159)</f>
        <v>19</v>
      </c>
      <c r="S159" s="102">
        <f>_xlfn.FLOOR.MATH(33+0.35*B159)</f>
        <v>71</v>
      </c>
      <c r="T159" s="105">
        <f>_xlfn.FLOOR.MATH(33+0.52*B159)</f>
        <v>90</v>
      </c>
      <c r="U159" s="102">
        <v>20</v>
      </c>
      <c r="V159" s="102">
        <v>35</v>
      </c>
      <c r="W159" s="106" t="s">
        <v>158</v>
      </c>
      <c r="X159" s="106" t="s">
        <v>486</v>
      </c>
      <c r="Y159" s="102" t="s">
        <v>127</v>
      </c>
      <c r="Z159" s="102" t="s">
        <v>128</v>
      </c>
      <c r="AA159" s="104" t="s">
        <v>160</v>
      </c>
      <c r="AB159" s="105">
        <v>6</v>
      </c>
      <c r="AC159" s="104">
        <v>3</v>
      </c>
      <c r="AD159" s="123" t="s">
        <v>487</v>
      </c>
      <c r="AE159" s="104">
        <v>25</v>
      </c>
      <c r="AF159" s="105">
        <v>25</v>
      </c>
      <c r="AG159" s="104">
        <v>0.8</v>
      </c>
      <c r="AH159" s="102">
        <v>1.5</v>
      </c>
      <c r="AI159" s="105">
        <v>0.4</v>
      </c>
      <c r="AJ159" s="104">
        <v>10</v>
      </c>
      <c r="AK159" s="102">
        <v>16</v>
      </c>
      <c r="AL159" s="102">
        <v>10</v>
      </c>
      <c r="AM159" s="105">
        <v>0</v>
      </c>
      <c r="AN159" s="104">
        <v>10</v>
      </c>
      <c r="AO159" s="102">
        <v>20</v>
      </c>
      <c r="AP159" s="102">
        <v>8</v>
      </c>
      <c r="AQ159" s="105">
        <v>24</v>
      </c>
      <c r="AT159" s="110">
        <v>0.05</v>
      </c>
      <c r="AV159" s="112" t="s">
        <v>488</v>
      </c>
    </row>
    <row r="160" spans="1:47">
      <c r="A160" s="100">
        <v>10016112</v>
      </c>
      <c r="B160" s="101">
        <v>110</v>
      </c>
      <c r="C160" s="102">
        <v>2</v>
      </c>
      <c r="D160" s="103" t="s">
        <v>489</v>
      </c>
      <c r="F160" s="103" t="s">
        <v>49</v>
      </c>
      <c r="G160" s="103">
        <v>1</v>
      </c>
      <c r="H160" s="103">
        <v>2</v>
      </c>
      <c r="I160" s="104" t="s">
        <v>490</v>
      </c>
      <c r="J160" s="102" t="s">
        <v>184</v>
      </c>
      <c r="K160" s="102">
        <v>28</v>
      </c>
      <c r="L160" s="103">
        <v>0</v>
      </c>
      <c r="M160" s="104">
        <v>49</v>
      </c>
      <c r="N160" s="102">
        <v>40</v>
      </c>
      <c r="O160" s="102">
        <v>0</v>
      </c>
      <c r="P160" s="102">
        <v>55</v>
      </c>
      <c r="Q160" s="104">
        <f>_xlfn.FLOOR.MATH(30+0.4*B160)</f>
        <v>74</v>
      </c>
      <c r="R160" s="102">
        <f>_xlfn.FLOOR.MATH(8+0.1*B160)</f>
        <v>19</v>
      </c>
      <c r="S160" s="102">
        <f>_xlfn.FLOOR.MATH(32+0.35*B160)</f>
        <v>70</v>
      </c>
      <c r="T160" s="105">
        <f>_xlfn.FLOOR.MATH(33+0.52*B160)</f>
        <v>90</v>
      </c>
      <c r="U160" s="102">
        <v>10</v>
      </c>
      <c r="V160" s="102">
        <v>33</v>
      </c>
      <c r="W160" s="106" t="s">
        <v>158</v>
      </c>
      <c r="Y160" s="102" t="s">
        <v>127</v>
      </c>
      <c r="Z160" s="102" t="s">
        <v>128</v>
      </c>
      <c r="AA160" s="104" t="s">
        <v>160</v>
      </c>
      <c r="AB160" s="105">
        <v>6</v>
      </c>
      <c r="AC160" s="104">
        <v>3</v>
      </c>
      <c r="AD160" s="123" t="s">
        <v>491</v>
      </c>
      <c r="AE160" s="104">
        <v>25</v>
      </c>
      <c r="AF160" s="105">
        <v>25</v>
      </c>
      <c r="AG160" s="104">
        <v>0.8</v>
      </c>
      <c r="AH160" s="102">
        <v>1.5</v>
      </c>
      <c r="AI160" s="105">
        <v>0.5</v>
      </c>
      <c r="AJ160" s="104">
        <v>5</v>
      </c>
      <c r="AK160" s="102">
        <v>8</v>
      </c>
      <c r="AL160" s="102">
        <v>5</v>
      </c>
      <c r="AM160" s="105">
        <v>0</v>
      </c>
      <c r="AN160" s="104">
        <v>10</v>
      </c>
      <c r="AO160" s="102">
        <v>0</v>
      </c>
      <c r="AP160" s="102">
        <v>8</v>
      </c>
      <c r="AQ160" s="105">
        <v>13</v>
      </c>
      <c r="AU160" s="125" t="str">
        <f>HYPERLINK("http://www.jianrmod.cn/data/shipGetInfo.html?type=0&amp;cid=10016112","详细")</f>
        <v>详细</v>
      </c>
    </row>
    <row r="161" spans="1:47">
      <c r="A161" s="100">
        <v>10016212</v>
      </c>
      <c r="B161" s="101">
        <v>110</v>
      </c>
      <c r="C161" s="102">
        <v>4</v>
      </c>
      <c r="D161" s="103" t="s">
        <v>492</v>
      </c>
      <c r="F161" s="103" t="s">
        <v>49</v>
      </c>
      <c r="G161" s="103">
        <v>0</v>
      </c>
      <c r="H161" s="103">
        <v>2</v>
      </c>
      <c r="I161" s="104" t="s">
        <v>233</v>
      </c>
      <c r="J161" s="102" t="s">
        <v>184</v>
      </c>
      <c r="K161" s="102">
        <v>18</v>
      </c>
      <c r="L161" s="103">
        <v>2</v>
      </c>
      <c r="M161" s="104">
        <v>37</v>
      </c>
      <c r="N161" s="102">
        <v>30</v>
      </c>
      <c r="O161" s="102">
        <v>50</v>
      </c>
      <c r="P161" s="102">
        <v>50</v>
      </c>
      <c r="Q161" s="104">
        <f>_xlfn.FLOOR.MATH(25+0.4*B161)</f>
        <v>69</v>
      </c>
      <c r="R161" s="102">
        <f>_xlfn.FLOOR.MATH(8+0.1*B161)</f>
        <v>19</v>
      </c>
      <c r="S161" s="102">
        <f>_xlfn.FLOOR.MATH(21+0.35*B161)</f>
        <v>59</v>
      </c>
      <c r="T161" s="105">
        <f>_xlfn.FLOOR.MATH(34+0.52*B161)</f>
        <v>91</v>
      </c>
      <c r="U161" s="102">
        <v>35</v>
      </c>
      <c r="V161" s="102">
        <v>20</v>
      </c>
      <c r="W161" s="106" t="s">
        <v>158</v>
      </c>
      <c r="X161" s="106" t="s">
        <v>493</v>
      </c>
      <c r="Y161" s="102" t="s">
        <v>127</v>
      </c>
      <c r="Z161" s="102" t="s">
        <v>128</v>
      </c>
      <c r="AA161" s="104">
        <v>0</v>
      </c>
      <c r="AB161" s="105">
        <v>0</v>
      </c>
      <c r="AC161" s="104">
        <v>3</v>
      </c>
      <c r="AD161" s="123" t="s">
        <v>494</v>
      </c>
      <c r="AE161" s="104">
        <v>15</v>
      </c>
      <c r="AF161" s="105">
        <v>20</v>
      </c>
      <c r="AG161" s="104">
        <v>0.64</v>
      </c>
      <c r="AH161" s="102">
        <v>1.2</v>
      </c>
      <c r="AI161" s="105">
        <v>0.5</v>
      </c>
      <c r="AJ161" s="104">
        <v>10</v>
      </c>
      <c r="AK161" s="102">
        <v>16</v>
      </c>
      <c r="AL161" s="102">
        <v>10</v>
      </c>
      <c r="AM161" s="105">
        <v>0</v>
      </c>
      <c r="AN161" s="104">
        <v>6</v>
      </c>
      <c r="AO161" s="102">
        <v>10</v>
      </c>
      <c r="AP161" s="102">
        <v>5</v>
      </c>
      <c r="AQ161" s="105">
        <v>10</v>
      </c>
      <c r="AT161" s="110">
        <v>0.0173611111111111</v>
      </c>
      <c r="AU161" s="125"/>
    </row>
    <row r="162" spans="1:47">
      <c r="A162" s="100">
        <v>10016311</v>
      </c>
      <c r="B162" s="101">
        <v>110</v>
      </c>
      <c r="C162" s="102">
        <v>4</v>
      </c>
      <c r="D162" s="103" t="s">
        <v>495</v>
      </c>
      <c r="F162" s="103" t="s">
        <v>49</v>
      </c>
      <c r="G162" s="103">
        <v>1</v>
      </c>
      <c r="H162" s="103">
        <v>2</v>
      </c>
      <c r="I162" s="104" t="s">
        <v>496</v>
      </c>
      <c r="J162" s="102" t="s">
        <v>239</v>
      </c>
      <c r="K162" s="102">
        <v>26</v>
      </c>
      <c r="L162" s="103">
        <v>2</v>
      </c>
      <c r="M162" s="104">
        <v>47</v>
      </c>
      <c r="N162" s="102">
        <v>48</v>
      </c>
      <c r="O162" s="102">
        <v>0</v>
      </c>
      <c r="P162" s="102">
        <v>62</v>
      </c>
      <c r="Q162" s="104">
        <f>_xlfn.FLOOR.MATH(0+0*B162)</f>
        <v>0</v>
      </c>
      <c r="R162" s="102">
        <f>_xlfn.FLOOR.MATH(9+0.1*B162)</f>
        <v>20</v>
      </c>
      <c r="S162" s="102">
        <f>_xlfn.FLOOR.MATH(13+0.3*B162)</f>
        <v>46</v>
      </c>
      <c r="T162" s="105">
        <f>_xlfn.FLOOR.MATH(34+0.51*B162)</f>
        <v>90</v>
      </c>
      <c r="U162" s="102">
        <v>24</v>
      </c>
      <c r="V162" s="102">
        <v>16</v>
      </c>
      <c r="W162" s="106" t="s">
        <v>52</v>
      </c>
      <c r="Y162" s="102" t="s">
        <v>241</v>
      </c>
      <c r="Z162" s="102" t="s">
        <v>128</v>
      </c>
      <c r="AA162" s="104">
        <v>0</v>
      </c>
      <c r="AB162" s="105">
        <v>0</v>
      </c>
      <c r="AC162" s="104">
        <v>2</v>
      </c>
      <c r="AD162" s="123" t="s">
        <v>497</v>
      </c>
      <c r="AE162" s="104">
        <v>15</v>
      </c>
      <c r="AF162" s="105">
        <v>30</v>
      </c>
      <c r="AG162" s="104">
        <v>0.54</v>
      </c>
      <c r="AH162" s="102">
        <v>1.1</v>
      </c>
      <c r="AI162" s="105">
        <v>0.45</v>
      </c>
      <c r="AJ162" s="104">
        <v>20</v>
      </c>
      <c r="AK162" s="102">
        <v>20</v>
      </c>
      <c r="AL162" s="102">
        <v>30</v>
      </c>
      <c r="AM162" s="105">
        <v>0</v>
      </c>
      <c r="AN162" s="104">
        <v>27</v>
      </c>
      <c r="AO162" s="102">
        <v>0</v>
      </c>
      <c r="AP162" s="102">
        <v>28</v>
      </c>
      <c r="AQ162" s="105">
        <v>0</v>
      </c>
      <c r="AU162" s="125" t="str">
        <f>HYPERLINK("http://www.jianrmod.cn/data/shipGetInfo.html?type=0&amp;cid=10016311","详细")</f>
        <v>详细</v>
      </c>
    </row>
    <row r="163" spans="1:47">
      <c r="A163" s="100">
        <v>10016411</v>
      </c>
      <c r="B163" s="101">
        <v>110</v>
      </c>
      <c r="C163" s="102">
        <v>2</v>
      </c>
      <c r="D163" s="103" t="s">
        <v>498</v>
      </c>
      <c r="E163" s="103" t="s">
        <v>499</v>
      </c>
      <c r="F163" s="103" t="s">
        <v>49</v>
      </c>
      <c r="G163" s="103">
        <v>1</v>
      </c>
      <c r="H163" s="103">
        <v>2</v>
      </c>
      <c r="I163" s="104" t="s">
        <v>60</v>
      </c>
      <c r="J163" s="102" t="s">
        <v>246</v>
      </c>
      <c r="K163" s="102">
        <v>19</v>
      </c>
      <c r="L163" s="103">
        <v>1</v>
      </c>
      <c r="M163" s="104">
        <v>33</v>
      </c>
      <c r="N163" s="102">
        <v>22</v>
      </c>
      <c r="O163" s="102">
        <v>68</v>
      </c>
      <c r="P163" s="102">
        <v>58</v>
      </c>
      <c r="Q163" s="104">
        <f>_xlfn.FLOOR.MATH(23+0.3*B163)</f>
        <v>56</v>
      </c>
      <c r="R163" s="102">
        <f>_xlfn.FLOOR.MATH(7+0.1*B163)</f>
        <v>18</v>
      </c>
      <c r="S163" s="102">
        <f>_xlfn.FLOOR.MATH(36+0.4*B163)</f>
        <v>80</v>
      </c>
      <c r="T163" s="105">
        <f>_xlfn.FLOOR.MATH(30+0.52*B163)</f>
        <v>87</v>
      </c>
      <c r="U163" s="102">
        <v>10</v>
      </c>
      <c r="V163" s="102">
        <v>33</v>
      </c>
      <c r="W163" s="106" t="s">
        <v>115</v>
      </c>
      <c r="X163" s="106" t="s">
        <v>500</v>
      </c>
      <c r="Y163" s="102" t="s">
        <v>241</v>
      </c>
      <c r="Z163" s="102" t="s">
        <v>128</v>
      </c>
      <c r="AA163" s="104">
        <v>0</v>
      </c>
      <c r="AB163" s="105">
        <v>0</v>
      </c>
      <c r="AC163" s="104">
        <v>2</v>
      </c>
      <c r="AD163" s="123" t="s">
        <v>501</v>
      </c>
      <c r="AE163" s="104">
        <v>15</v>
      </c>
      <c r="AF163" s="105">
        <v>20</v>
      </c>
      <c r="AG163" s="104">
        <v>0.48</v>
      </c>
      <c r="AH163" s="102">
        <v>0.9</v>
      </c>
      <c r="AI163" s="105">
        <v>0.5</v>
      </c>
      <c r="AJ163" s="104">
        <v>2</v>
      </c>
      <c r="AK163" s="102">
        <v>4</v>
      </c>
      <c r="AL163" s="102">
        <v>3</v>
      </c>
      <c r="AM163" s="105">
        <v>0</v>
      </c>
      <c r="AN163" s="104">
        <v>0</v>
      </c>
      <c r="AO163" s="102">
        <v>21</v>
      </c>
      <c r="AP163" s="102">
        <v>7</v>
      </c>
      <c r="AQ163" s="105">
        <v>0</v>
      </c>
      <c r="AU163" s="125" t="str">
        <f>HYPERLINK("http://www.jianrmod.cn/data/shipGetInfo.html?type=0&amp;cid=10016411","详细")</f>
        <v>详细</v>
      </c>
    </row>
    <row r="164" spans="1:47">
      <c r="A164" s="100">
        <v>10016511</v>
      </c>
      <c r="B164" s="101">
        <v>110</v>
      </c>
      <c r="C164" s="102">
        <v>2</v>
      </c>
      <c r="D164" s="103" t="s">
        <v>502</v>
      </c>
      <c r="E164" s="103" t="s">
        <v>503</v>
      </c>
      <c r="F164" s="103" t="s">
        <v>49</v>
      </c>
      <c r="G164" s="103">
        <v>1</v>
      </c>
      <c r="H164" s="103">
        <v>2</v>
      </c>
      <c r="I164" s="104" t="s">
        <v>60</v>
      </c>
      <c r="J164" s="102" t="s">
        <v>246</v>
      </c>
      <c r="K164" s="102">
        <v>19</v>
      </c>
      <c r="L164" s="103">
        <v>1</v>
      </c>
      <c r="M164" s="104">
        <v>33</v>
      </c>
      <c r="N164" s="102">
        <v>22</v>
      </c>
      <c r="O164" s="102">
        <v>68</v>
      </c>
      <c r="P164" s="102">
        <v>58</v>
      </c>
      <c r="Q164" s="104">
        <f>_xlfn.FLOOR.MATH(23+0.3*B164)</f>
        <v>56</v>
      </c>
      <c r="R164" s="102">
        <f>_xlfn.FLOOR.MATH(7+0.1*B164)</f>
        <v>18</v>
      </c>
      <c r="S164" s="102">
        <f>_xlfn.FLOOR.MATH(37+0.4*B164)</f>
        <v>81</v>
      </c>
      <c r="T164" s="105">
        <f>_xlfn.FLOOR.MATH(30+0.52*B164)</f>
        <v>87</v>
      </c>
      <c r="U164" s="102">
        <v>10</v>
      </c>
      <c r="V164" s="102">
        <v>34</v>
      </c>
      <c r="W164" s="106" t="s">
        <v>115</v>
      </c>
      <c r="X164" s="106" t="s">
        <v>504</v>
      </c>
      <c r="Y164" s="102" t="s">
        <v>241</v>
      </c>
      <c r="Z164" s="102" t="s">
        <v>128</v>
      </c>
      <c r="AA164" s="104">
        <v>0</v>
      </c>
      <c r="AB164" s="105">
        <v>0</v>
      </c>
      <c r="AC164" s="104">
        <v>2</v>
      </c>
      <c r="AD164" s="123" t="s">
        <v>501</v>
      </c>
      <c r="AE164" s="104">
        <v>15</v>
      </c>
      <c r="AF164" s="105">
        <v>20</v>
      </c>
      <c r="AG164" s="104">
        <v>0.48</v>
      </c>
      <c r="AH164" s="102">
        <v>0.9</v>
      </c>
      <c r="AI164" s="105">
        <v>0.5</v>
      </c>
      <c r="AJ164" s="104">
        <v>2</v>
      </c>
      <c r="AK164" s="102">
        <v>4</v>
      </c>
      <c r="AL164" s="102">
        <v>3</v>
      </c>
      <c r="AM164" s="105">
        <v>0</v>
      </c>
      <c r="AN164" s="104">
        <v>0</v>
      </c>
      <c r="AO164" s="102">
        <v>21</v>
      </c>
      <c r="AP164" s="102">
        <v>7</v>
      </c>
      <c r="AQ164" s="105">
        <v>0</v>
      </c>
      <c r="AU164" s="125" t="str">
        <f>HYPERLINK("http://www.jianrmod.cn/data/shipGetInfo.html?type=0&amp;cid=10016511","详细")</f>
        <v>详细</v>
      </c>
    </row>
    <row r="165" spans="1:47">
      <c r="A165" s="100">
        <v>10016611</v>
      </c>
      <c r="B165" s="101">
        <v>110</v>
      </c>
      <c r="C165" s="102">
        <v>3</v>
      </c>
      <c r="D165" s="103" t="s">
        <v>505</v>
      </c>
      <c r="E165" s="103" t="s">
        <v>506</v>
      </c>
      <c r="F165" s="103" t="s">
        <v>49</v>
      </c>
      <c r="G165" s="103">
        <v>1</v>
      </c>
      <c r="H165" s="103">
        <v>2</v>
      </c>
      <c r="I165" s="104" t="s">
        <v>60</v>
      </c>
      <c r="J165" s="102" t="s">
        <v>246</v>
      </c>
      <c r="K165" s="102">
        <v>16</v>
      </c>
      <c r="L165" s="103">
        <v>0</v>
      </c>
      <c r="M165" s="104">
        <v>32</v>
      </c>
      <c r="N165" s="102">
        <v>22</v>
      </c>
      <c r="O165" s="102">
        <v>78</v>
      </c>
      <c r="P165" s="102">
        <v>41</v>
      </c>
      <c r="Q165" s="104">
        <f>_xlfn.FLOOR.MATH(21+0.3*B165)</f>
        <v>54</v>
      </c>
      <c r="R165" s="102">
        <f>_xlfn.FLOOR.MATH(7+0.1*B165)</f>
        <v>18</v>
      </c>
      <c r="S165" s="102">
        <f>_xlfn.FLOOR.MATH(37+0.4*B165)</f>
        <v>81</v>
      </c>
      <c r="T165" s="105">
        <f>_xlfn.FLOOR.MATH(30+0.52*B165)</f>
        <v>87</v>
      </c>
      <c r="U165" s="102">
        <v>12</v>
      </c>
      <c r="V165" s="102">
        <v>34</v>
      </c>
      <c r="W165" s="106" t="s">
        <v>115</v>
      </c>
      <c r="X165" s="106" t="s">
        <v>507</v>
      </c>
      <c r="Y165" s="102" t="s">
        <v>241</v>
      </c>
      <c r="Z165" s="102" t="s">
        <v>128</v>
      </c>
      <c r="AA165" s="104">
        <v>0</v>
      </c>
      <c r="AB165" s="105">
        <v>0</v>
      </c>
      <c r="AC165" s="104">
        <v>2</v>
      </c>
      <c r="AD165" s="123" t="s">
        <v>252</v>
      </c>
      <c r="AE165" s="104">
        <v>15</v>
      </c>
      <c r="AF165" s="105">
        <v>20</v>
      </c>
      <c r="AG165" s="104">
        <v>0.48</v>
      </c>
      <c r="AH165" s="102">
        <v>0.9</v>
      </c>
      <c r="AI165" s="105">
        <v>0.5</v>
      </c>
      <c r="AJ165" s="104">
        <v>4</v>
      </c>
      <c r="AK165" s="102">
        <v>8</v>
      </c>
      <c r="AL165" s="102">
        <v>6</v>
      </c>
      <c r="AM165" s="105">
        <v>0</v>
      </c>
      <c r="AN165" s="104">
        <v>0</v>
      </c>
      <c r="AO165" s="102">
        <v>31</v>
      </c>
      <c r="AP165" s="102">
        <v>7</v>
      </c>
      <c r="AQ165" s="105">
        <v>0</v>
      </c>
      <c r="AT165" s="110">
        <v>0.0138888888888889</v>
      </c>
      <c r="AU165" s="125" t="str">
        <f>HYPERLINK("http://www.jianrmod.cn/data/shipGetInfo.html?type=0&amp;cid=10016611","详细")</f>
        <v>详细</v>
      </c>
    </row>
    <row r="166" spans="1:47">
      <c r="A166" s="100">
        <v>10016711</v>
      </c>
      <c r="B166" s="101">
        <v>110</v>
      </c>
      <c r="C166" s="102">
        <v>2</v>
      </c>
      <c r="D166" s="103" t="s">
        <v>508</v>
      </c>
      <c r="E166" s="103" t="s">
        <v>509</v>
      </c>
      <c r="F166" s="103" t="s">
        <v>49</v>
      </c>
      <c r="G166" s="103">
        <v>1</v>
      </c>
      <c r="H166" s="103">
        <v>2</v>
      </c>
      <c r="I166" s="104" t="s">
        <v>60</v>
      </c>
      <c r="J166" s="102" t="s">
        <v>246</v>
      </c>
      <c r="K166" s="102">
        <v>16</v>
      </c>
      <c r="L166" s="103">
        <v>0</v>
      </c>
      <c r="M166" s="104">
        <v>32</v>
      </c>
      <c r="N166" s="102">
        <v>22</v>
      </c>
      <c r="O166" s="102">
        <v>78</v>
      </c>
      <c r="P166" s="102">
        <v>41</v>
      </c>
      <c r="Q166" s="104">
        <f>_xlfn.FLOOR.MATH(21+0.3*B166)</f>
        <v>54</v>
      </c>
      <c r="R166" s="102">
        <f>_xlfn.FLOOR.MATH(7+0.1*B166)</f>
        <v>18</v>
      </c>
      <c r="S166" s="102">
        <f>_xlfn.FLOOR.MATH(37+0.4*B166)</f>
        <v>81</v>
      </c>
      <c r="T166" s="105">
        <f>_xlfn.FLOOR.MATH(30+0.52*B166)</f>
        <v>87</v>
      </c>
      <c r="U166" s="102">
        <v>10</v>
      </c>
      <c r="V166" s="102">
        <v>34</v>
      </c>
      <c r="W166" s="106" t="s">
        <v>115</v>
      </c>
      <c r="X166" s="106" t="s">
        <v>510</v>
      </c>
      <c r="Y166" s="102" t="s">
        <v>241</v>
      </c>
      <c r="Z166" s="102" t="s">
        <v>128</v>
      </c>
      <c r="AA166" s="104">
        <v>0</v>
      </c>
      <c r="AB166" s="105">
        <v>0</v>
      </c>
      <c r="AC166" s="104">
        <v>2</v>
      </c>
      <c r="AD166" s="123" t="s">
        <v>252</v>
      </c>
      <c r="AE166" s="104">
        <v>15</v>
      </c>
      <c r="AF166" s="105">
        <v>20</v>
      </c>
      <c r="AG166" s="104">
        <v>0.48</v>
      </c>
      <c r="AH166" s="102">
        <v>0.9</v>
      </c>
      <c r="AI166" s="105">
        <v>0.5</v>
      </c>
      <c r="AJ166" s="104">
        <v>2</v>
      </c>
      <c r="AK166" s="102">
        <v>4</v>
      </c>
      <c r="AL166" s="102">
        <v>3</v>
      </c>
      <c r="AM166" s="105">
        <v>0</v>
      </c>
      <c r="AN166" s="104">
        <v>0</v>
      </c>
      <c r="AO166" s="102">
        <v>31</v>
      </c>
      <c r="AP166" s="102">
        <v>7</v>
      </c>
      <c r="AQ166" s="105">
        <v>0</v>
      </c>
      <c r="AT166" s="110">
        <v>0.0138888888888889</v>
      </c>
      <c r="AU166" s="125" t="str">
        <f>HYPERLINK("http://www.jianrmod.cn/data/shipGetInfo.html?type=0&amp;cid=10016711","详细")</f>
        <v>详细</v>
      </c>
    </row>
    <row r="167" spans="1:47">
      <c r="A167" s="100">
        <v>10016811</v>
      </c>
      <c r="B167" s="101">
        <v>110</v>
      </c>
      <c r="C167" s="102">
        <v>2</v>
      </c>
      <c r="D167" s="103" t="s">
        <v>511</v>
      </c>
      <c r="E167" s="103" t="s">
        <v>512</v>
      </c>
      <c r="F167" s="103" t="s">
        <v>49</v>
      </c>
      <c r="G167" s="103">
        <v>1</v>
      </c>
      <c r="H167" s="103">
        <v>2</v>
      </c>
      <c r="I167" s="104" t="s">
        <v>60</v>
      </c>
      <c r="J167" s="102" t="s">
        <v>246</v>
      </c>
      <c r="K167" s="102">
        <v>16</v>
      </c>
      <c r="L167" s="103">
        <v>0</v>
      </c>
      <c r="M167" s="104">
        <v>32</v>
      </c>
      <c r="N167" s="102">
        <v>22</v>
      </c>
      <c r="O167" s="102">
        <v>78</v>
      </c>
      <c r="P167" s="102">
        <v>41</v>
      </c>
      <c r="Q167" s="104">
        <f>_xlfn.FLOOR.MATH(21+0.3*B167)</f>
        <v>54</v>
      </c>
      <c r="R167" s="102">
        <f>_xlfn.FLOOR.MATH(7+0.1*B167)</f>
        <v>18</v>
      </c>
      <c r="S167" s="102">
        <f>_xlfn.FLOOR.MATH(37+0.4*B167)</f>
        <v>81</v>
      </c>
      <c r="T167" s="105">
        <f>_xlfn.FLOOR.MATH(30+0.52*B167)</f>
        <v>87</v>
      </c>
      <c r="U167" s="102">
        <v>10</v>
      </c>
      <c r="V167" s="102">
        <v>34</v>
      </c>
      <c r="W167" s="106" t="s">
        <v>115</v>
      </c>
      <c r="X167" s="106" t="s">
        <v>513</v>
      </c>
      <c r="Y167" s="102" t="s">
        <v>241</v>
      </c>
      <c r="Z167" s="102" t="s">
        <v>128</v>
      </c>
      <c r="AA167" s="104">
        <v>0</v>
      </c>
      <c r="AB167" s="105">
        <v>0</v>
      </c>
      <c r="AC167" s="104">
        <v>2</v>
      </c>
      <c r="AD167" s="123" t="s">
        <v>252</v>
      </c>
      <c r="AE167" s="104">
        <v>15</v>
      </c>
      <c r="AF167" s="105">
        <v>20</v>
      </c>
      <c r="AG167" s="104">
        <v>0.48</v>
      </c>
      <c r="AH167" s="102">
        <v>0.9</v>
      </c>
      <c r="AI167" s="105">
        <v>0.5</v>
      </c>
      <c r="AJ167" s="104">
        <v>2</v>
      </c>
      <c r="AK167" s="102">
        <v>4</v>
      </c>
      <c r="AL167" s="102">
        <v>3</v>
      </c>
      <c r="AM167" s="105">
        <v>0</v>
      </c>
      <c r="AN167" s="104">
        <v>0</v>
      </c>
      <c r="AO167" s="102">
        <v>31</v>
      </c>
      <c r="AP167" s="102">
        <v>7</v>
      </c>
      <c r="AQ167" s="105">
        <v>0</v>
      </c>
      <c r="AT167" s="110">
        <v>0.0138888888888889</v>
      </c>
      <c r="AU167" s="125" t="str">
        <f>HYPERLINK("http://www.jianrmod.cn/data/shipGetInfo.html?type=0&amp;cid=10016811","详细")</f>
        <v>详细</v>
      </c>
    </row>
    <row r="168" ht="39.6" spans="1:47">
      <c r="A168" s="100">
        <v>10016911</v>
      </c>
      <c r="B168" s="101">
        <v>110</v>
      </c>
      <c r="C168" s="102">
        <v>5</v>
      </c>
      <c r="D168" s="103" t="s">
        <v>514</v>
      </c>
      <c r="E168" s="103" t="s">
        <v>515</v>
      </c>
      <c r="F168" s="103" t="s">
        <v>49</v>
      </c>
      <c r="G168" s="103">
        <v>2</v>
      </c>
      <c r="H168" s="103">
        <v>2</v>
      </c>
      <c r="I168" s="104" t="s">
        <v>60</v>
      </c>
      <c r="J168" s="102" t="s">
        <v>246</v>
      </c>
      <c r="K168" s="102">
        <v>16</v>
      </c>
      <c r="L168" s="103">
        <v>0</v>
      </c>
      <c r="M168" s="104">
        <v>32</v>
      </c>
      <c r="N168" s="102">
        <v>22</v>
      </c>
      <c r="O168" s="102">
        <v>78</v>
      </c>
      <c r="P168" s="102">
        <v>50</v>
      </c>
      <c r="Q168" s="104">
        <f>_xlfn.FLOOR.MATH(21+0.3*B168)</f>
        <v>54</v>
      </c>
      <c r="R168" s="102">
        <f>_xlfn.FLOOR.MATH(7+0.1*B168)</f>
        <v>18</v>
      </c>
      <c r="S168" s="102">
        <f>_xlfn.FLOOR.MATH(45+0.4*B168)</f>
        <v>89</v>
      </c>
      <c r="T168" s="105">
        <f>_xlfn.FLOOR.MATH(32+0.52*B168)</f>
        <v>89</v>
      </c>
      <c r="U168" s="102">
        <v>50</v>
      </c>
      <c r="V168" s="102">
        <v>38.2</v>
      </c>
      <c r="W168" s="106" t="s">
        <v>115</v>
      </c>
      <c r="X168" s="106" t="s">
        <v>516</v>
      </c>
      <c r="Y168" s="102" t="s">
        <v>241</v>
      </c>
      <c r="Z168" s="102" t="s">
        <v>128</v>
      </c>
      <c r="AA168" s="104">
        <v>0</v>
      </c>
      <c r="AB168" s="105">
        <v>0</v>
      </c>
      <c r="AC168" s="104">
        <v>2</v>
      </c>
      <c r="AD168" s="123" t="s">
        <v>517</v>
      </c>
      <c r="AE168" s="104">
        <v>15</v>
      </c>
      <c r="AF168" s="105">
        <v>20</v>
      </c>
      <c r="AG168" s="104">
        <v>0.48</v>
      </c>
      <c r="AH168" s="102">
        <v>0.9</v>
      </c>
      <c r="AI168" s="105">
        <v>0.5</v>
      </c>
      <c r="AJ168" s="104">
        <v>4</v>
      </c>
      <c r="AK168" s="102">
        <v>8</v>
      </c>
      <c r="AL168" s="102">
        <v>6</v>
      </c>
      <c r="AM168" s="105">
        <v>0</v>
      </c>
      <c r="AN168" s="104">
        <v>0</v>
      </c>
      <c r="AO168" s="102">
        <v>31</v>
      </c>
      <c r="AP168" s="102">
        <v>7</v>
      </c>
      <c r="AQ168" s="105">
        <v>0</v>
      </c>
      <c r="AR168" s="108" t="s">
        <v>518</v>
      </c>
      <c r="AU168" s="125" t="str">
        <f>HYPERLINK("http://www.jianrmod.cn/data/shipGetInfo.html?type=0&amp;cid=10016911","详细")</f>
        <v>详细</v>
      </c>
    </row>
    <row r="169" spans="1:46">
      <c r="A169" s="100">
        <v>10017011</v>
      </c>
      <c r="B169" s="101">
        <v>110</v>
      </c>
      <c r="C169" s="102">
        <v>3</v>
      </c>
      <c r="D169" s="103" t="s">
        <v>519</v>
      </c>
      <c r="F169" s="103" t="s">
        <v>49</v>
      </c>
      <c r="G169" s="103">
        <v>1</v>
      </c>
      <c r="H169" s="103">
        <v>2</v>
      </c>
      <c r="I169" s="104" t="s">
        <v>73</v>
      </c>
      <c r="J169" s="102" t="s">
        <v>246</v>
      </c>
      <c r="K169" s="102">
        <v>18</v>
      </c>
      <c r="L169" s="103">
        <v>2</v>
      </c>
      <c r="M169" s="104">
        <v>28</v>
      </c>
      <c r="N169" s="102">
        <v>23</v>
      </c>
      <c r="O169" s="102">
        <v>74</v>
      </c>
      <c r="P169" s="102">
        <v>41</v>
      </c>
      <c r="Q169" s="104">
        <f>_xlfn.FLOOR.MATH(22+0.3*B169)</f>
        <v>55</v>
      </c>
      <c r="R169" s="102">
        <f>_xlfn.FLOOR.MATH(6+0.1*B169)</f>
        <v>17</v>
      </c>
      <c r="S169" s="102">
        <f>_xlfn.FLOOR.MATH(38+0.4*B169)</f>
        <v>82</v>
      </c>
      <c r="T169" s="105">
        <f>_xlfn.FLOOR.MATH(30+0.52*B169)</f>
        <v>87</v>
      </c>
      <c r="U169" s="102">
        <v>10</v>
      </c>
      <c r="V169" s="102">
        <v>38.2</v>
      </c>
      <c r="W169" s="106" t="s">
        <v>115</v>
      </c>
      <c r="Y169" s="102" t="s">
        <v>241</v>
      </c>
      <c r="Z169" s="102" t="s">
        <v>128</v>
      </c>
      <c r="AA169" s="104">
        <v>0</v>
      </c>
      <c r="AB169" s="105">
        <v>0</v>
      </c>
      <c r="AC169" s="104">
        <v>2</v>
      </c>
      <c r="AD169" s="123" t="s">
        <v>279</v>
      </c>
      <c r="AE169" s="104">
        <v>10</v>
      </c>
      <c r="AF169" s="105">
        <v>20</v>
      </c>
      <c r="AG169" s="104">
        <v>0.48</v>
      </c>
      <c r="AH169" s="102">
        <v>0.99</v>
      </c>
      <c r="AI169" s="105">
        <v>0.5</v>
      </c>
      <c r="AJ169" s="104">
        <v>4</v>
      </c>
      <c r="AK169" s="102">
        <v>8</v>
      </c>
      <c r="AL169" s="102">
        <v>6</v>
      </c>
      <c r="AM169" s="105">
        <v>0</v>
      </c>
      <c r="AN169" s="104">
        <v>0</v>
      </c>
      <c r="AO169" s="102">
        <v>24</v>
      </c>
      <c r="AP169" s="102">
        <v>10</v>
      </c>
      <c r="AQ169" s="105">
        <v>0</v>
      </c>
      <c r="AT169" s="110">
        <v>0.0152777777777778</v>
      </c>
    </row>
    <row r="170" spans="1:47">
      <c r="A170" s="100">
        <v>10017111</v>
      </c>
      <c r="B170" s="101">
        <v>110</v>
      </c>
      <c r="C170" s="102">
        <v>5</v>
      </c>
      <c r="D170" s="103" t="s">
        <v>520</v>
      </c>
      <c r="F170" s="103" t="s">
        <v>49</v>
      </c>
      <c r="G170" s="103">
        <v>1</v>
      </c>
      <c r="H170" s="103">
        <v>2</v>
      </c>
      <c r="I170" s="104" t="s">
        <v>73</v>
      </c>
      <c r="J170" s="102" t="s">
        <v>246</v>
      </c>
      <c r="K170" s="102">
        <v>22</v>
      </c>
      <c r="L170" s="103">
        <v>2</v>
      </c>
      <c r="M170" s="104">
        <v>32</v>
      </c>
      <c r="N170" s="102">
        <v>26</v>
      </c>
      <c r="O170" s="102">
        <v>74</v>
      </c>
      <c r="P170" s="102">
        <v>60</v>
      </c>
      <c r="Q170" s="104">
        <f>_xlfn.FLOOR.MATH(26+0.3*B170)</f>
        <v>59</v>
      </c>
      <c r="R170" s="102">
        <f>_xlfn.FLOOR.MATH(7+0.1*B170)</f>
        <v>18</v>
      </c>
      <c r="S170" s="102">
        <f>_xlfn.FLOOR.MATH(38+0.4*B170)</f>
        <v>82</v>
      </c>
      <c r="T170" s="105">
        <f>_xlfn.FLOOR.MATH(32+0.52*B170)</f>
        <v>89</v>
      </c>
      <c r="U170" s="102">
        <v>6</v>
      </c>
      <c r="V170" s="102">
        <v>37.5</v>
      </c>
      <c r="W170" s="106" t="s">
        <v>115</v>
      </c>
      <c r="X170" s="106" t="s">
        <v>521</v>
      </c>
      <c r="Y170" s="102" t="s">
        <v>241</v>
      </c>
      <c r="Z170" s="102" t="s">
        <v>128</v>
      </c>
      <c r="AA170" s="104">
        <v>0</v>
      </c>
      <c r="AB170" s="105">
        <v>0</v>
      </c>
      <c r="AC170" s="104">
        <v>2</v>
      </c>
      <c r="AD170" s="123" t="s">
        <v>522</v>
      </c>
      <c r="AE170" s="104">
        <v>10</v>
      </c>
      <c r="AF170" s="105">
        <v>20</v>
      </c>
      <c r="AG170" s="104">
        <v>0.48</v>
      </c>
      <c r="AH170" s="102">
        <v>0.99</v>
      </c>
      <c r="AI170" s="105">
        <v>0.5</v>
      </c>
      <c r="AJ170" s="104">
        <v>4</v>
      </c>
      <c r="AK170" s="102">
        <v>8</v>
      </c>
      <c r="AL170" s="102">
        <v>6</v>
      </c>
      <c r="AM170" s="105">
        <v>0</v>
      </c>
      <c r="AN170" s="104">
        <v>0</v>
      </c>
      <c r="AO170" s="102">
        <v>24</v>
      </c>
      <c r="AP170" s="102">
        <v>13</v>
      </c>
      <c r="AQ170" s="105">
        <v>0</v>
      </c>
      <c r="AT170" s="110">
        <v>0.0152777777777778</v>
      </c>
      <c r="AU170" s="125"/>
    </row>
    <row r="171" spans="1:47">
      <c r="A171" s="100">
        <v>10017211</v>
      </c>
      <c r="B171" s="101">
        <v>110</v>
      </c>
      <c r="C171" s="102">
        <v>3</v>
      </c>
      <c r="D171" s="103" t="s">
        <v>523</v>
      </c>
      <c r="F171" s="103" t="s">
        <v>49</v>
      </c>
      <c r="G171" s="103">
        <v>1</v>
      </c>
      <c r="H171" s="103">
        <v>2</v>
      </c>
      <c r="I171" s="104" t="s">
        <v>50</v>
      </c>
      <c r="J171" s="102" t="s">
        <v>246</v>
      </c>
      <c r="K171" s="102">
        <v>14</v>
      </c>
      <c r="L171" s="103">
        <v>2</v>
      </c>
      <c r="M171" s="104">
        <v>27</v>
      </c>
      <c r="N171" s="102">
        <v>21</v>
      </c>
      <c r="O171" s="102">
        <v>74</v>
      </c>
      <c r="P171" s="102">
        <v>45</v>
      </c>
      <c r="Q171" s="104">
        <f>_xlfn.FLOOR.MATH(28+0.3*B171)</f>
        <v>61</v>
      </c>
      <c r="R171" s="102">
        <f>_xlfn.FLOOR.MATH(6+0.1*B171)</f>
        <v>17</v>
      </c>
      <c r="S171" s="102">
        <f>_xlfn.FLOOR.MATH(35+0.4*B171)</f>
        <v>79</v>
      </c>
      <c r="T171" s="105">
        <f>_xlfn.FLOOR.MATH(30+0.52*B171)</f>
        <v>87</v>
      </c>
      <c r="U171" s="102">
        <v>10</v>
      </c>
      <c r="V171" s="102">
        <v>35</v>
      </c>
      <c r="W171" s="106" t="s">
        <v>115</v>
      </c>
      <c r="Y171" s="102" t="s">
        <v>241</v>
      </c>
      <c r="Z171" s="102" t="s">
        <v>128</v>
      </c>
      <c r="AA171" s="104">
        <v>0</v>
      </c>
      <c r="AB171" s="105">
        <v>0</v>
      </c>
      <c r="AC171" s="104">
        <v>2</v>
      </c>
      <c r="AD171" s="123" t="s">
        <v>524</v>
      </c>
      <c r="AE171" s="104">
        <v>10</v>
      </c>
      <c r="AF171" s="105">
        <v>25</v>
      </c>
      <c r="AG171" s="104">
        <v>0.48</v>
      </c>
      <c r="AH171" s="102">
        <v>0.9</v>
      </c>
      <c r="AI171" s="105">
        <v>0.5</v>
      </c>
      <c r="AJ171" s="104">
        <v>4</v>
      </c>
      <c r="AK171" s="102">
        <v>8</v>
      </c>
      <c r="AL171" s="102">
        <v>6</v>
      </c>
      <c r="AM171" s="105">
        <v>0</v>
      </c>
      <c r="AN171" s="104">
        <v>3</v>
      </c>
      <c r="AO171" s="102">
        <v>24</v>
      </c>
      <c r="AP171" s="102">
        <v>6</v>
      </c>
      <c r="AQ171" s="105">
        <v>0</v>
      </c>
      <c r="AU171" s="125" t="str">
        <f>HYPERLINK("http://www.jianrmod.cn/data/shipGetInfo.html?type=0&amp;cid=10017211","详细")</f>
        <v>详细</v>
      </c>
    </row>
    <row r="172" spans="1:47">
      <c r="A172" s="100">
        <v>10017311</v>
      </c>
      <c r="B172" s="101">
        <v>110</v>
      </c>
      <c r="C172" s="102">
        <v>3</v>
      </c>
      <c r="D172" s="103" t="s">
        <v>525</v>
      </c>
      <c r="F172" s="103" t="s">
        <v>49</v>
      </c>
      <c r="G172" s="103">
        <v>1</v>
      </c>
      <c r="H172" s="103">
        <v>2</v>
      </c>
      <c r="I172" s="104" t="s">
        <v>50</v>
      </c>
      <c r="J172" s="102" t="s">
        <v>246</v>
      </c>
      <c r="K172" s="102">
        <v>14</v>
      </c>
      <c r="L172" s="103">
        <v>2</v>
      </c>
      <c r="M172" s="104">
        <v>27</v>
      </c>
      <c r="N172" s="102">
        <v>21</v>
      </c>
      <c r="O172" s="102">
        <v>76</v>
      </c>
      <c r="P172" s="102">
        <v>45</v>
      </c>
      <c r="Q172" s="104">
        <f>_xlfn.FLOOR.MATH(28+0.3*B172)</f>
        <v>61</v>
      </c>
      <c r="R172" s="102">
        <f>_xlfn.FLOOR.MATH(6+0.1*B172)</f>
        <v>17</v>
      </c>
      <c r="S172" s="102">
        <f>_xlfn.FLOOR.MATH(35+0.4*B172)</f>
        <v>79</v>
      </c>
      <c r="T172" s="105">
        <f>_xlfn.FLOOR.MATH(30+0.52*B172)</f>
        <v>87</v>
      </c>
      <c r="U172" s="102">
        <v>10</v>
      </c>
      <c r="V172" s="102">
        <v>35</v>
      </c>
      <c r="W172" s="106" t="s">
        <v>115</v>
      </c>
      <c r="Y172" s="102" t="s">
        <v>241</v>
      </c>
      <c r="Z172" s="102" t="s">
        <v>128</v>
      </c>
      <c r="AA172" s="104">
        <v>0</v>
      </c>
      <c r="AB172" s="105">
        <v>0</v>
      </c>
      <c r="AC172" s="104">
        <v>2</v>
      </c>
      <c r="AD172" s="123" t="s">
        <v>524</v>
      </c>
      <c r="AE172" s="104">
        <v>10</v>
      </c>
      <c r="AF172" s="105">
        <v>25</v>
      </c>
      <c r="AG172" s="104">
        <v>0.48</v>
      </c>
      <c r="AH172" s="102">
        <v>0.9</v>
      </c>
      <c r="AI172" s="105">
        <v>0.5</v>
      </c>
      <c r="AJ172" s="104">
        <v>4</v>
      </c>
      <c r="AK172" s="102">
        <v>8</v>
      </c>
      <c r="AL172" s="102">
        <v>6</v>
      </c>
      <c r="AM172" s="105">
        <v>0</v>
      </c>
      <c r="AN172" s="104">
        <v>3</v>
      </c>
      <c r="AO172" s="102">
        <v>26</v>
      </c>
      <c r="AP172" s="102">
        <v>6</v>
      </c>
      <c r="AQ172" s="105">
        <v>0</v>
      </c>
      <c r="AU172" s="125" t="str">
        <f>HYPERLINK("http://www.jianrmod.cn/data/shipGetInfo.html?type=0&amp;cid=10017311","详细")</f>
        <v>详细</v>
      </c>
    </row>
    <row r="173" spans="1:47">
      <c r="A173" s="100">
        <v>10017411</v>
      </c>
      <c r="B173" s="101">
        <v>110</v>
      </c>
      <c r="C173" s="102">
        <v>4</v>
      </c>
      <c r="D173" s="103" t="s">
        <v>526</v>
      </c>
      <c r="F173" s="103" t="s">
        <v>49</v>
      </c>
      <c r="G173" s="103">
        <v>1</v>
      </c>
      <c r="H173" s="103">
        <v>2</v>
      </c>
      <c r="I173" s="104" t="s">
        <v>50</v>
      </c>
      <c r="J173" s="102" t="s">
        <v>246</v>
      </c>
      <c r="K173" s="102">
        <v>14</v>
      </c>
      <c r="L173" s="103">
        <v>2</v>
      </c>
      <c r="M173" s="104">
        <v>28</v>
      </c>
      <c r="N173" s="102">
        <v>22</v>
      </c>
      <c r="O173" s="102">
        <v>72</v>
      </c>
      <c r="P173" s="102">
        <v>52</v>
      </c>
      <c r="Q173" s="104">
        <f>_xlfn.FLOOR.MATH(30+0.3*B173)</f>
        <v>63</v>
      </c>
      <c r="R173" s="102">
        <f>_xlfn.FLOOR.MATH(5+0.1*B173)</f>
        <v>16</v>
      </c>
      <c r="S173" s="102">
        <f>_xlfn.FLOOR.MATH(36+0.4*B173)</f>
        <v>80</v>
      </c>
      <c r="T173" s="105">
        <f>_xlfn.FLOOR.MATH(31+0.52*B173)</f>
        <v>88</v>
      </c>
      <c r="U173" s="102">
        <v>25</v>
      </c>
      <c r="V173" s="102">
        <v>36</v>
      </c>
      <c r="W173" s="106" t="s">
        <v>115</v>
      </c>
      <c r="Y173" s="102" t="s">
        <v>241</v>
      </c>
      <c r="Z173" s="102" t="s">
        <v>128</v>
      </c>
      <c r="AA173" s="104">
        <v>0</v>
      </c>
      <c r="AB173" s="105">
        <v>0</v>
      </c>
      <c r="AC173" s="104">
        <v>2</v>
      </c>
      <c r="AD173" s="123" t="s">
        <v>300</v>
      </c>
      <c r="AE173" s="104">
        <v>10</v>
      </c>
      <c r="AF173" s="105">
        <v>25</v>
      </c>
      <c r="AG173" s="104">
        <v>0.48</v>
      </c>
      <c r="AH173" s="102">
        <v>0.9</v>
      </c>
      <c r="AI173" s="105">
        <v>0.5</v>
      </c>
      <c r="AJ173" s="104">
        <v>4</v>
      </c>
      <c r="AK173" s="102">
        <v>8</v>
      </c>
      <c r="AL173" s="102">
        <v>6</v>
      </c>
      <c r="AM173" s="105">
        <v>0</v>
      </c>
      <c r="AN173" s="104">
        <v>1</v>
      </c>
      <c r="AO173" s="102">
        <v>22</v>
      </c>
      <c r="AP173" s="102">
        <v>7</v>
      </c>
      <c r="AQ173" s="105">
        <v>0</v>
      </c>
      <c r="AU173" s="125" t="str">
        <f>HYPERLINK("http://www.jianrmod.cn/data/shipGetInfo.html?type=0&amp;cid=10017411","详细")</f>
        <v>详细</v>
      </c>
    </row>
    <row r="174" spans="1:47">
      <c r="A174" s="100">
        <v>10017511</v>
      </c>
      <c r="B174" s="101">
        <v>110</v>
      </c>
      <c r="C174" s="102">
        <v>3</v>
      </c>
      <c r="D174" s="103" t="s">
        <v>527</v>
      </c>
      <c r="F174" s="103" t="s">
        <v>49</v>
      </c>
      <c r="G174" s="103">
        <v>1</v>
      </c>
      <c r="H174" s="103">
        <v>2</v>
      </c>
      <c r="I174" s="104" t="s">
        <v>50</v>
      </c>
      <c r="J174" s="102" t="s">
        <v>246</v>
      </c>
      <c r="K174" s="102">
        <v>14</v>
      </c>
      <c r="L174" s="103">
        <v>2</v>
      </c>
      <c r="M174" s="104">
        <v>28</v>
      </c>
      <c r="N174" s="102">
        <v>22</v>
      </c>
      <c r="O174" s="102">
        <v>71</v>
      </c>
      <c r="P174" s="102">
        <v>52</v>
      </c>
      <c r="Q174" s="104">
        <f>_xlfn.FLOOR.MATH(30+0.3*B174)</f>
        <v>63</v>
      </c>
      <c r="R174" s="102">
        <f>_xlfn.FLOOR.MATH(5+0.1*B174)</f>
        <v>16</v>
      </c>
      <c r="S174" s="102">
        <f>_xlfn.FLOOR.MATH(38+0.4*B174)</f>
        <v>82</v>
      </c>
      <c r="T174" s="105">
        <f>_xlfn.FLOOR.MATH(30+0.52*B174)</f>
        <v>87</v>
      </c>
      <c r="U174" s="102">
        <v>20</v>
      </c>
      <c r="V174" s="102">
        <v>37</v>
      </c>
      <c r="W174" s="106" t="s">
        <v>115</v>
      </c>
      <c r="X174" s="106" t="s">
        <v>528</v>
      </c>
      <c r="Y174" s="102" t="s">
        <v>241</v>
      </c>
      <c r="Z174" s="102" t="s">
        <v>128</v>
      </c>
      <c r="AA174" s="104">
        <v>0</v>
      </c>
      <c r="AB174" s="105">
        <v>0</v>
      </c>
      <c r="AC174" s="104">
        <v>2</v>
      </c>
      <c r="AD174" s="123" t="s">
        <v>300</v>
      </c>
      <c r="AE174" s="104">
        <v>10</v>
      </c>
      <c r="AF174" s="105">
        <v>25</v>
      </c>
      <c r="AG174" s="104">
        <v>0.48</v>
      </c>
      <c r="AH174" s="102">
        <v>0.9</v>
      </c>
      <c r="AI174" s="105">
        <v>0.5</v>
      </c>
      <c r="AJ174" s="104">
        <v>4</v>
      </c>
      <c r="AK174" s="102">
        <v>8</v>
      </c>
      <c r="AL174" s="102">
        <v>6</v>
      </c>
      <c r="AM174" s="105">
        <v>0</v>
      </c>
      <c r="AN174" s="104">
        <v>1</v>
      </c>
      <c r="AO174" s="102">
        <v>21</v>
      </c>
      <c r="AP174" s="102">
        <v>7</v>
      </c>
      <c r="AQ174" s="105">
        <v>0</v>
      </c>
      <c r="AU174" s="125" t="str">
        <f>HYPERLINK("http://www.jianrmod.cn/data/shipGetInfo.html?type=0&amp;cid=10017511","详细")</f>
        <v>详细</v>
      </c>
    </row>
    <row r="175" spans="1:47">
      <c r="A175" s="100">
        <v>10017611</v>
      </c>
      <c r="B175" s="101">
        <v>110</v>
      </c>
      <c r="C175" s="102">
        <v>2</v>
      </c>
      <c r="D175" s="103" t="s">
        <v>529</v>
      </c>
      <c r="F175" s="103" t="s">
        <v>49</v>
      </c>
      <c r="G175" s="103">
        <v>1</v>
      </c>
      <c r="H175" s="103">
        <v>2</v>
      </c>
      <c r="I175" s="104" t="s">
        <v>50</v>
      </c>
      <c r="J175" s="102" t="s">
        <v>246</v>
      </c>
      <c r="K175" s="102">
        <v>15</v>
      </c>
      <c r="L175" s="103">
        <v>1</v>
      </c>
      <c r="M175" s="104">
        <v>32</v>
      </c>
      <c r="N175" s="102">
        <v>23</v>
      </c>
      <c r="O175" s="102">
        <v>70</v>
      </c>
      <c r="P175" s="102">
        <v>57</v>
      </c>
      <c r="Q175" s="104">
        <f>_xlfn.FLOOR.MATH(28+0.3*B175)</f>
        <v>61</v>
      </c>
      <c r="R175" s="102">
        <f>_xlfn.FLOOR.MATH(5+0.1*B175)</f>
        <v>16</v>
      </c>
      <c r="S175" s="102">
        <f>_xlfn.FLOOR.MATH(36+0.4*B175)</f>
        <v>80</v>
      </c>
      <c r="T175" s="105">
        <f>_xlfn.FLOOR.MATH(30+0.52*B175)</f>
        <v>87</v>
      </c>
      <c r="U175" s="102">
        <v>15</v>
      </c>
      <c r="V175" s="102">
        <v>36</v>
      </c>
      <c r="W175" s="106" t="s">
        <v>115</v>
      </c>
      <c r="Y175" s="102" t="s">
        <v>241</v>
      </c>
      <c r="Z175" s="102" t="s">
        <v>128</v>
      </c>
      <c r="AA175" s="104">
        <v>0</v>
      </c>
      <c r="AB175" s="105">
        <v>0</v>
      </c>
      <c r="AC175" s="104">
        <v>2</v>
      </c>
      <c r="AD175" s="123" t="s">
        <v>300</v>
      </c>
      <c r="AE175" s="104">
        <v>10</v>
      </c>
      <c r="AF175" s="105">
        <v>25</v>
      </c>
      <c r="AG175" s="104">
        <v>0.48</v>
      </c>
      <c r="AH175" s="102">
        <v>0.9</v>
      </c>
      <c r="AI175" s="105">
        <v>0.5</v>
      </c>
      <c r="AJ175" s="104">
        <v>2</v>
      </c>
      <c r="AK175" s="102">
        <v>4</v>
      </c>
      <c r="AL175" s="102">
        <v>3</v>
      </c>
      <c r="AM175" s="105">
        <v>0</v>
      </c>
      <c r="AN175" s="104">
        <v>1</v>
      </c>
      <c r="AO175" s="102">
        <v>20</v>
      </c>
      <c r="AP175" s="102">
        <v>8</v>
      </c>
      <c r="AQ175" s="105">
        <v>0</v>
      </c>
      <c r="AU175" s="125" t="str">
        <f>HYPERLINK("http://www.jianrmod.cn/data/shipGetInfo.html?type=0&amp;cid=10017611","详细")</f>
        <v>详细</v>
      </c>
    </row>
    <row r="176" spans="1:47">
      <c r="A176" s="100">
        <v>10017711</v>
      </c>
      <c r="B176" s="101">
        <v>110</v>
      </c>
      <c r="C176" s="102">
        <v>2</v>
      </c>
      <c r="D176" s="103" t="s">
        <v>530</v>
      </c>
      <c r="F176" s="103" t="s">
        <v>49</v>
      </c>
      <c r="G176" s="103">
        <v>1</v>
      </c>
      <c r="H176" s="103">
        <v>2</v>
      </c>
      <c r="I176" s="104" t="s">
        <v>86</v>
      </c>
      <c r="J176" s="102" t="s">
        <v>246</v>
      </c>
      <c r="K176" s="102">
        <v>17</v>
      </c>
      <c r="L176" s="103">
        <v>-1</v>
      </c>
      <c r="M176" s="104">
        <v>28</v>
      </c>
      <c r="N176" s="102">
        <v>22</v>
      </c>
      <c r="O176" s="102">
        <v>70</v>
      </c>
      <c r="P176" s="102">
        <v>54</v>
      </c>
      <c r="Q176" s="104">
        <f>_xlfn.FLOOR.MATH(25+0.3*B176)</f>
        <v>58</v>
      </c>
      <c r="R176" s="102">
        <f>_xlfn.FLOOR.MATH(6+0.1*B176)</f>
        <v>17</v>
      </c>
      <c r="S176" s="102">
        <f>_xlfn.FLOOR.MATH(37+0.4*B176)</f>
        <v>81</v>
      </c>
      <c r="T176" s="105">
        <f>_xlfn.FLOOR.MATH(30+0.52*B176)</f>
        <v>87</v>
      </c>
      <c r="U176" s="102">
        <v>15</v>
      </c>
      <c r="V176" s="102">
        <v>37</v>
      </c>
      <c r="W176" s="106" t="s">
        <v>115</v>
      </c>
      <c r="Y176" s="102" t="s">
        <v>241</v>
      </c>
      <c r="Z176" s="102" t="s">
        <v>128</v>
      </c>
      <c r="AA176" s="104">
        <v>0</v>
      </c>
      <c r="AB176" s="105">
        <v>0</v>
      </c>
      <c r="AC176" s="104">
        <v>2</v>
      </c>
      <c r="AD176" s="123" t="s">
        <v>316</v>
      </c>
      <c r="AE176" s="104">
        <v>15</v>
      </c>
      <c r="AF176" s="105">
        <v>25</v>
      </c>
      <c r="AG176" s="104">
        <v>0.48</v>
      </c>
      <c r="AH176" s="102">
        <v>0.9</v>
      </c>
      <c r="AI176" s="105">
        <v>0.4</v>
      </c>
      <c r="AJ176" s="104">
        <v>2</v>
      </c>
      <c r="AK176" s="102">
        <v>4</v>
      </c>
      <c r="AL176" s="102">
        <v>3</v>
      </c>
      <c r="AM176" s="105">
        <v>0</v>
      </c>
      <c r="AN176" s="104">
        <v>0</v>
      </c>
      <c r="AO176" s="102">
        <v>20</v>
      </c>
      <c r="AP176" s="102">
        <v>7</v>
      </c>
      <c r="AQ176" s="105">
        <v>5</v>
      </c>
      <c r="AU176" s="125" t="str">
        <f>HYPERLINK("http://www.jianrmod.cn/data/shipGetInfo.html?type=0&amp;cid=10017711","详细")</f>
        <v>详细</v>
      </c>
    </row>
    <row r="177" spans="1:47">
      <c r="A177" s="100">
        <v>10017811</v>
      </c>
      <c r="B177" s="101">
        <v>110</v>
      </c>
      <c r="C177" s="102">
        <v>2</v>
      </c>
      <c r="D177" s="103" t="s">
        <v>531</v>
      </c>
      <c r="F177" s="103" t="s">
        <v>49</v>
      </c>
      <c r="G177" s="103">
        <v>1</v>
      </c>
      <c r="H177" s="103">
        <v>2</v>
      </c>
      <c r="I177" s="104" t="s">
        <v>86</v>
      </c>
      <c r="J177" s="102" t="s">
        <v>246</v>
      </c>
      <c r="K177" s="102">
        <v>17</v>
      </c>
      <c r="L177" s="103">
        <v>-1</v>
      </c>
      <c r="M177" s="104">
        <v>28</v>
      </c>
      <c r="N177" s="102">
        <v>22</v>
      </c>
      <c r="O177" s="102">
        <v>70</v>
      </c>
      <c r="P177" s="102">
        <v>54</v>
      </c>
      <c r="Q177" s="104">
        <f>_xlfn.FLOOR.MATH(25+0.3*B177)</f>
        <v>58</v>
      </c>
      <c r="R177" s="102">
        <f>_xlfn.FLOOR.MATH(6+0.1*B177)</f>
        <v>17</v>
      </c>
      <c r="S177" s="102">
        <f>_xlfn.FLOOR.MATH(37+0.4*B177)</f>
        <v>81</v>
      </c>
      <c r="T177" s="105">
        <f>_xlfn.FLOOR.MATH(30+0.52*B177)</f>
        <v>87</v>
      </c>
      <c r="U177" s="102">
        <v>32</v>
      </c>
      <c r="V177" s="102">
        <v>37</v>
      </c>
      <c r="W177" s="106" t="s">
        <v>115</v>
      </c>
      <c r="X177" s="106" t="s">
        <v>532</v>
      </c>
      <c r="Y177" s="102" t="s">
        <v>241</v>
      </c>
      <c r="Z177" s="102" t="s">
        <v>128</v>
      </c>
      <c r="AA177" s="104">
        <v>0</v>
      </c>
      <c r="AB177" s="105">
        <v>0</v>
      </c>
      <c r="AC177" s="104">
        <v>2</v>
      </c>
      <c r="AD177" s="123" t="s">
        <v>316</v>
      </c>
      <c r="AE177" s="104">
        <v>15</v>
      </c>
      <c r="AF177" s="105">
        <v>25</v>
      </c>
      <c r="AG177" s="104">
        <v>0.48</v>
      </c>
      <c r="AH177" s="102">
        <v>0.9</v>
      </c>
      <c r="AI177" s="105">
        <v>0.4</v>
      </c>
      <c r="AJ177" s="104">
        <v>2</v>
      </c>
      <c r="AK177" s="102">
        <v>4</v>
      </c>
      <c r="AL177" s="102">
        <v>3</v>
      </c>
      <c r="AM177" s="105">
        <v>0</v>
      </c>
      <c r="AN177" s="104">
        <v>0</v>
      </c>
      <c r="AO177" s="102">
        <v>20</v>
      </c>
      <c r="AP177" s="102">
        <v>7</v>
      </c>
      <c r="AQ177" s="105">
        <v>5</v>
      </c>
      <c r="AU177" s="125" t="str">
        <f>HYPERLINK("http://www.jianrmod.cn/data/shipGetInfo.html?type=0&amp;cid=10017811","详细")</f>
        <v>详细</v>
      </c>
    </row>
    <row r="178" spans="1:47">
      <c r="A178" s="100">
        <v>10017911</v>
      </c>
      <c r="B178" s="101">
        <v>110</v>
      </c>
      <c r="C178" s="102">
        <v>2</v>
      </c>
      <c r="D178" s="103" t="s">
        <v>533</v>
      </c>
      <c r="F178" s="103" t="s">
        <v>49</v>
      </c>
      <c r="G178" s="103">
        <v>1</v>
      </c>
      <c r="H178" s="103">
        <v>2</v>
      </c>
      <c r="I178" s="104" t="s">
        <v>86</v>
      </c>
      <c r="J178" s="102" t="s">
        <v>246</v>
      </c>
      <c r="K178" s="102">
        <v>17</v>
      </c>
      <c r="L178" s="103">
        <v>-1</v>
      </c>
      <c r="M178" s="104">
        <v>28</v>
      </c>
      <c r="N178" s="102">
        <v>22</v>
      </c>
      <c r="O178" s="102">
        <v>70</v>
      </c>
      <c r="P178" s="102">
        <v>54</v>
      </c>
      <c r="Q178" s="104">
        <f>_xlfn.FLOOR.MATH(25+0.3*B178)</f>
        <v>58</v>
      </c>
      <c r="R178" s="102">
        <f>_xlfn.FLOOR.MATH(6+0.1*B178)</f>
        <v>17</v>
      </c>
      <c r="S178" s="102">
        <f>_xlfn.FLOOR.MATH(37+0.4*B178)</f>
        <v>81</v>
      </c>
      <c r="T178" s="105">
        <f>_xlfn.FLOOR.MATH(30+0.52*B178)</f>
        <v>87</v>
      </c>
      <c r="U178" s="102">
        <v>20</v>
      </c>
      <c r="V178" s="102">
        <v>37</v>
      </c>
      <c r="W178" s="106" t="s">
        <v>115</v>
      </c>
      <c r="Y178" s="102" t="s">
        <v>241</v>
      </c>
      <c r="Z178" s="102" t="s">
        <v>128</v>
      </c>
      <c r="AA178" s="104">
        <v>0</v>
      </c>
      <c r="AB178" s="105">
        <v>0</v>
      </c>
      <c r="AC178" s="104">
        <v>2</v>
      </c>
      <c r="AD178" s="123" t="s">
        <v>316</v>
      </c>
      <c r="AE178" s="104">
        <v>15</v>
      </c>
      <c r="AF178" s="105">
        <v>25</v>
      </c>
      <c r="AG178" s="104">
        <v>0.48</v>
      </c>
      <c r="AH178" s="102">
        <v>0.9</v>
      </c>
      <c r="AI178" s="105">
        <v>0.4</v>
      </c>
      <c r="AJ178" s="104">
        <v>2</v>
      </c>
      <c r="AK178" s="102">
        <v>4</v>
      </c>
      <c r="AL178" s="102">
        <v>3</v>
      </c>
      <c r="AM178" s="105">
        <v>0</v>
      </c>
      <c r="AN178" s="104">
        <v>0</v>
      </c>
      <c r="AO178" s="102">
        <v>20</v>
      </c>
      <c r="AP178" s="102">
        <v>7</v>
      </c>
      <c r="AQ178" s="105">
        <v>5</v>
      </c>
      <c r="AU178" s="125" t="str">
        <f>HYPERLINK("http://www.jianrmod.cn/data/shipGetInfo.html?type=0&amp;cid=10017911","详细")</f>
        <v>详细</v>
      </c>
    </row>
    <row r="179" spans="1:47">
      <c r="A179" s="100">
        <v>10018011</v>
      </c>
      <c r="B179" s="101">
        <v>110</v>
      </c>
      <c r="C179" s="102">
        <v>5</v>
      </c>
      <c r="D179" s="103" t="s">
        <v>534</v>
      </c>
      <c r="F179" s="103" t="s">
        <v>49</v>
      </c>
      <c r="G179" s="103">
        <v>1</v>
      </c>
      <c r="H179" s="103">
        <v>2</v>
      </c>
      <c r="I179" s="104" t="s">
        <v>86</v>
      </c>
      <c r="J179" s="102" t="s">
        <v>246</v>
      </c>
      <c r="K179" s="102">
        <v>17</v>
      </c>
      <c r="L179" s="103">
        <v>-1</v>
      </c>
      <c r="M179" s="104">
        <v>28</v>
      </c>
      <c r="N179" s="102">
        <v>22</v>
      </c>
      <c r="O179" s="102">
        <v>70</v>
      </c>
      <c r="P179" s="102">
        <v>54</v>
      </c>
      <c r="Q179" s="104">
        <f>_xlfn.FLOOR.MATH(35+0.4*B179)</f>
        <v>79</v>
      </c>
      <c r="R179" s="102">
        <f>_xlfn.FLOOR.MATH(6+0.1*B179)</f>
        <v>17</v>
      </c>
      <c r="S179" s="102">
        <f>_xlfn.FLOOR.MATH(40+0.45*B179)</f>
        <v>89</v>
      </c>
      <c r="T179" s="105">
        <f>_xlfn.FLOOR.MATH(32+0.52*B179)</f>
        <v>89</v>
      </c>
      <c r="U179" s="102">
        <v>52</v>
      </c>
      <c r="V179" s="102">
        <v>37</v>
      </c>
      <c r="W179" s="106" t="s">
        <v>115</v>
      </c>
      <c r="Y179" s="102" t="s">
        <v>241</v>
      </c>
      <c r="Z179" s="102" t="s">
        <v>128</v>
      </c>
      <c r="AA179" s="104">
        <v>0</v>
      </c>
      <c r="AB179" s="105">
        <v>0</v>
      </c>
      <c r="AC179" s="104">
        <v>2</v>
      </c>
      <c r="AD179" s="123" t="s">
        <v>535</v>
      </c>
      <c r="AE179" s="104">
        <v>15</v>
      </c>
      <c r="AF179" s="105">
        <v>25</v>
      </c>
      <c r="AG179" s="104">
        <v>0.48</v>
      </c>
      <c r="AH179" s="102">
        <v>0.9</v>
      </c>
      <c r="AI179" s="105">
        <v>0.4</v>
      </c>
      <c r="AJ179" s="104">
        <v>4</v>
      </c>
      <c r="AK179" s="102">
        <v>8</v>
      </c>
      <c r="AL179" s="102">
        <v>6</v>
      </c>
      <c r="AM179" s="105">
        <v>0</v>
      </c>
      <c r="AN179" s="104">
        <v>0</v>
      </c>
      <c r="AO179" s="102">
        <v>20</v>
      </c>
      <c r="AP179" s="102">
        <v>7</v>
      </c>
      <c r="AQ179" s="105">
        <v>5</v>
      </c>
      <c r="AT179" s="110">
        <v>0.0145833333333333</v>
      </c>
      <c r="AU179" s="125"/>
    </row>
    <row r="180" ht="26.4" spans="1:47">
      <c r="A180" s="100">
        <v>10018111</v>
      </c>
      <c r="B180" s="101">
        <v>110</v>
      </c>
      <c r="C180" s="102">
        <v>5</v>
      </c>
      <c r="D180" s="103" t="s">
        <v>536</v>
      </c>
      <c r="F180" s="103" t="s">
        <v>49</v>
      </c>
      <c r="G180" s="103">
        <v>1</v>
      </c>
      <c r="H180" s="103">
        <v>2</v>
      </c>
      <c r="I180" s="104" t="s">
        <v>86</v>
      </c>
      <c r="J180" s="102" t="s">
        <v>246</v>
      </c>
      <c r="K180" s="102">
        <v>17</v>
      </c>
      <c r="L180" s="103">
        <v>-1</v>
      </c>
      <c r="M180" s="104">
        <v>28</v>
      </c>
      <c r="N180" s="102">
        <v>22</v>
      </c>
      <c r="O180" s="102">
        <v>70</v>
      </c>
      <c r="P180" s="102">
        <v>58</v>
      </c>
      <c r="Q180" s="104">
        <f>_xlfn.FLOOR.MATH(25+0.3*B180)</f>
        <v>58</v>
      </c>
      <c r="R180" s="102">
        <f>_xlfn.FLOOR.MATH(1+0*B180)</f>
        <v>1</v>
      </c>
      <c r="S180" s="102">
        <f>_xlfn.FLOOR.MATH(40+0.4*B180)</f>
        <v>84</v>
      </c>
      <c r="T180" s="105">
        <f>_xlfn.FLOOR.MATH(32+0.52*B180)</f>
        <v>89</v>
      </c>
      <c r="U180" s="102">
        <v>2</v>
      </c>
      <c r="V180" s="102">
        <v>37</v>
      </c>
      <c r="W180" s="106" t="s">
        <v>115</v>
      </c>
      <c r="X180" s="106" t="s">
        <v>537</v>
      </c>
      <c r="Y180" s="102" t="s">
        <v>241</v>
      </c>
      <c r="Z180" s="102" t="s">
        <v>128</v>
      </c>
      <c r="AA180" s="104">
        <v>0</v>
      </c>
      <c r="AB180" s="105">
        <v>0</v>
      </c>
      <c r="AC180" s="104">
        <v>2</v>
      </c>
      <c r="AD180" s="123" t="s">
        <v>314</v>
      </c>
      <c r="AE180" s="104">
        <v>15</v>
      </c>
      <c r="AF180" s="105">
        <v>25</v>
      </c>
      <c r="AG180" s="104">
        <v>0.48</v>
      </c>
      <c r="AH180" s="102">
        <v>0.9</v>
      </c>
      <c r="AI180" s="105">
        <v>0.4</v>
      </c>
      <c r="AJ180" s="104">
        <v>4</v>
      </c>
      <c r="AK180" s="102">
        <v>8</v>
      </c>
      <c r="AL180" s="102">
        <v>6</v>
      </c>
      <c r="AM180" s="105">
        <v>0</v>
      </c>
      <c r="AN180" s="104">
        <v>0</v>
      </c>
      <c r="AO180" s="102">
        <v>20</v>
      </c>
      <c r="AP180" s="102">
        <v>7</v>
      </c>
      <c r="AQ180" s="105">
        <v>5</v>
      </c>
      <c r="AR180" s="108" t="s">
        <v>538</v>
      </c>
      <c r="AT180" s="110">
        <v>0.0145833333333333</v>
      </c>
      <c r="AU180" s="125"/>
    </row>
    <row r="181" spans="1:46">
      <c r="A181" s="100">
        <v>10018211</v>
      </c>
      <c r="B181" s="101">
        <v>110</v>
      </c>
      <c r="C181" s="102">
        <v>3</v>
      </c>
      <c r="D181" s="103" t="s">
        <v>539</v>
      </c>
      <c r="F181" s="103" t="s">
        <v>49</v>
      </c>
      <c r="G181" s="103">
        <v>1</v>
      </c>
      <c r="H181" s="103">
        <v>2</v>
      </c>
      <c r="I181" s="104" t="s">
        <v>86</v>
      </c>
      <c r="J181" s="102" t="s">
        <v>246</v>
      </c>
      <c r="K181" s="102">
        <v>18</v>
      </c>
      <c r="L181" s="103">
        <v>2</v>
      </c>
      <c r="M181" s="104">
        <v>40</v>
      </c>
      <c r="N181" s="102">
        <v>23</v>
      </c>
      <c r="O181" s="102">
        <v>74</v>
      </c>
      <c r="P181" s="102">
        <v>45</v>
      </c>
      <c r="Q181" s="104">
        <f>_xlfn.FLOOR.MATH(25+0.3*B181)</f>
        <v>58</v>
      </c>
      <c r="R181" s="102">
        <f>_xlfn.FLOOR.MATH(6+0.1*B181)</f>
        <v>17</v>
      </c>
      <c r="S181" s="102">
        <f>_xlfn.FLOOR.MATH(37+0.4*B181)</f>
        <v>81</v>
      </c>
      <c r="T181" s="105">
        <f>_xlfn.FLOOR.MATH(30+0.52*B181)</f>
        <v>87</v>
      </c>
      <c r="U181" s="102">
        <v>10</v>
      </c>
      <c r="V181" s="102">
        <v>38.5</v>
      </c>
      <c r="W181" s="106" t="s">
        <v>115</v>
      </c>
      <c r="X181" s="106" t="s">
        <v>540</v>
      </c>
      <c r="Y181" s="102" t="s">
        <v>241</v>
      </c>
      <c r="Z181" s="102" t="s">
        <v>128</v>
      </c>
      <c r="AA181" s="104">
        <v>0</v>
      </c>
      <c r="AB181" s="105">
        <v>0</v>
      </c>
      <c r="AC181" s="104">
        <v>2</v>
      </c>
      <c r="AD181" s="123" t="s">
        <v>541</v>
      </c>
      <c r="AE181" s="104">
        <v>15</v>
      </c>
      <c r="AF181" s="105">
        <v>25</v>
      </c>
      <c r="AG181" s="104">
        <v>0.48</v>
      </c>
      <c r="AH181" s="102">
        <v>0.9</v>
      </c>
      <c r="AI181" s="105">
        <v>0.4</v>
      </c>
      <c r="AJ181" s="104">
        <v>4</v>
      </c>
      <c r="AK181" s="102">
        <v>8</v>
      </c>
      <c r="AL181" s="102">
        <v>6</v>
      </c>
      <c r="AM181" s="105">
        <v>0</v>
      </c>
      <c r="AN181" s="104">
        <v>0</v>
      </c>
      <c r="AO181" s="102">
        <v>24</v>
      </c>
      <c r="AP181" s="102">
        <v>8</v>
      </c>
      <c r="AQ181" s="105">
        <v>4</v>
      </c>
      <c r="AT181" s="110">
        <v>0.0208333333333333</v>
      </c>
    </row>
    <row r="182" spans="1:47">
      <c r="A182" s="100">
        <v>10018311</v>
      </c>
      <c r="B182" s="101">
        <v>110</v>
      </c>
      <c r="C182" s="102">
        <v>4</v>
      </c>
      <c r="D182" s="103" t="s">
        <v>542</v>
      </c>
      <c r="F182" s="103" t="s">
        <v>49</v>
      </c>
      <c r="G182" s="103">
        <v>1</v>
      </c>
      <c r="H182" s="103">
        <v>2</v>
      </c>
      <c r="I182" s="104" t="s">
        <v>86</v>
      </c>
      <c r="J182" s="102" t="s">
        <v>246</v>
      </c>
      <c r="K182" s="102">
        <v>22</v>
      </c>
      <c r="L182" s="103">
        <v>2</v>
      </c>
      <c r="M182" s="104">
        <v>30</v>
      </c>
      <c r="N182" s="102">
        <v>30</v>
      </c>
      <c r="O182" s="102">
        <v>70</v>
      </c>
      <c r="P182" s="102">
        <v>60</v>
      </c>
      <c r="Q182" s="104">
        <f>_xlfn.FLOOR.MATH(32+0.3*B182)</f>
        <v>65</v>
      </c>
      <c r="R182" s="102">
        <f>_xlfn.FLOOR.MATH(7+0.1*B182)</f>
        <v>18</v>
      </c>
      <c r="S182" s="102">
        <f>_xlfn.FLOOR.MATH(36+0.4*B182)</f>
        <v>80</v>
      </c>
      <c r="T182" s="105">
        <f>_xlfn.FLOOR.MATH(31+0.52*B182)</f>
        <v>88</v>
      </c>
      <c r="U182" s="102">
        <v>45</v>
      </c>
      <c r="V182" s="102">
        <v>38.5</v>
      </c>
      <c r="W182" s="106" t="s">
        <v>115</v>
      </c>
      <c r="X182" s="106" t="s">
        <v>543</v>
      </c>
      <c r="Y182" s="102" t="s">
        <v>241</v>
      </c>
      <c r="Z182" s="102" t="s">
        <v>128</v>
      </c>
      <c r="AA182" s="104">
        <v>0</v>
      </c>
      <c r="AB182" s="105">
        <v>0</v>
      </c>
      <c r="AC182" s="104">
        <v>2</v>
      </c>
      <c r="AD182" s="123" t="s">
        <v>321</v>
      </c>
      <c r="AE182" s="104">
        <v>15</v>
      </c>
      <c r="AF182" s="105">
        <v>25</v>
      </c>
      <c r="AG182" s="104">
        <v>0.48</v>
      </c>
      <c r="AH182" s="102">
        <v>0.9</v>
      </c>
      <c r="AI182" s="105">
        <v>0.4</v>
      </c>
      <c r="AJ182" s="104">
        <v>4</v>
      </c>
      <c r="AK182" s="102">
        <v>8</v>
      </c>
      <c r="AL182" s="102">
        <v>6</v>
      </c>
      <c r="AM182" s="105">
        <v>0</v>
      </c>
      <c r="AN182" s="104">
        <v>0</v>
      </c>
      <c r="AO182" s="102">
        <v>20</v>
      </c>
      <c r="AP182" s="102">
        <v>10</v>
      </c>
      <c r="AQ182" s="105">
        <v>5</v>
      </c>
      <c r="AT182" s="110">
        <v>0.0159722222222222</v>
      </c>
      <c r="AU182" s="125"/>
    </row>
    <row r="183" spans="1:47">
      <c r="A183" s="100">
        <v>10018411</v>
      </c>
      <c r="B183" s="101">
        <v>110</v>
      </c>
      <c r="C183" s="102">
        <v>4</v>
      </c>
      <c r="D183" s="103" t="s">
        <v>542</v>
      </c>
      <c r="F183" s="103" t="s">
        <v>49</v>
      </c>
      <c r="G183" s="103">
        <v>1</v>
      </c>
      <c r="H183" s="103">
        <v>2</v>
      </c>
      <c r="I183" s="104" t="s">
        <v>86</v>
      </c>
      <c r="J183" s="102" t="s">
        <v>246</v>
      </c>
      <c r="K183" s="102">
        <v>16</v>
      </c>
      <c r="L183" s="103">
        <v>0</v>
      </c>
      <c r="M183" s="104">
        <v>27</v>
      </c>
      <c r="N183" s="102">
        <v>21</v>
      </c>
      <c r="O183" s="102">
        <v>70</v>
      </c>
      <c r="P183" s="102">
        <v>50</v>
      </c>
      <c r="Q183" s="104">
        <f>_xlfn.FLOOR.MATH(22+0.3*B183)</f>
        <v>55</v>
      </c>
      <c r="R183" s="102">
        <f>_xlfn.FLOOR.MATH(6+0.1*B183)</f>
        <v>17</v>
      </c>
      <c r="S183" s="102">
        <f>_xlfn.FLOOR.MATH(37+0.4*B183)</f>
        <v>81</v>
      </c>
      <c r="T183" s="105">
        <f>_xlfn.FLOOR.MATH(31+0.52*B183)</f>
        <v>88</v>
      </c>
      <c r="U183" s="102">
        <v>10</v>
      </c>
      <c r="V183" s="102">
        <v>37.5</v>
      </c>
      <c r="W183" s="106" t="s">
        <v>115</v>
      </c>
      <c r="Y183" s="102" t="s">
        <v>241</v>
      </c>
      <c r="Z183" s="102" t="s">
        <v>128</v>
      </c>
      <c r="AA183" s="104">
        <v>0</v>
      </c>
      <c r="AB183" s="105">
        <v>0</v>
      </c>
      <c r="AC183" s="104">
        <v>2</v>
      </c>
      <c r="AD183" s="123" t="s">
        <v>544</v>
      </c>
      <c r="AE183" s="104">
        <v>15</v>
      </c>
      <c r="AF183" s="105">
        <v>25</v>
      </c>
      <c r="AG183" s="104">
        <v>0.48</v>
      </c>
      <c r="AH183" s="102">
        <v>0.9</v>
      </c>
      <c r="AI183" s="105">
        <v>0.4</v>
      </c>
      <c r="AJ183" s="104">
        <v>4</v>
      </c>
      <c r="AK183" s="102">
        <v>8</v>
      </c>
      <c r="AL183" s="102">
        <v>6</v>
      </c>
      <c r="AM183" s="105">
        <v>0</v>
      </c>
      <c r="AN183" s="104">
        <v>0</v>
      </c>
      <c r="AO183" s="102">
        <v>20</v>
      </c>
      <c r="AP183" s="102">
        <v>6</v>
      </c>
      <c r="AQ183" s="105">
        <v>5</v>
      </c>
      <c r="AU183" s="125" t="str">
        <f>HYPERLINK("http://www.jianrmod.cn/data/shipGetInfo.html?type=0&amp;cid=10018411","详细")</f>
        <v>详细</v>
      </c>
    </row>
    <row r="184" spans="1:47">
      <c r="A184" s="100">
        <v>10018511</v>
      </c>
      <c r="B184" s="101">
        <v>110</v>
      </c>
      <c r="C184" s="102">
        <v>4</v>
      </c>
      <c r="D184" s="103" t="s">
        <v>545</v>
      </c>
      <c r="F184" s="103" t="s">
        <v>49</v>
      </c>
      <c r="G184" s="103">
        <v>1</v>
      </c>
      <c r="H184" s="103">
        <v>2</v>
      </c>
      <c r="I184" s="104" t="s">
        <v>91</v>
      </c>
      <c r="J184" s="102" t="s">
        <v>246</v>
      </c>
      <c r="K184" s="102">
        <v>18</v>
      </c>
      <c r="L184" s="103">
        <v>2</v>
      </c>
      <c r="M184" s="104">
        <v>29</v>
      </c>
      <c r="N184" s="102">
        <v>22</v>
      </c>
      <c r="O184" s="102">
        <v>68</v>
      </c>
      <c r="P184" s="102">
        <v>41</v>
      </c>
      <c r="Q184" s="104">
        <f>_xlfn.FLOOR.MATH(28+0.3*B184)</f>
        <v>61</v>
      </c>
      <c r="R184" s="102">
        <f>_xlfn.FLOOR.MATH(5+0.1*B184)</f>
        <v>16</v>
      </c>
      <c r="S184" s="102">
        <f>_xlfn.FLOOR.MATH(39+0.4*B184)</f>
        <v>83</v>
      </c>
      <c r="T184" s="105">
        <f>_xlfn.FLOOR.MATH(31+0.52*B184)</f>
        <v>88</v>
      </c>
      <c r="U184" s="102">
        <v>20</v>
      </c>
      <c r="V184" s="102">
        <v>38</v>
      </c>
      <c r="W184" s="106" t="s">
        <v>115</v>
      </c>
      <c r="X184" s="106" t="s">
        <v>546</v>
      </c>
      <c r="Y184" s="102" t="s">
        <v>241</v>
      </c>
      <c r="Z184" s="102" t="s">
        <v>128</v>
      </c>
      <c r="AA184" s="104">
        <v>0</v>
      </c>
      <c r="AB184" s="105">
        <v>0</v>
      </c>
      <c r="AC184" s="104">
        <v>2</v>
      </c>
      <c r="AD184" s="123" t="s">
        <v>547</v>
      </c>
      <c r="AE184" s="104">
        <v>10</v>
      </c>
      <c r="AF184" s="105">
        <v>20</v>
      </c>
      <c r="AG184" s="104">
        <v>0.48</v>
      </c>
      <c r="AH184" s="102">
        <v>0.9</v>
      </c>
      <c r="AI184" s="105">
        <v>0.55</v>
      </c>
      <c r="AJ184" s="104">
        <v>4</v>
      </c>
      <c r="AK184" s="102">
        <v>8</v>
      </c>
      <c r="AL184" s="102">
        <v>6</v>
      </c>
      <c r="AM184" s="105">
        <v>0</v>
      </c>
      <c r="AN184" s="104">
        <v>0</v>
      </c>
      <c r="AO184" s="102">
        <v>18</v>
      </c>
      <c r="AP184" s="102">
        <v>7</v>
      </c>
      <c r="AQ184" s="105">
        <v>0</v>
      </c>
      <c r="AT184" s="110">
        <v>0.0152777777777778</v>
      </c>
      <c r="AU184" s="125"/>
    </row>
    <row r="185" spans="1:47">
      <c r="A185" s="100">
        <v>10018611</v>
      </c>
      <c r="B185" s="101">
        <v>110</v>
      </c>
      <c r="C185" s="102">
        <v>4</v>
      </c>
      <c r="D185" s="103" t="s">
        <v>548</v>
      </c>
      <c r="F185" s="103" t="s">
        <v>49</v>
      </c>
      <c r="G185" s="103">
        <v>1</v>
      </c>
      <c r="H185" s="103">
        <v>2</v>
      </c>
      <c r="I185" s="104" t="s">
        <v>91</v>
      </c>
      <c r="J185" s="102" t="s">
        <v>246</v>
      </c>
      <c r="K185" s="102">
        <v>18</v>
      </c>
      <c r="L185" s="103">
        <v>2</v>
      </c>
      <c r="M185" s="104">
        <v>29</v>
      </c>
      <c r="N185" s="102">
        <v>22</v>
      </c>
      <c r="O185" s="102">
        <v>68</v>
      </c>
      <c r="P185" s="102">
        <v>41</v>
      </c>
      <c r="Q185" s="104">
        <f>_xlfn.FLOOR.MATH(28+0.3*B185)</f>
        <v>61</v>
      </c>
      <c r="R185" s="102">
        <f>_xlfn.FLOOR.MATH(5+0.1*B185)</f>
        <v>16</v>
      </c>
      <c r="S185" s="102">
        <f>_xlfn.FLOOR.MATH(39+0.4*B185)</f>
        <v>83</v>
      </c>
      <c r="T185" s="105">
        <f>_xlfn.FLOOR.MATH(31+0.52*B185)</f>
        <v>88</v>
      </c>
      <c r="U185" s="102">
        <v>15</v>
      </c>
      <c r="V185" s="102">
        <v>38</v>
      </c>
      <c r="W185" s="106" t="s">
        <v>115</v>
      </c>
      <c r="Y185" s="102" t="s">
        <v>241</v>
      </c>
      <c r="Z185" s="102" t="s">
        <v>128</v>
      </c>
      <c r="AA185" s="104">
        <v>0</v>
      </c>
      <c r="AB185" s="105">
        <v>0</v>
      </c>
      <c r="AC185" s="104">
        <v>2</v>
      </c>
      <c r="AD185" s="123" t="s">
        <v>547</v>
      </c>
      <c r="AE185" s="104">
        <v>10</v>
      </c>
      <c r="AF185" s="105">
        <v>20</v>
      </c>
      <c r="AG185" s="104">
        <v>0.48</v>
      </c>
      <c r="AH185" s="102">
        <v>0.9</v>
      </c>
      <c r="AI185" s="105">
        <v>0.55</v>
      </c>
      <c r="AJ185" s="104">
        <v>4</v>
      </c>
      <c r="AK185" s="102">
        <v>8</v>
      </c>
      <c r="AL185" s="102">
        <v>6</v>
      </c>
      <c r="AM185" s="105">
        <v>0</v>
      </c>
      <c r="AN185" s="104">
        <v>0</v>
      </c>
      <c r="AO185" s="102">
        <v>18</v>
      </c>
      <c r="AP185" s="102">
        <v>7</v>
      </c>
      <c r="AQ185" s="105">
        <v>0</v>
      </c>
      <c r="AT185" s="110">
        <v>0.0152777777777778</v>
      </c>
      <c r="AU185" s="125"/>
    </row>
    <row r="186" spans="1:47">
      <c r="A186" s="100">
        <v>10018711</v>
      </c>
      <c r="B186" s="101">
        <v>110</v>
      </c>
      <c r="C186" s="102">
        <v>4</v>
      </c>
      <c r="D186" s="103" t="s">
        <v>549</v>
      </c>
      <c r="F186" s="103" t="s">
        <v>49</v>
      </c>
      <c r="G186" s="103">
        <v>1</v>
      </c>
      <c r="H186" s="103">
        <v>2</v>
      </c>
      <c r="I186" s="104" t="s">
        <v>91</v>
      </c>
      <c r="J186" s="102" t="s">
        <v>246</v>
      </c>
      <c r="K186" s="102">
        <v>20</v>
      </c>
      <c r="L186" s="103">
        <v>0</v>
      </c>
      <c r="M186" s="104">
        <v>30</v>
      </c>
      <c r="N186" s="102">
        <v>22</v>
      </c>
      <c r="O186" s="102">
        <v>68</v>
      </c>
      <c r="P186" s="102">
        <v>41</v>
      </c>
      <c r="Q186" s="104">
        <f>_xlfn.FLOOR.MATH(22+0.3*B186)</f>
        <v>55</v>
      </c>
      <c r="R186" s="102">
        <f>_xlfn.FLOOR.MATH(5+0.1*B186)</f>
        <v>16</v>
      </c>
      <c r="S186" s="102">
        <f>_xlfn.FLOOR.MATH(40+0.4*B186)</f>
        <v>84</v>
      </c>
      <c r="T186" s="105">
        <f>_xlfn.FLOOR.MATH(31+0.52*B186)</f>
        <v>88</v>
      </c>
      <c r="U186" s="102">
        <v>5</v>
      </c>
      <c r="V186" s="102">
        <v>39</v>
      </c>
      <c r="W186" s="106" t="s">
        <v>115</v>
      </c>
      <c r="X186" s="106" t="s">
        <v>550</v>
      </c>
      <c r="Y186" s="102" t="s">
        <v>241</v>
      </c>
      <c r="Z186" s="102" t="s">
        <v>128</v>
      </c>
      <c r="AA186" s="104">
        <v>0</v>
      </c>
      <c r="AB186" s="105">
        <v>0</v>
      </c>
      <c r="AC186" s="104">
        <v>2</v>
      </c>
      <c r="AD186" s="123" t="s">
        <v>551</v>
      </c>
      <c r="AE186" s="104">
        <v>10</v>
      </c>
      <c r="AF186" s="105">
        <v>20</v>
      </c>
      <c r="AG186" s="104">
        <v>0.48</v>
      </c>
      <c r="AH186" s="102">
        <v>0.9</v>
      </c>
      <c r="AI186" s="105">
        <v>0.55</v>
      </c>
      <c r="AJ186" s="104">
        <v>4</v>
      </c>
      <c r="AK186" s="102">
        <v>8</v>
      </c>
      <c r="AL186" s="102">
        <v>6</v>
      </c>
      <c r="AM186" s="105">
        <v>0</v>
      </c>
      <c r="AN186" s="104">
        <v>0</v>
      </c>
      <c r="AO186" s="102">
        <v>18</v>
      </c>
      <c r="AP186" s="102">
        <v>7</v>
      </c>
      <c r="AQ186" s="105">
        <v>0</v>
      </c>
      <c r="AU186" s="125" t="str">
        <f>HYPERLINK("http://www.jianrmod.cn/data/shipGetInfo.html?type=0&amp;cid=10018711","详细")</f>
        <v>详细</v>
      </c>
    </row>
    <row r="187" spans="1:47">
      <c r="A187" s="100">
        <v>10018811</v>
      </c>
      <c r="B187" s="101">
        <v>110</v>
      </c>
      <c r="C187" s="102">
        <v>4</v>
      </c>
      <c r="D187" s="103" t="s">
        <v>552</v>
      </c>
      <c r="F187" s="103" t="s">
        <v>49</v>
      </c>
      <c r="G187" s="103">
        <v>1</v>
      </c>
      <c r="H187" s="103">
        <v>2</v>
      </c>
      <c r="I187" s="104" t="s">
        <v>91</v>
      </c>
      <c r="J187" s="102" t="s">
        <v>246</v>
      </c>
      <c r="K187" s="102">
        <v>20</v>
      </c>
      <c r="L187" s="103">
        <v>0</v>
      </c>
      <c r="M187" s="104">
        <v>30</v>
      </c>
      <c r="N187" s="102">
        <v>22</v>
      </c>
      <c r="O187" s="102">
        <v>68</v>
      </c>
      <c r="P187" s="102">
        <v>41</v>
      </c>
      <c r="Q187" s="104">
        <f>_xlfn.FLOOR.MATH(22+0.3*B187)</f>
        <v>55</v>
      </c>
      <c r="R187" s="102">
        <f>_xlfn.FLOOR.MATH(5+0.1*B187)</f>
        <v>16</v>
      </c>
      <c r="S187" s="102">
        <f>_xlfn.FLOOR.MATH(40+0.4*B187)</f>
        <v>84</v>
      </c>
      <c r="T187" s="105">
        <f>_xlfn.FLOOR.MATH(31+0.52*B187)</f>
        <v>88</v>
      </c>
      <c r="U187" s="102">
        <v>5</v>
      </c>
      <c r="V187" s="102">
        <v>39</v>
      </c>
      <c r="W187" s="106" t="s">
        <v>115</v>
      </c>
      <c r="X187" s="106" t="s">
        <v>553</v>
      </c>
      <c r="Y187" s="102" t="s">
        <v>241</v>
      </c>
      <c r="Z187" s="102" t="s">
        <v>128</v>
      </c>
      <c r="AA187" s="104">
        <v>0</v>
      </c>
      <c r="AB187" s="105">
        <v>0</v>
      </c>
      <c r="AC187" s="104">
        <v>2</v>
      </c>
      <c r="AD187" s="123" t="s">
        <v>551</v>
      </c>
      <c r="AE187" s="104">
        <v>10</v>
      </c>
      <c r="AF187" s="105">
        <v>20</v>
      </c>
      <c r="AG187" s="104">
        <v>0.48</v>
      </c>
      <c r="AH187" s="102">
        <v>0.9</v>
      </c>
      <c r="AI187" s="105">
        <v>0.55</v>
      </c>
      <c r="AJ187" s="104">
        <v>4</v>
      </c>
      <c r="AK187" s="102">
        <v>8</v>
      </c>
      <c r="AL187" s="102">
        <v>6</v>
      </c>
      <c r="AM187" s="105">
        <v>0</v>
      </c>
      <c r="AN187" s="104">
        <v>0</v>
      </c>
      <c r="AO187" s="102">
        <v>18</v>
      </c>
      <c r="AP187" s="102">
        <v>7</v>
      </c>
      <c r="AQ187" s="105">
        <v>0</v>
      </c>
      <c r="AU187" s="125" t="str">
        <f>HYPERLINK("http://www.jianrmod.cn/data/shipGetInfo.html?type=0&amp;cid=10018811","详细")</f>
        <v>详细</v>
      </c>
    </row>
    <row r="188" spans="1:46">
      <c r="A188" s="100">
        <v>10019211</v>
      </c>
      <c r="B188" s="101">
        <v>110</v>
      </c>
      <c r="C188" s="102">
        <v>5</v>
      </c>
      <c r="D188" s="103" t="s">
        <v>554</v>
      </c>
      <c r="F188" s="103" t="s">
        <v>49</v>
      </c>
      <c r="G188" s="103">
        <v>1</v>
      </c>
      <c r="H188" s="103">
        <v>2</v>
      </c>
      <c r="I188" s="104" t="s">
        <v>326</v>
      </c>
      <c r="J188" s="102" t="s">
        <v>246</v>
      </c>
      <c r="K188" s="102">
        <v>24</v>
      </c>
      <c r="L188" s="103">
        <v>0</v>
      </c>
      <c r="M188" s="104">
        <v>33</v>
      </c>
      <c r="N188" s="102">
        <v>23</v>
      </c>
      <c r="O188" s="102">
        <v>75</v>
      </c>
      <c r="P188" s="102">
        <v>46</v>
      </c>
      <c r="Q188" s="104">
        <f>_xlfn.FLOOR.MATH(20+0.3*B188)</f>
        <v>53</v>
      </c>
      <c r="R188" s="102">
        <f>_xlfn.FLOOR.MATH(5+0.1*B188)</f>
        <v>16</v>
      </c>
      <c r="S188" s="102">
        <f>_xlfn.FLOOR.MATH(45+0.4*B188)</f>
        <v>89</v>
      </c>
      <c r="T188" s="105">
        <f>_xlfn.FLOOR.MATH(32+0.52*B188)</f>
        <v>89</v>
      </c>
      <c r="U188" s="102">
        <v>16</v>
      </c>
      <c r="V188" s="102">
        <v>42.7</v>
      </c>
      <c r="W188" s="106" t="s">
        <v>115</v>
      </c>
      <c r="X188" s="106" t="s">
        <v>555</v>
      </c>
      <c r="Y188" s="102" t="s">
        <v>241</v>
      </c>
      <c r="Z188" s="102" t="s">
        <v>128</v>
      </c>
      <c r="AA188" s="104">
        <v>0</v>
      </c>
      <c r="AB188" s="105">
        <v>0</v>
      </c>
      <c r="AC188" s="104">
        <v>2</v>
      </c>
      <c r="AD188" s="123" t="s">
        <v>556</v>
      </c>
      <c r="AE188" s="104">
        <v>10</v>
      </c>
      <c r="AF188" s="105">
        <v>20</v>
      </c>
      <c r="AG188" s="104">
        <v>0.48</v>
      </c>
      <c r="AH188" s="102">
        <v>0.9</v>
      </c>
      <c r="AI188" s="105">
        <v>0.5</v>
      </c>
      <c r="AJ188" s="104">
        <v>4</v>
      </c>
      <c r="AK188" s="102">
        <v>8</v>
      </c>
      <c r="AL188" s="102">
        <v>6</v>
      </c>
      <c r="AM188" s="105">
        <v>0</v>
      </c>
      <c r="AN188" s="104">
        <v>0</v>
      </c>
      <c r="AO188" s="102">
        <v>25</v>
      </c>
      <c r="AP188" s="102">
        <v>8</v>
      </c>
      <c r="AQ188" s="105">
        <v>0</v>
      </c>
      <c r="AT188" s="110">
        <v>0.0208333333333333</v>
      </c>
    </row>
    <row r="189" spans="1:47">
      <c r="A189" s="100">
        <v>10019311</v>
      </c>
      <c r="B189" s="101">
        <v>110</v>
      </c>
      <c r="C189" s="102">
        <v>4</v>
      </c>
      <c r="D189" s="103" t="s">
        <v>557</v>
      </c>
      <c r="F189" s="103" t="s">
        <v>49</v>
      </c>
      <c r="G189" s="103">
        <v>1</v>
      </c>
      <c r="H189" s="103">
        <v>2</v>
      </c>
      <c r="I189" s="104" t="s">
        <v>326</v>
      </c>
      <c r="J189" s="102" t="s">
        <v>246</v>
      </c>
      <c r="K189" s="102">
        <v>13</v>
      </c>
      <c r="L189" s="103">
        <v>-1</v>
      </c>
      <c r="M189" s="104">
        <v>40</v>
      </c>
      <c r="N189" s="102">
        <v>20</v>
      </c>
      <c r="O189" s="102">
        <v>68</v>
      </c>
      <c r="P189" s="102">
        <v>39</v>
      </c>
      <c r="Q189" s="104">
        <f>_xlfn.FLOOR.MATH(24+0.3*B189)</f>
        <v>57</v>
      </c>
      <c r="R189" s="102">
        <f>_xlfn.FLOOR.MATH(5+0.1*B189)</f>
        <v>16</v>
      </c>
      <c r="S189" s="102">
        <f>_xlfn.FLOOR.MATH(45+0.31*B189)</f>
        <v>79</v>
      </c>
      <c r="T189" s="105">
        <f>_xlfn.FLOOR.MATH(31+0.52*B189)</f>
        <v>88</v>
      </c>
      <c r="U189" s="102">
        <v>5</v>
      </c>
      <c r="V189" s="102">
        <v>35.5</v>
      </c>
      <c r="W189" s="106" t="s">
        <v>115</v>
      </c>
      <c r="Y189" s="102" t="s">
        <v>241</v>
      </c>
      <c r="Z189" s="102" t="s">
        <v>128</v>
      </c>
      <c r="AA189" s="104">
        <v>0</v>
      </c>
      <c r="AB189" s="105">
        <v>0</v>
      </c>
      <c r="AC189" s="104">
        <v>2</v>
      </c>
      <c r="AD189" s="123" t="s">
        <v>558</v>
      </c>
      <c r="AE189" s="104">
        <v>10</v>
      </c>
      <c r="AF189" s="105">
        <v>20</v>
      </c>
      <c r="AG189" s="104">
        <v>0.48</v>
      </c>
      <c r="AH189" s="102">
        <v>0.9</v>
      </c>
      <c r="AI189" s="105">
        <v>0.5</v>
      </c>
      <c r="AJ189" s="104">
        <v>4</v>
      </c>
      <c r="AK189" s="102">
        <v>8</v>
      </c>
      <c r="AL189" s="102">
        <v>6</v>
      </c>
      <c r="AM189" s="105">
        <v>0</v>
      </c>
      <c r="AN189" s="104">
        <v>0</v>
      </c>
      <c r="AO189" s="102">
        <v>18</v>
      </c>
      <c r="AP189" s="102">
        <v>5</v>
      </c>
      <c r="AQ189" s="105">
        <v>0</v>
      </c>
      <c r="AT189" s="110">
        <v>0.0208333333333333</v>
      </c>
      <c r="AU189" s="125"/>
    </row>
    <row r="190" spans="1:46">
      <c r="A190" s="100">
        <v>10019411</v>
      </c>
      <c r="B190" s="101">
        <v>110</v>
      </c>
      <c r="C190" s="102">
        <v>5</v>
      </c>
      <c r="D190" s="103" t="s">
        <v>559</v>
      </c>
      <c r="F190" s="103" t="s">
        <v>49</v>
      </c>
      <c r="G190" s="103">
        <v>6</v>
      </c>
      <c r="H190" s="103">
        <v>5</v>
      </c>
      <c r="I190" s="104" t="s">
        <v>86</v>
      </c>
      <c r="J190" s="102" t="s">
        <v>560</v>
      </c>
      <c r="K190" s="102">
        <v>12</v>
      </c>
      <c r="L190" s="103">
        <v>0</v>
      </c>
      <c r="M190" s="104">
        <v>24</v>
      </c>
      <c r="N190" s="102">
        <v>25</v>
      </c>
      <c r="O190" s="102">
        <v>74</v>
      </c>
      <c r="P190" s="102">
        <v>0</v>
      </c>
      <c r="Q190" s="104">
        <f>_xlfn.FLOOR.MATH(0+0*B190)</f>
        <v>0</v>
      </c>
      <c r="R190" s="102">
        <f>_xlfn.FLOOR.MATH(12+0.3*B190)</f>
        <v>45</v>
      </c>
      <c r="S190" s="102">
        <f>_xlfn.FLOOR.MATH(20+0.2*B190)</f>
        <v>42</v>
      </c>
      <c r="T190" s="105">
        <f>_xlfn.FLOOR.MATH(32+0.59*B190)</f>
        <v>96</v>
      </c>
      <c r="U190" s="102">
        <v>25</v>
      </c>
      <c r="V190" s="102">
        <v>21</v>
      </c>
      <c r="W190" s="106" t="s">
        <v>115</v>
      </c>
      <c r="X190" s="106" t="s">
        <v>561</v>
      </c>
      <c r="Y190" s="102" t="s">
        <v>241</v>
      </c>
      <c r="Z190" s="102" t="s">
        <v>128</v>
      </c>
      <c r="AA190" s="104">
        <v>0</v>
      </c>
      <c r="AB190" s="105">
        <v>0</v>
      </c>
      <c r="AC190" s="104">
        <v>2</v>
      </c>
      <c r="AD190" s="123" t="s">
        <v>562</v>
      </c>
      <c r="AE190" s="104">
        <v>15</v>
      </c>
      <c r="AF190" s="105">
        <v>20</v>
      </c>
      <c r="AG190" s="104">
        <v>0.6</v>
      </c>
      <c r="AH190" s="102">
        <v>0.45</v>
      </c>
      <c r="AI190" s="105">
        <v>0.25</v>
      </c>
      <c r="AJ190" s="104">
        <v>10</v>
      </c>
      <c r="AK190" s="102">
        <v>10</v>
      </c>
      <c r="AL190" s="102">
        <v>20</v>
      </c>
      <c r="AM190" s="105">
        <v>0</v>
      </c>
      <c r="AN190" s="104">
        <v>0</v>
      </c>
      <c r="AO190" s="102">
        <v>24</v>
      </c>
      <c r="AP190" s="102">
        <v>10</v>
      </c>
      <c r="AQ190" s="105">
        <v>0</v>
      </c>
      <c r="AT190" s="110">
        <v>0.00833333333333333</v>
      </c>
    </row>
    <row r="191" spans="1:47">
      <c r="A191" s="100">
        <v>10019511</v>
      </c>
      <c r="B191" s="101">
        <v>110</v>
      </c>
      <c r="C191" s="102">
        <v>5</v>
      </c>
      <c r="D191" s="103" t="s">
        <v>563</v>
      </c>
      <c r="F191" s="103" t="s">
        <v>49</v>
      </c>
      <c r="G191" s="103">
        <v>6</v>
      </c>
      <c r="H191" s="103">
        <v>5</v>
      </c>
      <c r="I191" s="104" t="s">
        <v>86</v>
      </c>
      <c r="J191" s="102" t="s">
        <v>560</v>
      </c>
      <c r="K191" s="102">
        <v>12</v>
      </c>
      <c r="L191" s="103">
        <v>0</v>
      </c>
      <c r="M191" s="104">
        <v>24</v>
      </c>
      <c r="N191" s="102">
        <v>25</v>
      </c>
      <c r="O191" s="102">
        <v>74</v>
      </c>
      <c r="P191" s="102">
        <v>0</v>
      </c>
      <c r="Q191" s="104">
        <f>_xlfn.FLOOR.MATH(0+0*B191)</f>
        <v>0</v>
      </c>
      <c r="R191" s="102">
        <f>_xlfn.FLOOR.MATH(12+0.3*B191)</f>
        <v>45</v>
      </c>
      <c r="S191" s="102">
        <f>_xlfn.FLOOR.MATH(20+0.2*B191)</f>
        <v>42</v>
      </c>
      <c r="T191" s="105">
        <f>_xlfn.FLOOR.MATH(32+0.59*B191)</f>
        <v>96</v>
      </c>
      <c r="U191" s="102">
        <v>27</v>
      </c>
      <c r="V191" s="102">
        <v>21</v>
      </c>
      <c r="W191" s="106" t="s">
        <v>115</v>
      </c>
      <c r="X191" s="106" t="s">
        <v>564</v>
      </c>
      <c r="Y191" s="102" t="s">
        <v>241</v>
      </c>
      <c r="Z191" s="102" t="s">
        <v>128</v>
      </c>
      <c r="AA191" s="104">
        <v>0</v>
      </c>
      <c r="AB191" s="105">
        <v>0</v>
      </c>
      <c r="AC191" s="104">
        <v>2</v>
      </c>
      <c r="AD191" s="123" t="s">
        <v>562</v>
      </c>
      <c r="AE191" s="104">
        <v>15</v>
      </c>
      <c r="AF191" s="105">
        <v>20</v>
      </c>
      <c r="AG191" s="104">
        <v>0.6</v>
      </c>
      <c r="AH191" s="102">
        <v>0.45</v>
      </c>
      <c r="AI191" s="105">
        <v>0.25</v>
      </c>
      <c r="AJ191" s="104">
        <v>10</v>
      </c>
      <c r="AK191" s="102">
        <v>10</v>
      </c>
      <c r="AL191" s="102">
        <v>20</v>
      </c>
      <c r="AM191" s="105">
        <v>0</v>
      </c>
      <c r="AN191" s="104">
        <v>0</v>
      </c>
      <c r="AO191" s="102">
        <v>24</v>
      </c>
      <c r="AP191" s="102">
        <v>10</v>
      </c>
      <c r="AQ191" s="105">
        <v>0</v>
      </c>
      <c r="AT191" s="110">
        <v>0.00833333333333333</v>
      </c>
      <c r="AU191" s="125"/>
    </row>
    <row r="192" spans="1:47">
      <c r="A192" s="100">
        <v>10019611</v>
      </c>
      <c r="B192" s="101">
        <v>110</v>
      </c>
      <c r="C192" s="102">
        <v>3</v>
      </c>
      <c r="D192" s="103" t="s">
        <v>565</v>
      </c>
      <c r="F192" s="103" t="s">
        <v>49</v>
      </c>
      <c r="G192" s="103">
        <v>4</v>
      </c>
      <c r="H192" s="103">
        <v>4</v>
      </c>
      <c r="I192" s="104" t="s">
        <v>50</v>
      </c>
      <c r="J192" s="102" t="s">
        <v>566</v>
      </c>
      <c r="K192" s="102">
        <v>12</v>
      </c>
      <c r="L192" s="103">
        <v>0</v>
      </c>
      <c r="M192" s="104">
        <v>50</v>
      </c>
      <c r="N192" s="102">
        <v>25</v>
      </c>
      <c r="O192" s="102">
        <v>58</v>
      </c>
      <c r="P192" s="102">
        <v>0</v>
      </c>
      <c r="Q192" s="104">
        <f>_xlfn.FLOOR.MATH(0+0*B192)</f>
        <v>0</v>
      </c>
      <c r="R192" s="102">
        <f>_xlfn.FLOOR.MATH(10+0.3*B192)</f>
        <v>43</v>
      </c>
      <c r="S192" s="102">
        <f>_xlfn.FLOOR.MATH(15+0.2*B192)</f>
        <v>37</v>
      </c>
      <c r="T192" s="105">
        <f>_xlfn.FLOOR.MATH(30+0.55*B192)</f>
        <v>90</v>
      </c>
      <c r="U192" s="102">
        <v>5</v>
      </c>
      <c r="V192" s="102">
        <v>15</v>
      </c>
      <c r="W192" s="106" t="s">
        <v>115</v>
      </c>
      <c r="Y192" s="102" t="s">
        <v>241</v>
      </c>
      <c r="Z192" s="102" t="s">
        <v>128</v>
      </c>
      <c r="AA192" s="104">
        <v>0</v>
      </c>
      <c r="AB192" s="105">
        <v>0</v>
      </c>
      <c r="AC192" s="104">
        <v>3</v>
      </c>
      <c r="AD192" s="123" t="s">
        <v>567</v>
      </c>
      <c r="AE192" s="104">
        <v>20</v>
      </c>
      <c r="AF192" s="105">
        <v>40</v>
      </c>
      <c r="AG192" s="104">
        <v>1</v>
      </c>
      <c r="AH192" s="102">
        <v>1</v>
      </c>
      <c r="AI192" s="105">
        <v>0.5</v>
      </c>
      <c r="AJ192" s="104">
        <v>4</v>
      </c>
      <c r="AK192" s="102">
        <v>8</v>
      </c>
      <c r="AL192" s="102">
        <v>6</v>
      </c>
      <c r="AM192" s="105">
        <v>0</v>
      </c>
      <c r="AN192" s="104">
        <v>4</v>
      </c>
      <c r="AO192" s="102">
        <v>18</v>
      </c>
      <c r="AP192" s="102">
        <v>10</v>
      </c>
      <c r="AQ192" s="105">
        <v>0</v>
      </c>
      <c r="AT192" s="110">
        <v>0.0173611111111111</v>
      </c>
      <c r="AU192" s="125" t="str">
        <f>HYPERLINK("http://www.jianrmod.cn/data/shipGetInfo.html?type=0&amp;cid=10019611","详细")</f>
        <v>详细</v>
      </c>
    </row>
    <row r="193" spans="1:47">
      <c r="A193" s="100">
        <v>10019711</v>
      </c>
      <c r="B193" s="101">
        <v>110</v>
      </c>
      <c r="C193" s="102">
        <v>4</v>
      </c>
      <c r="D193" s="103" t="s">
        <v>568</v>
      </c>
      <c r="F193" s="103" t="s">
        <v>49</v>
      </c>
      <c r="G193" s="103">
        <v>6</v>
      </c>
      <c r="H193" s="103">
        <v>5</v>
      </c>
      <c r="I193" s="104" t="s">
        <v>73</v>
      </c>
      <c r="J193" s="102" t="s">
        <v>560</v>
      </c>
      <c r="K193" s="102">
        <v>10</v>
      </c>
      <c r="L193" s="103">
        <v>2</v>
      </c>
      <c r="M193" s="104">
        <v>23</v>
      </c>
      <c r="N193" s="102">
        <v>24</v>
      </c>
      <c r="O193" s="102">
        <v>72</v>
      </c>
      <c r="P193" s="102">
        <v>0</v>
      </c>
      <c r="Q193" s="104">
        <f>_xlfn.FLOOR.MATH(0+0*B193)</f>
        <v>0</v>
      </c>
      <c r="R193" s="102">
        <f>_xlfn.FLOOR.MATH(13+0.3*B193)</f>
        <v>46</v>
      </c>
      <c r="S193" s="102">
        <f>_xlfn.FLOOR.MATH(18+0.2*B193)</f>
        <v>40</v>
      </c>
      <c r="T193" s="105">
        <f>_xlfn.FLOOR.MATH(31+0.59*B193)</f>
        <v>95</v>
      </c>
      <c r="U193" s="102">
        <v>20</v>
      </c>
      <c r="V193" s="102">
        <v>18</v>
      </c>
      <c r="W193" s="106" t="s">
        <v>115</v>
      </c>
      <c r="X193" s="106" t="s">
        <v>569</v>
      </c>
      <c r="Y193" s="102" t="s">
        <v>241</v>
      </c>
      <c r="Z193" s="102" t="s">
        <v>128</v>
      </c>
      <c r="AA193" s="104">
        <v>0</v>
      </c>
      <c r="AB193" s="105">
        <v>0</v>
      </c>
      <c r="AC193" s="104">
        <v>2</v>
      </c>
      <c r="AD193" s="123" t="s">
        <v>570</v>
      </c>
      <c r="AE193" s="104">
        <v>15</v>
      </c>
      <c r="AF193" s="105">
        <v>20</v>
      </c>
      <c r="AG193" s="104">
        <v>0.6</v>
      </c>
      <c r="AH193" s="102">
        <v>0.5</v>
      </c>
      <c r="AI193" s="105">
        <v>0.275</v>
      </c>
      <c r="AJ193" s="104">
        <v>10</v>
      </c>
      <c r="AK193" s="102">
        <v>10</v>
      </c>
      <c r="AL193" s="102">
        <v>20</v>
      </c>
      <c r="AM193" s="105">
        <v>0</v>
      </c>
      <c r="AN193" s="104">
        <v>0</v>
      </c>
      <c r="AO193" s="102">
        <v>22</v>
      </c>
      <c r="AP193" s="102">
        <v>11</v>
      </c>
      <c r="AQ193" s="105">
        <v>0</v>
      </c>
      <c r="AU193" s="125" t="str">
        <f>HYPERLINK("http://www.jianrmod.cn/data/shipGetInfo.html?type=0&amp;cid=10019711","详细")</f>
        <v>详细</v>
      </c>
    </row>
    <row r="194" spans="1:48">
      <c r="A194" s="100">
        <v>10019811</v>
      </c>
      <c r="B194" s="101">
        <v>110</v>
      </c>
      <c r="C194" s="102">
        <v>5</v>
      </c>
      <c r="D194" s="103" t="s">
        <v>571</v>
      </c>
      <c r="F194" s="103" t="s">
        <v>49</v>
      </c>
      <c r="G194" s="103">
        <v>6</v>
      </c>
      <c r="H194" s="103">
        <v>5</v>
      </c>
      <c r="I194" s="104" t="s">
        <v>73</v>
      </c>
      <c r="J194" s="102" t="s">
        <v>560</v>
      </c>
      <c r="K194" s="102">
        <v>12</v>
      </c>
      <c r="L194" s="103">
        <v>0</v>
      </c>
      <c r="M194" s="104">
        <v>24</v>
      </c>
      <c r="N194" s="102">
        <v>25</v>
      </c>
      <c r="O194" s="102">
        <v>72</v>
      </c>
      <c r="P194" s="102">
        <v>0</v>
      </c>
      <c r="Q194" s="104">
        <f>_xlfn.FLOOR.MATH(0+0*B194)</f>
        <v>0</v>
      </c>
      <c r="R194" s="102">
        <f>_xlfn.FLOOR.MATH(12+0.3*B194)</f>
        <v>45</v>
      </c>
      <c r="S194" s="102">
        <f>_xlfn.FLOOR.MATH(18+0.2*B194)</f>
        <v>40</v>
      </c>
      <c r="T194" s="105">
        <f>_xlfn.FLOOR.MATH(32+0.59*B194)</f>
        <v>96</v>
      </c>
      <c r="U194" s="102">
        <v>9</v>
      </c>
      <c r="V194" s="102">
        <v>18</v>
      </c>
      <c r="W194" s="106" t="s">
        <v>115</v>
      </c>
      <c r="Y194" s="102" t="s">
        <v>241</v>
      </c>
      <c r="Z194" s="102" t="s">
        <v>128</v>
      </c>
      <c r="AA194" s="104">
        <v>0</v>
      </c>
      <c r="AB194" s="105">
        <v>0</v>
      </c>
      <c r="AC194" s="104">
        <v>2</v>
      </c>
      <c r="AD194" s="123" t="s">
        <v>570</v>
      </c>
      <c r="AE194" s="104">
        <v>15</v>
      </c>
      <c r="AF194" s="105">
        <v>20</v>
      </c>
      <c r="AG194" s="104">
        <v>0.6</v>
      </c>
      <c r="AH194" s="102">
        <v>0.5</v>
      </c>
      <c r="AI194" s="105">
        <v>0.275</v>
      </c>
      <c r="AJ194" s="104">
        <v>10</v>
      </c>
      <c r="AK194" s="102">
        <v>10</v>
      </c>
      <c r="AL194" s="102">
        <v>20</v>
      </c>
      <c r="AM194" s="105">
        <v>0</v>
      </c>
      <c r="AN194" s="104">
        <v>0</v>
      </c>
      <c r="AO194" s="102">
        <v>22</v>
      </c>
      <c r="AP194" s="102">
        <v>12</v>
      </c>
      <c r="AQ194" s="105">
        <v>0</v>
      </c>
      <c r="AT194" s="110">
        <v>0.00833333333333333</v>
      </c>
      <c r="AU194" s="125" t="str">
        <f>HYPERLINK("http://www.jianrmod.cn/data/shipGetInfo.html?type=0&amp;cid=10019811","详细")</f>
        <v>详细</v>
      </c>
      <c r="AV194" s="112" t="s">
        <v>572</v>
      </c>
    </row>
    <row r="195" spans="1:48">
      <c r="A195" s="100">
        <v>10019911</v>
      </c>
      <c r="B195" s="101">
        <v>110</v>
      </c>
      <c r="C195" s="102">
        <v>3</v>
      </c>
      <c r="D195" s="103" t="s">
        <v>573</v>
      </c>
      <c r="F195" s="103" t="s">
        <v>49</v>
      </c>
      <c r="G195" s="103">
        <v>4</v>
      </c>
      <c r="H195" s="103">
        <v>4</v>
      </c>
      <c r="I195" s="104" t="s">
        <v>330</v>
      </c>
      <c r="J195" s="102" t="s">
        <v>566</v>
      </c>
      <c r="K195" s="102">
        <v>20</v>
      </c>
      <c r="L195" s="103">
        <v>0</v>
      </c>
      <c r="M195" s="104">
        <v>46</v>
      </c>
      <c r="N195" s="102">
        <v>27</v>
      </c>
      <c r="O195" s="102">
        <v>62</v>
      </c>
      <c r="P195" s="102">
        <v>0</v>
      </c>
      <c r="Q195" s="104">
        <f>_xlfn.FLOOR.MATH(0+0*B195)</f>
        <v>0</v>
      </c>
      <c r="R195" s="102">
        <f>_xlfn.FLOOR.MATH(12+0.3*B195)</f>
        <v>45</v>
      </c>
      <c r="S195" s="102">
        <f>_xlfn.FLOOR.MATH(19+0.2*B195)</f>
        <v>41</v>
      </c>
      <c r="T195" s="105">
        <f>_xlfn.FLOOR.MATH(30+0.55*B195)</f>
        <v>90</v>
      </c>
      <c r="U195" s="102">
        <v>9</v>
      </c>
      <c r="V195" s="102">
        <v>18.5</v>
      </c>
      <c r="W195" s="106" t="s">
        <v>115</v>
      </c>
      <c r="X195" s="106" t="s">
        <v>574</v>
      </c>
      <c r="Y195" s="102" t="s">
        <v>241</v>
      </c>
      <c r="Z195" s="102" t="s">
        <v>128</v>
      </c>
      <c r="AA195" s="104" t="s">
        <v>160</v>
      </c>
      <c r="AB195" s="105">
        <v>6</v>
      </c>
      <c r="AC195" s="104">
        <v>3</v>
      </c>
      <c r="AD195" s="123" t="s">
        <v>575</v>
      </c>
      <c r="AE195" s="104">
        <v>25</v>
      </c>
      <c r="AF195" s="105">
        <v>35</v>
      </c>
      <c r="AG195" s="104">
        <v>1</v>
      </c>
      <c r="AH195" s="102">
        <v>1</v>
      </c>
      <c r="AI195" s="105">
        <v>0.5</v>
      </c>
      <c r="AJ195" s="104">
        <v>4</v>
      </c>
      <c r="AK195" s="102">
        <v>8</v>
      </c>
      <c r="AL195" s="102">
        <v>6</v>
      </c>
      <c r="AM195" s="105">
        <v>0</v>
      </c>
      <c r="AN195" s="104">
        <v>0</v>
      </c>
      <c r="AO195" s="102">
        <v>22</v>
      </c>
      <c r="AP195" s="102">
        <v>12</v>
      </c>
      <c r="AQ195" s="105">
        <v>0</v>
      </c>
      <c r="AT195" s="110">
        <v>0.0173611111111111</v>
      </c>
      <c r="AU195" s="125"/>
      <c r="AV195" s="112" t="s">
        <v>576</v>
      </c>
    </row>
    <row r="196" ht="52.8" spans="1:48">
      <c r="A196" s="100">
        <v>10020013</v>
      </c>
      <c r="B196" s="101">
        <v>110</v>
      </c>
      <c r="C196" s="102">
        <v>6</v>
      </c>
      <c r="D196" s="103" t="s">
        <v>577</v>
      </c>
      <c r="F196" s="103" t="s">
        <v>49</v>
      </c>
      <c r="G196" s="103">
        <v>4</v>
      </c>
      <c r="H196" s="103">
        <v>4</v>
      </c>
      <c r="I196" s="104" t="s">
        <v>73</v>
      </c>
      <c r="J196" s="102" t="s">
        <v>61</v>
      </c>
      <c r="K196" s="102">
        <v>100</v>
      </c>
      <c r="L196" s="103">
        <v>0</v>
      </c>
      <c r="M196" s="104">
        <v>109</v>
      </c>
      <c r="N196" s="102">
        <v>100</v>
      </c>
      <c r="O196" s="102">
        <v>0</v>
      </c>
      <c r="P196" s="102">
        <v>66</v>
      </c>
      <c r="Q196" s="104">
        <f>_xlfn.FLOOR.MATH(0+0*B196)</f>
        <v>0</v>
      </c>
      <c r="R196" s="102">
        <f>_xlfn.FLOOR.MATH(16+0.25*B196)</f>
        <v>43</v>
      </c>
      <c r="S196" s="102">
        <f>_xlfn.FLOOR.MATH(26+0.2*B196)</f>
        <v>48</v>
      </c>
      <c r="T196" s="105">
        <f>_xlfn.FLOOR.MATH(41+0.51*B196)</f>
        <v>97</v>
      </c>
      <c r="U196" s="102">
        <v>5</v>
      </c>
      <c r="V196" s="102">
        <v>30</v>
      </c>
      <c r="W196" s="106" t="s">
        <v>52</v>
      </c>
      <c r="Y196" s="102" t="s">
        <v>54</v>
      </c>
      <c r="Z196" s="102" t="s">
        <v>55</v>
      </c>
      <c r="AA196" s="104" t="s">
        <v>75</v>
      </c>
      <c r="AB196" s="105">
        <v>16</v>
      </c>
      <c r="AC196" s="104">
        <v>4</v>
      </c>
      <c r="AD196" s="123" t="s">
        <v>578</v>
      </c>
      <c r="AE196" s="104">
        <v>125</v>
      </c>
      <c r="AF196" s="105">
        <v>165</v>
      </c>
      <c r="AG196" s="104">
        <v>4.8</v>
      </c>
      <c r="AH196" s="102">
        <v>9.9</v>
      </c>
      <c r="AI196" s="105">
        <v>1.1</v>
      </c>
      <c r="AJ196" s="104">
        <v>50</v>
      </c>
      <c r="AK196" s="102">
        <v>60</v>
      </c>
      <c r="AL196" s="102">
        <v>60</v>
      </c>
      <c r="AM196" s="105">
        <v>0</v>
      </c>
      <c r="AN196" s="104">
        <v>84</v>
      </c>
      <c r="AO196" s="102">
        <v>0</v>
      </c>
      <c r="AP196" s="102">
        <v>84</v>
      </c>
      <c r="AQ196" s="105">
        <v>18</v>
      </c>
      <c r="AR196" s="108" t="s">
        <v>579</v>
      </c>
      <c r="AT196" s="110">
        <v>0.25</v>
      </c>
      <c r="AU196" s="125"/>
      <c r="AV196" s="112" t="s">
        <v>580</v>
      </c>
    </row>
    <row r="197" spans="1:48">
      <c r="A197" s="100">
        <v>10020313</v>
      </c>
      <c r="B197" s="101">
        <v>110</v>
      </c>
      <c r="C197" s="102">
        <v>3</v>
      </c>
      <c r="D197" s="103" t="s">
        <v>581</v>
      </c>
      <c r="F197" s="103" t="s">
        <v>49</v>
      </c>
      <c r="G197" s="103">
        <v>2</v>
      </c>
      <c r="H197" s="103">
        <v>2</v>
      </c>
      <c r="I197" s="104" t="s">
        <v>50</v>
      </c>
      <c r="J197" s="102" t="s">
        <v>61</v>
      </c>
      <c r="K197" s="102">
        <v>69</v>
      </c>
      <c r="L197" s="103">
        <v>-1</v>
      </c>
      <c r="M197" s="104">
        <v>89</v>
      </c>
      <c r="N197" s="102">
        <v>86</v>
      </c>
      <c r="O197" s="102">
        <v>0</v>
      </c>
      <c r="P197" s="102">
        <v>55</v>
      </c>
      <c r="Q197" s="104">
        <f>_xlfn.FLOOR.MATH(0+0*B197)</f>
        <v>0</v>
      </c>
      <c r="R197" s="102">
        <f>_xlfn.FLOOR.MATH(11+0.25*B197)</f>
        <v>38</v>
      </c>
      <c r="S197" s="102">
        <f>_xlfn.FLOOR.MATH(19+0.2*B197)</f>
        <v>41</v>
      </c>
      <c r="T197" s="105">
        <f>_xlfn.FLOOR.MATH(38+0.51*B197)</f>
        <v>94</v>
      </c>
      <c r="U197" s="102">
        <v>10</v>
      </c>
      <c r="V197" s="102">
        <v>25</v>
      </c>
      <c r="W197" s="106" t="s">
        <v>52</v>
      </c>
      <c r="Y197" s="102" t="s">
        <v>54</v>
      </c>
      <c r="Z197" s="102" t="s">
        <v>55</v>
      </c>
      <c r="AA197" s="104" t="s">
        <v>56</v>
      </c>
      <c r="AB197" s="105">
        <v>12</v>
      </c>
      <c r="AC197" s="104">
        <v>4</v>
      </c>
      <c r="AD197" s="107" t="s">
        <v>582</v>
      </c>
      <c r="AE197" s="104">
        <v>80</v>
      </c>
      <c r="AF197" s="105">
        <v>125</v>
      </c>
      <c r="AG197" s="104">
        <v>2.5</v>
      </c>
      <c r="AH197" s="102">
        <v>5.1</v>
      </c>
      <c r="AI197" s="105">
        <v>1</v>
      </c>
      <c r="AJ197" s="104">
        <v>50</v>
      </c>
      <c r="AK197" s="102">
        <v>60</v>
      </c>
      <c r="AL197" s="102">
        <v>60</v>
      </c>
      <c r="AM197" s="105">
        <v>0</v>
      </c>
      <c r="AN197" s="104">
        <v>74</v>
      </c>
      <c r="AO197" s="102">
        <v>0</v>
      </c>
      <c r="AP197" s="102">
        <v>66</v>
      </c>
      <c r="AQ197" s="105">
        <v>13</v>
      </c>
      <c r="AT197" s="110">
        <v>0.180555555555556</v>
      </c>
      <c r="AV197" s="112" t="s">
        <v>583</v>
      </c>
    </row>
    <row r="198" ht="39.6" spans="1:47">
      <c r="A198" s="100">
        <v>10020513</v>
      </c>
      <c r="B198" s="101">
        <v>110</v>
      </c>
      <c r="C198" s="102">
        <v>5</v>
      </c>
      <c r="D198" s="103" t="s">
        <v>584</v>
      </c>
      <c r="F198" s="103" t="s">
        <v>49</v>
      </c>
      <c r="G198" s="103">
        <v>4</v>
      </c>
      <c r="H198" s="103">
        <v>3</v>
      </c>
      <c r="I198" s="104" t="s">
        <v>50</v>
      </c>
      <c r="J198" s="102" t="s">
        <v>61</v>
      </c>
      <c r="K198" s="102">
        <v>74</v>
      </c>
      <c r="L198" s="103">
        <v>2</v>
      </c>
      <c r="M198" s="104">
        <v>95</v>
      </c>
      <c r="N198" s="102">
        <v>95</v>
      </c>
      <c r="O198" s="102">
        <v>0</v>
      </c>
      <c r="P198" s="102">
        <v>85</v>
      </c>
      <c r="Q198" s="104">
        <f>_xlfn.FLOOR.MATH(0+0*B198)</f>
        <v>0</v>
      </c>
      <c r="R198" s="102">
        <f>_xlfn.FLOOR.MATH(15+0.25*B198)</f>
        <v>42</v>
      </c>
      <c r="S198" s="102">
        <f>_xlfn.FLOOR.MATH(26+0.2*B198)</f>
        <v>48</v>
      </c>
      <c r="T198" s="105">
        <f>_xlfn.FLOOR.MATH(40+0.51*B198)</f>
        <v>96</v>
      </c>
      <c r="U198" s="102">
        <v>18</v>
      </c>
      <c r="V198" s="102">
        <v>29</v>
      </c>
      <c r="W198" s="106" t="s">
        <v>52</v>
      </c>
      <c r="Y198" s="102" t="s">
        <v>54</v>
      </c>
      <c r="Z198" s="102" t="s">
        <v>55</v>
      </c>
      <c r="AA198" s="104" t="s">
        <v>75</v>
      </c>
      <c r="AB198" s="105">
        <v>16</v>
      </c>
      <c r="AC198" s="104">
        <v>4</v>
      </c>
      <c r="AD198" s="123" t="s">
        <v>585</v>
      </c>
      <c r="AE198" s="104">
        <v>90</v>
      </c>
      <c r="AF198" s="105">
        <v>140</v>
      </c>
      <c r="AG198" s="104">
        <v>4.2</v>
      </c>
      <c r="AH198" s="102">
        <v>8</v>
      </c>
      <c r="AI198" s="105">
        <v>1</v>
      </c>
      <c r="AJ198" s="104">
        <v>50</v>
      </c>
      <c r="AK198" s="102">
        <v>60</v>
      </c>
      <c r="AL198" s="102">
        <v>60</v>
      </c>
      <c r="AM198" s="105">
        <v>0</v>
      </c>
      <c r="AN198" s="104">
        <v>80</v>
      </c>
      <c r="AO198" s="102">
        <v>0</v>
      </c>
      <c r="AP198" s="102">
        <v>75</v>
      </c>
      <c r="AQ198" s="105">
        <v>47</v>
      </c>
      <c r="AR198" s="108" t="s">
        <v>586</v>
      </c>
      <c r="AT198" s="110">
        <v>0.222222222222222</v>
      </c>
      <c r="AU198" s="125"/>
    </row>
    <row r="199" ht="66" spans="1:47">
      <c r="A199" s="100">
        <v>10020613</v>
      </c>
      <c r="B199" s="101">
        <v>110</v>
      </c>
      <c r="C199" s="102">
        <v>5</v>
      </c>
      <c r="D199" s="103" t="s">
        <v>587</v>
      </c>
      <c r="F199" s="103" t="s">
        <v>49</v>
      </c>
      <c r="G199" s="103">
        <v>4</v>
      </c>
      <c r="H199" s="103">
        <v>4</v>
      </c>
      <c r="I199" s="104" t="s">
        <v>86</v>
      </c>
      <c r="J199" s="102" t="s">
        <v>61</v>
      </c>
      <c r="K199" s="102">
        <v>74</v>
      </c>
      <c r="L199" s="103">
        <v>2</v>
      </c>
      <c r="M199" s="104">
        <v>108</v>
      </c>
      <c r="N199" s="102">
        <v>92</v>
      </c>
      <c r="O199" s="102">
        <v>0</v>
      </c>
      <c r="P199" s="102">
        <v>90</v>
      </c>
      <c r="Q199" s="104">
        <f>_xlfn.FLOOR.MATH(0+0*B199)</f>
        <v>0</v>
      </c>
      <c r="R199" s="102">
        <f>_xlfn.FLOOR.MATH(18+0.25*B199)</f>
        <v>45</v>
      </c>
      <c r="S199" s="102">
        <f>_xlfn.FLOOR.MATH(25+0.2*B199)</f>
        <v>47</v>
      </c>
      <c r="T199" s="105">
        <f>_xlfn.FLOOR.MATH(40+0.51*B199)</f>
        <v>96</v>
      </c>
      <c r="U199" s="102">
        <v>25</v>
      </c>
      <c r="V199" s="102">
        <v>28</v>
      </c>
      <c r="W199" s="106" t="s">
        <v>52</v>
      </c>
      <c r="X199" s="106" t="s">
        <v>372</v>
      </c>
      <c r="Y199" s="102" t="s">
        <v>54</v>
      </c>
      <c r="Z199" s="102" t="s">
        <v>55</v>
      </c>
      <c r="AA199" s="104" t="s">
        <v>56</v>
      </c>
      <c r="AB199" s="105">
        <v>12</v>
      </c>
      <c r="AC199" s="104">
        <v>4</v>
      </c>
      <c r="AD199" s="123" t="s">
        <v>588</v>
      </c>
      <c r="AE199" s="104">
        <v>95</v>
      </c>
      <c r="AF199" s="105">
        <v>140</v>
      </c>
      <c r="AG199" s="104">
        <v>4.2</v>
      </c>
      <c r="AH199" s="102">
        <v>8</v>
      </c>
      <c r="AI199" s="105">
        <v>0.8</v>
      </c>
      <c r="AJ199" s="104">
        <v>50</v>
      </c>
      <c r="AK199" s="102">
        <v>60</v>
      </c>
      <c r="AL199" s="102">
        <v>60</v>
      </c>
      <c r="AM199" s="105">
        <v>0</v>
      </c>
      <c r="AN199" s="104">
        <v>88</v>
      </c>
      <c r="AO199" s="102">
        <v>0</v>
      </c>
      <c r="AP199" s="102">
        <v>72</v>
      </c>
      <c r="AQ199" s="105">
        <v>60</v>
      </c>
      <c r="AR199" s="108" t="s">
        <v>589</v>
      </c>
      <c r="AT199" s="110">
        <v>0.229166666666667</v>
      </c>
      <c r="AU199" s="125"/>
    </row>
    <row r="200" ht="52.8" spans="1:46">
      <c r="A200" s="100">
        <v>10020713</v>
      </c>
      <c r="B200" s="101">
        <v>110</v>
      </c>
      <c r="C200" s="102">
        <v>5</v>
      </c>
      <c r="D200" s="103" t="s">
        <v>590</v>
      </c>
      <c r="F200" s="103" t="s">
        <v>49</v>
      </c>
      <c r="G200" s="103">
        <v>5</v>
      </c>
      <c r="H200" s="103">
        <v>5</v>
      </c>
      <c r="I200" s="104" t="s">
        <v>86</v>
      </c>
      <c r="J200" s="102" t="s">
        <v>61</v>
      </c>
      <c r="K200" s="102">
        <v>75</v>
      </c>
      <c r="L200" s="103">
        <v>1</v>
      </c>
      <c r="M200" s="104">
        <v>108</v>
      </c>
      <c r="N200" s="102">
        <v>100</v>
      </c>
      <c r="O200" s="102">
        <v>0</v>
      </c>
      <c r="P200" s="102">
        <v>93</v>
      </c>
      <c r="Q200" s="104">
        <f>_xlfn.FLOOR.MATH(0+0*B200)</f>
        <v>0</v>
      </c>
      <c r="R200" s="102">
        <f>_xlfn.FLOOR.MATH(17+0.25*B200)</f>
        <v>44</v>
      </c>
      <c r="S200" s="102">
        <f>_xlfn.FLOOR.MATH(24+0.2*B200)</f>
        <v>46</v>
      </c>
      <c r="T200" s="105">
        <f>_xlfn.FLOOR.MATH(40+0.51*B200)</f>
        <v>96</v>
      </c>
      <c r="U200" s="102">
        <v>13</v>
      </c>
      <c r="V200" s="102">
        <v>27.5</v>
      </c>
      <c r="W200" s="106" t="s">
        <v>52</v>
      </c>
      <c r="X200" s="106" t="s">
        <v>591</v>
      </c>
      <c r="Y200" s="102" t="s">
        <v>54</v>
      </c>
      <c r="Z200" s="102" t="s">
        <v>55</v>
      </c>
      <c r="AA200" s="104" t="s">
        <v>56</v>
      </c>
      <c r="AB200" s="105">
        <v>12</v>
      </c>
      <c r="AC200" s="104">
        <v>4</v>
      </c>
      <c r="AD200" s="123" t="s">
        <v>366</v>
      </c>
      <c r="AE200" s="104">
        <v>95</v>
      </c>
      <c r="AF200" s="105">
        <v>140</v>
      </c>
      <c r="AG200" s="104">
        <v>4.2</v>
      </c>
      <c r="AH200" s="102">
        <v>8</v>
      </c>
      <c r="AI200" s="105">
        <v>0.8</v>
      </c>
      <c r="AJ200" s="104">
        <v>50</v>
      </c>
      <c r="AK200" s="102">
        <v>60</v>
      </c>
      <c r="AL200" s="102">
        <v>60</v>
      </c>
      <c r="AM200" s="105">
        <v>0</v>
      </c>
      <c r="AN200" s="104">
        <v>88</v>
      </c>
      <c r="AO200" s="102">
        <v>0</v>
      </c>
      <c r="AP200" s="102">
        <v>80</v>
      </c>
      <c r="AQ200" s="105">
        <v>65</v>
      </c>
      <c r="AR200" s="108" t="s">
        <v>592</v>
      </c>
      <c r="AT200" s="110">
        <v>0.229166666666667</v>
      </c>
    </row>
    <row r="201" ht="52.8" spans="1:48">
      <c r="A201" s="100">
        <v>10020813</v>
      </c>
      <c r="B201" s="101">
        <v>110</v>
      </c>
      <c r="C201" s="102">
        <v>5</v>
      </c>
      <c r="D201" s="103" t="s">
        <v>593</v>
      </c>
      <c r="F201" s="103" t="s">
        <v>49</v>
      </c>
      <c r="G201" s="103">
        <v>4</v>
      </c>
      <c r="H201" s="103">
        <v>4</v>
      </c>
      <c r="I201" s="104" t="s">
        <v>86</v>
      </c>
      <c r="J201" s="102" t="s">
        <v>61</v>
      </c>
      <c r="K201" s="102">
        <v>75</v>
      </c>
      <c r="L201" s="103">
        <v>1</v>
      </c>
      <c r="M201" s="104">
        <v>108</v>
      </c>
      <c r="N201" s="102">
        <v>100</v>
      </c>
      <c r="O201" s="102">
        <v>0</v>
      </c>
      <c r="P201" s="102">
        <v>96</v>
      </c>
      <c r="Q201" s="104">
        <f>_xlfn.FLOOR.MATH(0+0*B201)</f>
        <v>0</v>
      </c>
      <c r="R201" s="102">
        <f>_xlfn.FLOOR.MATH(17+0.25*B201)</f>
        <v>44</v>
      </c>
      <c r="S201" s="102">
        <f>_xlfn.FLOOR.MATH(24+0.2*B201)</f>
        <v>46</v>
      </c>
      <c r="T201" s="105">
        <f>_xlfn.FLOOR.MATH(40+0.51*B201)</f>
        <v>96</v>
      </c>
      <c r="U201" s="102">
        <v>24</v>
      </c>
      <c r="V201" s="102">
        <v>27.5</v>
      </c>
      <c r="W201" s="106" t="s">
        <v>52</v>
      </c>
      <c r="Y201" s="102" t="s">
        <v>54</v>
      </c>
      <c r="Z201" s="102" t="s">
        <v>55</v>
      </c>
      <c r="AA201" s="104" t="s">
        <v>56</v>
      </c>
      <c r="AB201" s="105">
        <v>12</v>
      </c>
      <c r="AC201" s="104">
        <v>4</v>
      </c>
      <c r="AD201" s="123" t="s">
        <v>594</v>
      </c>
      <c r="AE201" s="104">
        <v>95</v>
      </c>
      <c r="AF201" s="105">
        <v>140</v>
      </c>
      <c r="AG201" s="104">
        <v>4.2</v>
      </c>
      <c r="AH201" s="102">
        <v>8</v>
      </c>
      <c r="AI201" s="105">
        <v>0.8</v>
      </c>
      <c r="AJ201" s="104">
        <v>50</v>
      </c>
      <c r="AK201" s="102">
        <v>60</v>
      </c>
      <c r="AL201" s="102">
        <v>60</v>
      </c>
      <c r="AM201" s="105">
        <v>0</v>
      </c>
      <c r="AN201" s="104">
        <v>88</v>
      </c>
      <c r="AO201" s="102">
        <v>0</v>
      </c>
      <c r="AP201" s="102">
        <v>80</v>
      </c>
      <c r="AQ201" s="105">
        <v>69</v>
      </c>
      <c r="AR201" s="108" t="s">
        <v>595</v>
      </c>
      <c r="AU201" s="125"/>
      <c r="AV201" s="112" t="s">
        <v>596</v>
      </c>
    </row>
    <row r="202" ht="66" spans="1:47">
      <c r="A202" s="100">
        <v>10020913</v>
      </c>
      <c r="B202" s="101">
        <v>110</v>
      </c>
      <c r="C202" s="102">
        <v>6</v>
      </c>
      <c r="D202" s="103" t="s">
        <v>597</v>
      </c>
      <c r="F202" s="103" t="s">
        <v>49</v>
      </c>
      <c r="G202" s="103">
        <v>6</v>
      </c>
      <c r="H202" s="103">
        <v>6</v>
      </c>
      <c r="I202" s="104" t="s">
        <v>86</v>
      </c>
      <c r="J202" s="102" t="s">
        <v>61</v>
      </c>
      <c r="K202" s="102">
        <v>84</v>
      </c>
      <c r="L202" s="103">
        <v>0</v>
      </c>
      <c r="M202" s="104">
        <v>116</v>
      </c>
      <c r="N202" s="102">
        <v>102</v>
      </c>
      <c r="O202" s="102">
        <v>0</v>
      </c>
      <c r="P202" s="102">
        <v>108</v>
      </c>
      <c r="Q202" s="104">
        <f>_xlfn.FLOOR.MATH(0+0*B202)</f>
        <v>0</v>
      </c>
      <c r="R202" s="102">
        <f>_xlfn.FLOOR.MATH(20+0.25*B202)</f>
        <v>47</v>
      </c>
      <c r="S202" s="102">
        <f>_xlfn.FLOOR.MATH(30+0.2*B202)</f>
        <v>52</v>
      </c>
      <c r="T202" s="105">
        <f>_xlfn.FLOOR.MATH(41+0.56*B202)</f>
        <v>102</v>
      </c>
      <c r="U202" s="102">
        <v>24</v>
      </c>
      <c r="V202" s="102">
        <v>33</v>
      </c>
      <c r="W202" s="106" t="s">
        <v>52</v>
      </c>
      <c r="X202" s="106" t="s">
        <v>598</v>
      </c>
      <c r="Y202" s="102" t="s">
        <v>54</v>
      </c>
      <c r="Z202" s="102" t="s">
        <v>55</v>
      </c>
      <c r="AA202" s="104" t="s">
        <v>56</v>
      </c>
      <c r="AB202" s="105">
        <v>12</v>
      </c>
      <c r="AC202" s="104">
        <v>4</v>
      </c>
      <c r="AD202" s="123" t="s">
        <v>599</v>
      </c>
      <c r="AE202" s="104">
        <v>135</v>
      </c>
      <c r="AF202" s="105">
        <v>175</v>
      </c>
      <c r="AG202" s="104">
        <v>4.8</v>
      </c>
      <c r="AH202" s="102">
        <v>9</v>
      </c>
      <c r="AI202" s="105">
        <v>0.8</v>
      </c>
      <c r="AJ202" s="104">
        <v>50</v>
      </c>
      <c r="AK202" s="102">
        <v>60</v>
      </c>
      <c r="AL202" s="102">
        <v>60</v>
      </c>
      <c r="AM202" s="105">
        <v>0</v>
      </c>
      <c r="AN202" s="104">
        <v>91</v>
      </c>
      <c r="AO202" s="102">
        <v>0</v>
      </c>
      <c r="AP202" s="102">
        <v>82</v>
      </c>
      <c r="AQ202" s="105">
        <v>86</v>
      </c>
      <c r="AR202" s="108" t="s">
        <v>600</v>
      </c>
      <c r="AT202" s="110">
        <v>0.260416666666667</v>
      </c>
      <c r="AU202" s="125"/>
    </row>
    <row r="203" ht="52.8" spans="1:47">
      <c r="A203" s="100">
        <v>10021013</v>
      </c>
      <c r="B203" s="101">
        <v>110</v>
      </c>
      <c r="C203" s="102">
        <v>6</v>
      </c>
      <c r="D203" s="103" t="s">
        <v>601</v>
      </c>
      <c r="F203" s="103" t="s">
        <v>49</v>
      </c>
      <c r="G203" s="103">
        <v>4</v>
      </c>
      <c r="H203" s="103">
        <v>4</v>
      </c>
      <c r="I203" s="104" t="s">
        <v>86</v>
      </c>
      <c r="J203" s="102" t="s">
        <v>61</v>
      </c>
      <c r="K203" s="102">
        <v>84</v>
      </c>
      <c r="L203" s="103">
        <v>0</v>
      </c>
      <c r="M203" s="104">
        <v>116</v>
      </c>
      <c r="N203" s="102">
        <v>102</v>
      </c>
      <c r="O203" s="102">
        <v>0</v>
      </c>
      <c r="P203" s="102">
        <v>106</v>
      </c>
      <c r="Q203" s="104">
        <f>_xlfn.FLOOR.MATH(0+0*B203)</f>
        <v>0</v>
      </c>
      <c r="R203" s="102">
        <f>_xlfn.FLOOR.MATH(18+0.25*B203)</f>
        <v>45</v>
      </c>
      <c r="S203" s="102">
        <f>_xlfn.FLOOR.MATH(30+0.2*B203)</f>
        <v>52</v>
      </c>
      <c r="T203" s="105">
        <f>_xlfn.FLOOR.MATH(41+0.56*B203)</f>
        <v>102</v>
      </c>
      <c r="U203" s="102">
        <v>24</v>
      </c>
      <c r="V203" s="102">
        <v>33</v>
      </c>
      <c r="W203" s="106" t="s">
        <v>52</v>
      </c>
      <c r="Y203" s="102" t="s">
        <v>54</v>
      </c>
      <c r="Z203" s="102" t="s">
        <v>55</v>
      </c>
      <c r="AA203" s="104" t="s">
        <v>56</v>
      </c>
      <c r="AB203" s="105">
        <v>12</v>
      </c>
      <c r="AC203" s="104">
        <v>4</v>
      </c>
      <c r="AD203" s="123" t="s">
        <v>599</v>
      </c>
      <c r="AE203" s="104">
        <v>135</v>
      </c>
      <c r="AF203" s="105">
        <v>175</v>
      </c>
      <c r="AG203" s="104">
        <v>4.8</v>
      </c>
      <c r="AH203" s="102">
        <v>9</v>
      </c>
      <c r="AI203" s="105">
        <v>0.8</v>
      </c>
      <c r="AJ203" s="104">
        <v>50</v>
      </c>
      <c r="AK203" s="102">
        <v>60</v>
      </c>
      <c r="AL203" s="102">
        <v>60</v>
      </c>
      <c r="AM203" s="105">
        <v>0</v>
      </c>
      <c r="AN203" s="104">
        <v>91</v>
      </c>
      <c r="AO203" s="102">
        <v>0</v>
      </c>
      <c r="AP203" s="102">
        <v>82</v>
      </c>
      <c r="AQ203" s="105">
        <v>83</v>
      </c>
      <c r="AR203" s="108" t="s">
        <v>602</v>
      </c>
      <c r="AT203" s="110">
        <v>0.260416666666667</v>
      </c>
      <c r="AU203" s="125"/>
    </row>
    <row r="204" spans="1:47">
      <c r="A204" s="100">
        <v>10021113</v>
      </c>
      <c r="B204" s="101">
        <v>110</v>
      </c>
      <c r="C204" s="102">
        <v>5</v>
      </c>
      <c r="D204" s="103" t="s">
        <v>603</v>
      </c>
      <c r="F204" s="103" t="s">
        <v>49</v>
      </c>
      <c r="G204" s="103">
        <v>2</v>
      </c>
      <c r="H204" s="103">
        <v>2</v>
      </c>
      <c r="I204" s="104" t="s">
        <v>91</v>
      </c>
      <c r="J204" s="102" t="s">
        <v>61</v>
      </c>
      <c r="K204" s="102">
        <v>54</v>
      </c>
      <c r="L204" s="103">
        <v>2</v>
      </c>
      <c r="M204" s="104">
        <v>79</v>
      </c>
      <c r="N204" s="102">
        <v>79</v>
      </c>
      <c r="O204" s="102">
        <v>0</v>
      </c>
      <c r="P204" s="102">
        <v>48</v>
      </c>
      <c r="Q204" s="104">
        <f>_xlfn.FLOOR.MATH(0+0*B204)</f>
        <v>0</v>
      </c>
      <c r="R204" s="102">
        <f>_xlfn.FLOOR.MATH(10+0.25*B204)</f>
        <v>37</v>
      </c>
      <c r="S204" s="102">
        <f>_xlfn.FLOOR.MATH(22+0.2*B204)</f>
        <v>44</v>
      </c>
      <c r="T204" s="105">
        <f>_xlfn.FLOOR.MATH(40+0.51*B204)</f>
        <v>96</v>
      </c>
      <c r="U204" s="102">
        <v>10</v>
      </c>
      <c r="V204" s="102">
        <v>22</v>
      </c>
      <c r="W204" s="106" t="s">
        <v>52</v>
      </c>
      <c r="X204" s="106" t="s">
        <v>604</v>
      </c>
      <c r="Y204" s="102" t="s">
        <v>54</v>
      </c>
      <c r="Z204" s="102" t="s">
        <v>55</v>
      </c>
      <c r="AA204" s="104" t="s">
        <v>56</v>
      </c>
      <c r="AB204" s="105">
        <v>12</v>
      </c>
      <c r="AC204" s="104">
        <v>4</v>
      </c>
      <c r="AD204" s="123" t="s">
        <v>605</v>
      </c>
      <c r="AE204" s="104">
        <v>70</v>
      </c>
      <c r="AF204" s="105">
        <v>110</v>
      </c>
      <c r="AG204" s="104">
        <v>2.25</v>
      </c>
      <c r="AH204" s="102">
        <v>4.55</v>
      </c>
      <c r="AI204" s="105">
        <v>1</v>
      </c>
      <c r="AJ204" s="104">
        <v>50</v>
      </c>
      <c r="AK204" s="102">
        <v>60</v>
      </c>
      <c r="AL204" s="102">
        <v>60</v>
      </c>
      <c r="AM204" s="105">
        <v>0</v>
      </c>
      <c r="AN204" s="104">
        <v>59</v>
      </c>
      <c r="AO204" s="102">
        <v>0</v>
      </c>
      <c r="AP204" s="102">
        <v>59</v>
      </c>
      <c r="AQ204" s="105">
        <v>9</v>
      </c>
      <c r="AU204" s="125" t="str">
        <f>HYPERLINK("http://www.jianrmod.cn/data/shipGetInfo.html?type=0&amp;cid=10021113","详细")</f>
        <v>详细</v>
      </c>
    </row>
    <row r="205" ht="39.6" spans="1:47">
      <c r="A205" s="100">
        <v>10021313</v>
      </c>
      <c r="B205" s="101">
        <v>110</v>
      </c>
      <c r="C205" s="102">
        <v>5</v>
      </c>
      <c r="D205" s="103" t="s">
        <v>606</v>
      </c>
      <c r="F205" s="103" t="s">
        <v>49</v>
      </c>
      <c r="G205" s="103">
        <v>3</v>
      </c>
      <c r="H205" s="103">
        <v>3</v>
      </c>
      <c r="I205" s="104" t="s">
        <v>91</v>
      </c>
      <c r="J205" s="102" t="s">
        <v>61</v>
      </c>
      <c r="K205" s="102">
        <v>75</v>
      </c>
      <c r="L205" s="103">
        <v>1</v>
      </c>
      <c r="M205" s="104">
        <v>101</v>
      </c>
      <c r="N205" s="102">
        <v>98</v>
      </c>
      <c r="O205" s="102">
        <v>0</v>
      </c>
      <c r="P205" s="102">
        <v>65</v>
      </c>
      <c r="Q205" s="104">
        <f>_xlfn.FLOOR.MATH(0+0*B205)</f>
        <v>0</v>
      </c>
      <c r="R205" s="102">
        <f>_xlfn.FLOOR.MATH(14+0.25*B205)</f>
        <v>41</v>
      </c>
      <c r="S205" s="102">
        <f>_xlfn.FLOOR.MATH(28+0.2*B205)</f>
        <v>50</v>
      </c>
      <c r="T205" s="105">
        <f>_xlfn.FLOOR.MATH(40+0.51*B205)</f>
        <v>96</v>
      </c>
      <c r="U205" s="102">
        <v>10</v>
      </c>
      <c r="V205" s="102">
        <v>31</v>
      </c>
      <c r="W205" s="106" t="s">
        <v>52</v>
      </c>
      <c r="Y205" s="102" t="s">
        <v>54</v>
      </c>
      <c r="Z205" s="102" t="s">
        <v>55</v>
      </c>
      <c r="AA205" s="104" t="s">
        <v>56</v>
      </c>
      <c r="AB205" s="105">
        <v>12</v>
      </c>
      <c r="AC205" s="104">
        <v>4</v>
      </c>
      <c r="AD205" s="123" t="s">
        <v>607</v>
      </c>
      <c r="AE205" s="104">
        <v>90</v>
      </c>
      <c r="AF205" s="105">
        <v>130</v>
      </c>
      <c r="AG205" s="104">
        <v>4.2</v>
      </c>
      <c r="AH205" s="102">
        <v>8</v>
      </c>
      <c r="AI205" s="105">
        <v>1.1</v>
      </c>
      <c r="AJ205" s="104">
        <v>50</v>
      </c>
      <c r="AK205" s="102">
        <v>60</v>
      </c>
      <c r="AL205" s="102">
        <v>60</v>
      </c>
      <c r="AM205" s="105">
        <v>0</v>
      </c>
      <c r="AN205" s="104">
        <v>81</v>
      </c>
      <c r="AO205" s="102">
        <v>0</v>
      </c>
      <c r="AP205" s="102">
        <v>78</v>
      </c>
      <c r="AQ205" s="105">
        <v>18</v>
      </c>
      <c r="AR205" s="108" t="s">
        <v>608</v>
      </c>
      <c r="AT205" s="110">
        <v>0.215277777777778</v>
      </c>
      <c r="AU205" s="125"/>
    </row>
    <row r="206" ht="26.4" spans="1:48">
      <c r="A206" s="100">
        <v>10021413</v>
      </c>
      <c r="B206" s="101">
        <v>110</v>
      </c>
      <c r="C206" s="102">
        <v>5</v>
      </c>
      <c r="D206" s="103" t="s">
        <v>609</v>
      </c>
      <c r="F206" s="103" t="s">
        <v>49</v>
      </c>
      <c r="G206" s="103">
        <v>3</v>
      </c>
      <c r="H206" s="103">
        <v>3</v>
      </c>
      <c r="I206" s="104" t="s">
        <v>326</v>
      </c>
      <c r="J206" s="102" t="s">
        <v>61</v>
      </c>
      <c r="K206" s="102">
        <v>92</v>
      </c>
      <c r="L206" s="103">
        <v>0</v>
      </c>
      <c r="M206" s="104">
        <v>111</v>
      </c>
      <c r="N206" s="102">
        <v>97</v>
      </c>
      <c r="O206" s="102">
        <v>0</v>
      </c>
      <c r="P206" s="102">
        <v>67</v>
      </c>
      <c r="Q206" s="104">
        <f>_xlfn.FLOOR.MATH(0+0*B206)</f>
        <v>0</v>
      </c>
      <c r="R206" s="102">
        <f>_xlfn.FLOOR.MATH(11+0.25*B206)</f>
        <v>38</v>
      </c>
      <c r="S206" s="102">
        <f>_xlfn.FLOOR.MATH(29+0.2*B206)</f>
        <v>51</v>
      </c>
      <c r="T206" s="105">
        <f>_xlfn.FLOOR.MATH(40+0.51*B206)</f>
        <v>96</v>
      </c>
      <c r="U206" s="102">
        <v>8</v>
      </c>
      <c r="V206" s="102">
        <v>28</v>
      </c>
      <c r="W206" s="106" t="s">
        <v>52</v>
      </c>
      <c r="Y206" s="102" t="s">
        <v>54</v>
      </c>
      <c r="Z206" s="102" t="s">
        <v>55</v>
      </c>
      <c r="AA206" s="104" t="s">
        <v>75</v>
      </c>
      <c r="AB206" s="105">
        <v>16</v>
      </c>
      <c r="AC206" s="104">
        <v>4</v>
      </c>
      <c r="AD206" s="107" t="s">
        <v>610</v>
      </c>
      <c r="AE206" s="104">
        <v>125</v>
      </c>
      <c r="AF206" s="105">
        <v>165</v>
      </c>
      <c r="AG206" s="104">
        <v>4.8</v>
      </c>
      <c r="AH206" s="102">
        <v>9</v>
      </c>
      <c r="AI206" s="105">
        <v>1</v>
      </c>
      <c r="AJ206" s="104">
        <v>50</v>
      </c>
      <c r="AK206" s="102">
        <v>60</v>
      </c>
      <c r="AL206" s="102">
        <v>60</v>
      </c>
      <c r="AM206" s="105">
        <v>0</v>
      </c>
      <c r="AN206" s="104">
        <v>86</v>
      </c>
      <c r="AO206" s="102">
        <v>0</v>
      </c>
      <c r="AP206" s="102">
        <v>77</v>
      </c>
      <c r="AQ206" s="105">
        <v>20</v>
      </c>
      <c r="AR206" s="108" t="s">
        <v>611</v>
      </c>
      <c r="AT206" s="110">
        <v>0.239583333333333</v>
      </c>
      <c r="AV206" s="112" t="s">
        <v>612</v>
      </c>
    </row>
    <row r="207" spans="1:48">
      <c r="A207" s="100">
        <v>10021613</v>
      </c>
      <c r="B207" s="101">
        <v>110</v>
      </c>
      <c r="C207" s="102">
        <v>5</v>
      </c>
      <c r="D207" s="103" t="s">
        <v>613</v>
      </c>
      <c r="F207" s="103" t="s">
        <v>49</v>
      </c>
      <c r="G207" s="103">
        <v>2</v>
      </c>
      <c r="H207" s="103">
        <v>2</v>
      </c>
      <c r="I207" s="104" t="s">
        <v>330</v>
      </c>
      <c r="J207" s="102" t="s">
        <v>61</v>
      </c>
      <c r="K207" s="102">
        <v>62</v>
      </c>
      <c r="L207" s="103">
        <v>2</v>
      </c>
      <c r="M207" s="104">
        <v>90</v>
      </c>
      <c r="N207" s="102">
        <v>80</v>
      </c>
      <c r="O207" s="102">
        <v>0</v>
      </c>
      <c r="P207" s="102">
        <v>63</v>
      </c>
      <c r="Q207" s="104">
        <f>_xlfn.FLOOR.MATH(0+0*B207)</f>
        <v>0</v>
      </c>
      <c r="R207" s="102">
        <f>_xlfn.FLOOR.MATH(13+0.25*B207)</f>
        <v>40</v>
      </c>
      <c r="S207" s="102">
        <f>_xlfn.FLOOR.MATH(30+0.3*B207)</f>
        <v>63</v>
      </c>
      <c r="T207" s="105">
        <f>_xlfn.FLOOR.MATH(40+0.51*B207)</f>
        <v>96</v>
      </c>
      <c r="U207" s="102">
        <v>9</v>
      </c>
      <c r="V207" s="102">
        <v>31</v>
      </c>
      <c r="W207" s="106" t="s">
        <v>52</v>
      </c>
      <c r="Y207" s="102" t="s">
        <v>54</v>
      </c>
      <c r="Z207" s="102" t="s">
        <v>55</v>
      </c>
      <c r="AA207" s="104" t="s">
        <v>160</v>
      </c>
      <c r="AB207" s="105">
        <v>6</v>
      </c>
      <c r="AC207" s="104">
        <v>4</v>
      </c>
      <c r="AD207" s="123" t="s">
        <v>614</v>
      </c>
      <c r="AE207" s="104">
        <v>80</v>
      </c>
      <c r="AF207" s="105">
        <v>120</v>
      </c>
      <c r="AG207" s="104">
        <v>2.88</v>
      </c>
      <c r="AH207" s="102">
        <v>5.4</v>
      </c>
      <c r="AI207" s="105">
        <v>0.625</v>
      </c>
      <c r="AJ207" s="104">
        <v>50</v>
      </c>
      <c r="AK207" s="102">
        <v>60</v>
      </c>
      <c r="AL207" s="102">
        <v>60</v>
      </c>
      <c r="AM207" s="105">
        <v>0</v>
      </c>
      <c r="AN207" s="104">
        <v>65</v>
      </c>
      <c r="AO207" s="102">
        <v>0</v>
      </c>
      <c r="AP207" s="102">
        <v>65</v>
      </c>
      <c r="AQ207" s="105">
        <v>17</v>
      </c>
      <c r="AT207" s="110">
        <v>0.229166666666667</v>
      </c>
      <c r="AU207" s="125"/>
      <c r="AV207" s="112" t="s">
        <v>615</v>
      </c>
    </row>
    <row r="208" ht="26.4" spans="1:48">
      <c r="A208" s="100">
        <v>10021713</v>
      </c>
      <c r="B208" s="101">
        <v>110</v>
      </c>
      <c r="C208" s="102">
        <v>5</v>
      </c>
      <c r="D208" s="103" t="s">
        <v>616</v>
      </c>
      <c r="F208" s="103" t="s">
        <v>49</v>
      </c>
      <c r="G208" s="103">
        <v>2</v>
      </c>
      <c r="H208" s="103">
        <v>2</v>
      </c>
      <c r="I208" s="104" t="s">
        <v>330</v>
      </c>
      <c r="J208" s="102" t="s">
        <v>61</v>
      </c>
      <c r="K208" s="102">
        <v>66</v>
      </c>
      <c r="L208" s="103">
        <v>2</v>
      </c>
      <c r="M208" s="104">
        <v>90</v>
      </c>
      <c r="N208" s="102">
        <v>85</v>
      </c>
      <c r="O208" s="102">
        <v>0</v>
      </c>
      <c r="P208" s="102">
        <v>63</v>
      </c>
      <c r="Q208" s="104">
        <f>_xlfn.FLOOR.MATH(0+0*B208)</f>
        <v>0</v>
      </c>
      <c r="R208" s="102">
        <f>_xlfn.FLOOR.MATH(13+0.25*B208)</f>
        <v>40</v>
      </c>
      <c r="S208" s="102">
        <f>_xlfn.FLOOR.MATH(30+0.3*B208)</f>
        <v>63</v>
      </c>
      <c r="T208" s="105">
        <f>_xlfn.FLOOR.MATH(40+0.51*B208)</f>
        <v>96</v>
      </c>
      <c r="U208" s="102">
        <v>9</v>
      </c>
      <c r="V208" s="102">
        <v>31</v>
      </c>
      <c r="W208" s="106" t="s">
        <v>52</v>
      </c>
      <c r="Y208" s="102" t="s">
        <v>54</v>
      </c>
      <c r="Z208" s="102" t="s">
        <v>55</v>
      </c>
      <c r="AA208" s="104" t="s">
        <v>160</v>
      </c>
      <c r="AB208" s="105">
        <v>6</v>
      </c>
      <c r="AC208" s="104">
        <v>4</v>
      </c>
      <c r="AD208" s="123" t="s">
        <v>614</v>
      </c>
      <c r="AE208" s="104">
        <v>80</v>
      </c>
      <c r="AF208" s="105">
        <v>120</v>
      </c>
      <c r="AG208" s="104">
        <v>2.88</v>
      </c>
      <c r="AH208" s="102">
        <v>5.4</v>
      </c>
      <c r="AI208" s="105">
        <v>0.625</v>
      </c>
      <c r="AJ208" s="104">
        <v>50</v>
      </c>
      <c r="AK208" s="102">
        <v>60</v>
      </c>
      <c r="AL208" s="102">
        <v>60</v>
      </c>
      <c r="AM208" s="105">
        <v>0</v>
      </c>
      <c r="AN208" s="104">
        <v>65</v>
      </c>
      <c r="AO208" s="102">
        <v>0</v>
      </c>
      <c r="AP208" s="102">
        <v>70</v>
      </c>
      <c r="AQ208" s="105">
        <v>17</v>
      </c>
      <c r="AT208" s="110">
        <v>0.232638888888889</v>
      </c>
      <c r="AV208" s="112" t="s">
        <v>617</v>
      </c>
    </row>
    <row r="209" spans="1:47">
      <c r="A209" s="100">
        <v>10021811</v>
      </c>
      <c r="B209" s="101">
        <v>110</v>
      </c>
      <c r="C209" s="102">
        <v>4</v>
      </c>
      <c r="D209" s="103" t="s">
        <v>618</v>
      </c>
      <c r="F209" s="103" t="s">
        <v>49</v>
      </c>
      <c r="G209" s="103">
        <v>1</v>
      </c>
      <c r="H209" s="103">
        <v>2</v>
      </c>
      <c r="I209" s="104" t="s">
        <v>619</v>
      </c>
      <c r="J209" s="102" t="s">
        <v>239</v>
      </c>
      <c r="K209" s="102">
        <v>40</v>
      </c>
      <c r="L209" s="103">
        <v>0</v>
      </c>
      <c r="M209" s="104">
        <v>65</v>
      </c>
      <c r="N209" s="102">
        <v>66</v>
      </c>
      <c r="O209" s="102">
        <v>0</v>
      </c>
      <c r="P209" s="102">
        <v>59</v>
      </c>
      <c r="Q209" s="104">
        <f>_xlfn.FLOOR.MATH(0+0*B209)</f>
        <v>0</v>
      </c>
      <c r="R209" s="102">
        <f>_xlfn.FLOOR.MATH(10+0.1*B209)</f>
        <v>21</v>
      </c>
      <c r="S209" s="102">
        <f>_xlfn.FLOOR.MATH(16+0.3*B209)</f>
        <v>49</v>
      </c>
      <c r="T209" s="105">
        <f>_xlfn.FLOOR.MATH(39+0.51*B209)</f>
        <v>95</v>
      </c>
      <c r="U209" s="102">
        <v>15</v>
      </c>
      <c r="V209" s="102">
        <v>23</v>
      </c>
      <c r="W209" s="106" t="s">
        <v>52</v>
      </c>
      <c r="Y209" s="102" t="s">
        <v>241</v>
      </c>
      <c r="Z209" s="102" t="s">
        <v>128</v>
      </c>
      <c r="AA209" s="104">
        <v>0</v>
      </c>
      <c r="AB209" s="105">
        <v>0</v>
      </c>
      <c r="AC209" s="104">
        <v>2</v>
      </c>
      <c r="AD209" s="123" t="s">
        <v>620</v>
      </c>
      <c r="AE209" s="104">
        <v>40</v>
      </c>
      <c r="AF209" s="105">
        <v>65</v>
      </c>
      <c r="AG209" s="104">
        <v>1.28</v>
      </c>
      <c r="AH209" s="102">
        <v>2.4</v>
      </c>
      <c r="AI209" s="105">
        <v>0.75</v>
      </c>
      <c r="AJ209" s="104">
        <v>20</v>
      </c>
      <c r="AK209" s="102">
        <v>20</v>
      </c>
      <c r="AL209" s="102">
        <v>30</v>
      </c>
      <c r="AM209" s="105">
        <v>0</v>
      </c>
      <c r="AN209" s="104">
        <v>35</v>
      </c>
      <c r="AO209" s="102">
        <v>0</v>
      </c>
      <c r="AP209" s="102">
        <v>46</v>
      </c>
      <c r="AQ209" s="105">
        <v>0</v>
      </c>
      <c r="AU209" s="125" t="str">
        <f>HYPERLINK("http://www.jianrmod.cn/data/shipGetInfo.html?type=0&amp;cid=10021811","详细")</f>
        <v>详细</v>
      </c>
    </row>
    <row r="210" spans="1:46">
      <c r="A210" s="100">
        <v>10021913</v>
      </c>
      <c r="B210" s="101">
        <v>110</v>
      </c>
      <c r="C210" s="102">
        <v>5</v>
      </c>
      <c r="D210" s="103" t="s">
        <v>621</v>
      </c>
      <c r="E210" s="103" t="s">
        <v>622</v>
      </c>
      <c r="F210" s="103" t="s">
        <v>49</v>
      </c>
      <c r="G210" s="103">
        <v>3</v>
      </c>
      <c r="H210" s="103">
        <v>3</v>
      </c>
      <c r="I210" s="104" t="s">
        <v>60</v>
      </c>
      <c r="J210" s="102" t="s">
        <v>114</v>
      </c>
      <c r="K210" s="102">
        <v>62</v>
      </c>
      <c r="L210" s="103">
        <v>2</v>
      </c>
      <c r="M210" s="104">
        <v>40</v>
      </c>
      <c r="N210" s="102">
        <v>56</v>
      </c>
      <c r="O210" s="102">
        <v>0</v>
      </c>
      <c r="P210" s="102">
        <v>66</v>
      </c>
      <c r="Q210" s="104">
        <f>_xlfn.FLOOR.MATH(0+0*B210)</f>
        <v>0</v>
      </c>
      <c r="R210" s="102">
        <f>_xlfn.FLOOR.MATH(46+0.25*B210)</f>
        <v>73</v>
      </c>
      <c r="S210" s="102">
        <f>_xlfn.FLOOR.MATH(40+0.2*B210)</f>
        <v>62</v>
      </c>
      <c r="T210" s="105">
        <f>_xlfn.FLOOR.MATH(37+0.54*B210)</f>
        <v>96</v>
      </c>
      <c r="U210" s="102">
        <v>40</v>
      </c>
      <c r="V210" s="102">
        <v>34.2</v>
      </c>
      <c r="W210" s="106" t="s">
        <v>115</v>
      </c>
      <c r="X210" s="106" t="s">
        <v>623</v>
      </c>
      <c r="Y210" s="102" t="s">
        <v>54</v>
      </c>
      <c r="Z210" s="102" t="s">
        <v>55</v>
      </c>
      <c r="AA210" s="104" t="s">
        <v>624</v>
      </c>
      <c r="AB210" s="105">
        <v>78</v>
      </c>
      <c r="AC210" s="104">
        <v>4</v>
      </c>
      <c r="AD210" s="123" t="s">
        <v>118</v>
      </c>
      <c r="AE210" s="104">
        <v>60</v>
      </c>
      <c r="AF210" s="105">
        <v>55</v>
      </c>
      <c r="AG210" s="104">
        <v>2.4</v>
      </c>
      <c r="AH210" s="102">
        <v>4.5</v>
      </c>
      <c r="AI210" s="105">
        <v>1</v>
      </c>
      <c r="AJ210" s="104">
        <v>30</v>
      </c>
      <c r="AK210" s="102">
        <v>40</v>
      </c>
      <c r="AL210" s="102">
        <v>60</v>
      </c>
      <c r="AM210" s="105">
        <v>40</v>
      </c>
      <c r="AN210" s="104">
        <v>0</v>
      </c>
      <c r="AO210" s="102">
        <v>0</v>
      </c>
      <c r="AP210" s="102">
        <v>16</v>
      </c>
      <c r="AQ210" s="105">
        <v>36</v>
      </c>
      <c r="AT210" s="110">
        <v>0.194444444444444</v>
      </c>
    </row>
    <row r="211" spans="1:48">
      <c r="A211" s="100">
        <v>10022013</v>
      </c>
      <c r="B211" s="101">
        <v>110</v>
      </c>
      <c r="C211" s="102">
        <v>5</v>
      </c>
      <c r="D211" s="103" t="s">
        <v>625</v>
      </c>
      <c r="E211" s="103" t="s">
        <v>626</v>
      </c>
      <c r="F211" s="103" t="s">
        <v>49</v>
      </c>
      <c r="G211" s="103">
        <v>3</v>
      </c>
      <c r="H211" s="103">
        <v>3</v>
      </c>
      <c r="I211" s="104" t="s">
        <v>60</v>
      </c>
      <c r="J211" s="102" t="s">
        <v>114</v>
      </c>
      <c r="K211" s="102">
        <v>62</v>
      </c>
      <c r="L211" s="103">
        <v>2</v>
      </c>
      <c r="M211" s="104">
        <v>40</v>
      </c>
      <c r="N211" s="102">
        <v>56</v>
      </c>
      <c r="O211" s="102">
        <v>0</v>
      </c>
      <c r="P211" s="102">
        <v>66</v>
      </c>
      <c r="Q211" s="104">
        <f>_xlfn.FLOOR.MATH(0+0*B211)</f>
        <v>0</v>
      </c>
      <c r="R211" s="102">
        <f>_xlfn.FLOOR.MATH(46+0.25*B211)</f>
        <v>73</v>
      </c>
      <c r="S211" s="102">
        <f>_xlfn.FLOOR.MATH(35+0.2*B211)</f>
        <v>57</v>
      </c>
      <c r="T211" s="105">
        <f>_xlfn.FLOOR.MATH(37+0.54*B211)</f>
        <v>96</v>
      </c>
      <c r="U211" s="102">
        <v>10</v>
      </c>
      <c r="V211" s="102">
        <v>34.2</v>
      </c>
      <c r="W211" s="106" t="s">
        <v>115</v>
      </c>
      <c r="X211" s="106" t="s">
        <v>623</v>
      </c>
      <c r="Y211" s="102" t="s">
        <v>54</v>
      </c>
      <c r="Z211" s="102" t="s">
        <v>55</v>
      </c>
      <c r="AA211" s="104" t="s">
        <v>624</v>
      </c>
      <c r="AB211" s="105">
        <v>78</v>
      </c>
      <c r="AC211" s="104">
        <v>4</v>
      </c>
      <c r="AD211" s="123" t="s">
        <v>118</v>
      </c>
      <c r="AE211" s="104">
        <v>60</v>
      </c>
      <c r="AF211" s="105">
        <v>55</v>
      </c>
      <c r="AG211" s="104">
        <v>2.4</v>
      </c>
      <c r="AH211" s="102">
        <v>4.5</v>
      </c>
      <c r="AI211" s="105">
        <v>1</v>
      </c>
      <c r="AJ211" s="104">
        <v>30</v>
      </c>
      <c r="AK211" s="102">
        <v>40</v>
      </c>
      <c r="AL211" s="102">
        <v>60</v>
      </c>
      <c r="AM211" s="105">
        <v>40</v>
      </c>
      <c r="AN211" s="104">
        <v>0</v>
      </c>
      <c r="AO211" s="102">
        <v>0</v>
      </c>
      <c r="AP211" s="102">
        <v>16</v>
      </c>
      <c r="AQ211" s="105">
        <v>36</v>
      </c>
      <c r="AT211" s="110">
        <v>0.194444444444444</v>
      </c>
      <c r="AU211" s="125"/>
      <c r="AV211" s="112" t="s">
        <v>627</v>
      </c>
    </row>
    <row r="212" spans="1:47">
      <c r="A212" s="100">
        <v>10022113</v>
      </c>
      <c r="B212" s="101">
        <v>110</v>
      </c>
      <c r="C212" s="102">
        <v>4</v>
      </c>
      <c r="D212" s="103" t="s">
        <v>628</v>
      </c>
      <c r="E212" s="103" t="s">
        <v>629</v>
      </c>
      <c r="F212" s="103" t="s">
        <v>49</v>
      </c>
      <c r="G212" s="103">
        <v>3</v>
      </c>
      <c r="H212" s="103">
        <v>3</v>
      </c>
      <c r="I212" s="104" t="s">
        <v>60</v>
      </c>
      <c r="J212" s="102" t="s">
        <v>114</v>
      </c>
      <c r="K212" s="102">
        <v>48</v>
      </c>
      <c r="L212" s="103">
        <v>0</v>
      </c>
      <c r="M212" s="104">
        <v>40</v>
      </c>
      <c r="N212" s="102">
        <v>52</v>
      </c>
      <c r="O212" s="102">
        <v>0</v>
      </c>
      <c r="P212" s="102">
        <v>60</v>
      </c>
      <c r="Q212" s="104">
        <f>_xlfn.FLOOR.MATH(0+0*B212)</f>
        <v>0</v>
      </c>
      <c r="R212" s="102">
        <f>_xlfn.FLOOR.MATH(38+0.25*B212)</f>
        <v>65</v>
      </c>
      <c r="S212" s="102">
        <f>_xlfn.FLOOR.MATH(35+0.2*B212)</f>
        <v>57</v>
      </c>
      <c r="T212" s="105">
        <f>_xlfn.FLOOR.MATH(36+0.54*B212)</f>
        <v>95</v>
      </c>
      <c r="U212" s="102">
        <v>13</v>
      </c>
      <c r="V212" s="102">
        <v>34.5</v>
      </c>
      <c r="W212" s="106" t="s">
        <v>115</v>
      </c>
      <c r="X212" s="106" t="s">
        <v>630</v>
      </c>
      <c r="Y212" s="102" t="s">
        <v>54</v>
      </c>
      <c r="Z212" s="102" t="s">
        <v>55</v>
      </c>
      <c r="AA212" s="104" t="s">
        <v>631</v>
      </c>
      <c r="AB212" s="105">
        <v>63</v>
      </c>
      <c r="AC212" s="104">
        <v>4</v>
      </c>
      <c r="AD212" s="123" t="s">
        <v>118</v>
      </c>
      <c r="AE212" s="104">
        <v>60</v>
      </c>
      <c r="AF212" s="105">
        <v>55</v>
      </c>
      <c r="AG212" s="104">
        <v>2.4</v>
      </c>
      <c r="AH212" s="102">
        <v>4.5</v>
      </c>
      <c r="AI212" s="105">
        <v>1</v>
      </c>
      <c r="AJ212" s="104">
        <v>30</v>
      </c>
      <c r="AK212" s="102">
        <v>40</v>
      </c>
      <c r="AL212" s="102">
        <v>60</v>
      </c>
      <c r="AM212" s="105">
        <v>40</v>
      </c>
      <c r="AN212" s="104">
        <v>0</v>
      </c>
      <c r="AO212" s="102">
        <v>0</v>
      </c>
      <c r="AP212" s="102">
        <v>14</v>
      </c>
      <c r="AQ212" s="105">
        <v>30</v>
      </c>
      <c r="AU212" s="125" t="str">
        <f>HYPERLINK("http://www.jianrmod.cn/data/shipGetInfo.html?type=0&amp;cid=10022113","详细")</f>
        <v>详细</v>
      </c>
    </row>
    <row r="213" spans="1:47">
      <c r="A213" s="100">
        <v>10022213</v>
      </c>
      <c r="B213" s="101">
        <v>110</v>
      </c>
      <c r="C213" s="102">
        <v>4</v>
      </c>
      <c r="D213" s="103" t="s">
        <v>632</v>
      </c>
      <c r="E213" s="103" t="s">
        <v>633</v>
      </c>
      <c r="F213" s="103" t="s">
        <v>49</v>
      </c>
      <c r="G213" s="103">
        <v>3</v>
      </c>
      <c r="H213" s="103">
        <v>3</v>
      </c>
      <c r="I213" s="104" t="s">
        <v>60</v>
      </c>
      <c r="J213" s="102" t="s">
        <v>114</v>
      </c>
      <c r="K213" s="102">
        <v>46</v>
      </c>
      <c r="L213" s="103">
        <v>2</v>
      </c>
      <c r="M213" s="104">
        <v>35</v>
      </c>
      <c r="N213" s="102">
        <v>50</v>
      </c>
      <c r="O213" s="102">
        <v>0</v>
      </c>
      <c r="P213" s="102">
        <v>55</v>
      </c>
      <c r="Q213" s="104">
        <f>_xlfn.FLOOR.MATH(0+0*B213)</f>
        <v>0</v>
      </c>
      <c r="R213" s="102">
        <f>_xlfn.FLOOR.MATH(42+0.25*B213)</f>
        <v>69</v>
      </c>
      <c r="S213" s="102">
        <f>_xlfn.FLOOR.MATH(35+0.2*B213)</f>
        <v>57</v>
      </c>
      <c r="T213" s="105">
        <f>_xlfn.FLOOR.MATH(36+0.54*B213)</f>
        <v>95</v>
      </c>
      <c r="U213" s="102">
        <v>10</v>
      </c>
      <c r="V213" s="102">
        <v>34.5</v>
      </c>
      <c r="W213" s="106" t="s">
        <v>115</v>
      </c>
      <c r="X213" s="106" t="s">
        <v>630</v>
      </c>
      <c r="Y213" s="102" t="s">
        <v>54</v>
      </c>
      <c r="Z213" s="102" t="s">
        <v>55</v>
      </c>
      <c r="AA213" s="104" t="s">
        <v>631</v>
      </c>
      <c r="AB213" s="105">
        <v>63</v>
      </c>
      <c r="AC213" s="104">
        <v>4</v>
      </c>
      <c r="AD213" s="123" t="s">
        <v>118</v>
      </c>
      <c r="AE213" s="104">
        <v>60</v>
      </c>
      <c r="AF213" s="105">
        <v>55</v>
      </c>
      <c r="AG213" s="104">
        <v>2.4</v>
      </c>
      <c r="AH213" s="102">
        <v>4.5</v>
      </c>
      <c r="AI213" s="105">
        <v>1</v>
      </c>
      <c r="AJ213" s="104">
        <v>30</v>
      </c>
      <c r="AK213" s="102">
        <v>40</v>
      </c>
      <c r="AL213" s="102">
        <v>60</v>
      </c>
      <c r="AM213" s="105">
        <v>40</v>
      </c>
      <c r="AN213" s="104">
        <v>0</v>
      </c>
      <c r="AO213" s="102">
        <v>0</v>
      </c>
      <c r="AP213" s="102">
        <v>13</v>
      </c>
      <c r="AQ213" s="105">
        <v>25</v>
      </c>
      <c r="AU213" s="125" t="str">
        <f>HYPERLINK("http://www.jianrmod.cn/data/shipGetInfo.html?type=0&amp;cid=10022213","详细")</f>
        <v>详细</v>
      </c>
    </row>
    <row r="214" ht="52.8" spans="1:48">
      <c r="A214" s="100">
        <v>10022313</v>
      </c>
      <c r="B214" s="101">
        <v>110</v>
      </c>
      <c r="C214" s="102">
        <v>6</v>
      </c>
      <c r="D214" s="103" t="s">
        <v>634</v>
      </c>
      <c r="E214" s="103" t="s">
        <v>635</v>
      </c>
      <c r="F214" s="103" t="s">
        <v>49</v>
      </c>
      <c r="G214" s="103">
        <v>4</v>
      </c>
      <c r="H214" s="103">
        <v>4</v>
      </c>
      <c r="I214" s="104" t="s">
        <v>60</v>
      </c>
      <c r="J214" s="102" t="s">
        <v>380</v>
      </c>
      <c r="K214" s="102">
        <v>96</v>
      </c>
      <c r="L214" s="103">
        <v>0</v>
      </c>
      <c r="M214" s="104">
        <v>45</v>
      </c>
      <c r="N214" s="102">
        <v>105</v>
      </c>
      <c r="O214" s="102">
        <v>0</v>
      </c>
      <c r="P214" s="102">
        <v>68</v>
      </c>
      <c r="Q214" s="104">
        <f>_xlfn.FLOOR.MATH(0+0*B214)</f>
        <v>0</v>
      </c>
      <c r="R214" s="102">
        <f>_xlfn.FLOOR.MATH(47+0.25*B214)</f>
        <v>74</v>
      </c>
      <c r="S214" s="102">
        <f>_xlfn.FLOOR.MATH(25+0.2*B214)</f>
        <v>47</v>
      </c>
      <c r="T214" s="105">
        <f>_xlfn.FLOOR.MATH(33+0.49*B214)</f>
        <v>86</v>
      </c>
      <c r="U214" s="102">
        <v>1</v>
      </c>
      <c r="V214" s="102">
        <v>27</v>
      </c>
      <c r="W214" s="106" t="s">
        <v>115</v>
      </c>
      <c r="X214" s="106" t="s">
        <v>636</v>
      </c>
      <c r="Y214" s="102" t="s">
        <v>54</v>
      </c>
      <c r="Z214" s="102" t="s">
        <v>55</v>
      </c>
      <c r="AA214" s="104" t="s">
        <v>637</v>
      </c>
      <c r="AB214" s="105">
        <v>59</v>
      </c>
      <c r="AC214" s="104">
        <v>4</v>
      </c>
      <c r="AD214" s="123" t="s">
        <v>638</v>
      </c>
      <c r="AE214" s="104">
        <v>110</v>
      </c>
      <c r="AF214" s="105">
        <v>100</v>
      </c>
      <c r="AG214" s="104">
        <v>3.5</v>
      </c>
      <c r="AH214" s="102">
        <v>6</v>
      </c>
      <c r="AI214" s="105">
        <v>1</v>
      </c>
      <c r="AJ214" s="104">
        <v>20</v>
      </c>
      <c r="AK214" s="102">
        <v>20</v>
      </c>
      <c r="AL214" s="102">
        <v>40</v>
      </c>
      <c r="AM214" s="105">
        <v>10</v>
      </c>
      <c r="AN214" s="104">
        <v>0</v>
      </c>
      <c r="AO214" s="102">
        <v>0</v>
      </c>
      <c r="AP214" s="102">
        <v>38</v>
      </c>
      <c r="AQ214" s="105">
        <v>40</v>
      </c>
      <c r="AR214" s="108" t="s">
        <v>639</v>
      </c>
      <c r="AT214" s="110">
        <v>0.277777777777778</v>
      </c>
      <c r="AV214" s="112" t="s">
        <v>640</v>
      </c>
    </row>
    <row r="215" ht="52.8" spans="1:48">
      <c r="A215" s="100">
        <v>10022413</v>
      </c>
      <c r="B215" s="101">
        <v>110</v>
      </c>
      <c r="C215" s="102">
        <v>5</v>
      </c>
      <c r="D215" s="103" t="s">
        <v>641</v>
      </c>
      <c r="F215" s="103" t="s">
        <v>49</v>
      </c>
      <c r="G215" s="103">
        <v>3</v>
      </c>
      <c r="H215" s="103">
        <v>3</v>
      </c>
      <c r="I215" s="104" t="s">
        <v>50</v>
      </c>
      <c r="J215" s="102" t="s">
        <v>380</v>
      </c>
      <c r="K215" s="102">
        <v>66</v>
      </c>
      <c r="L215" s="103">
        <v>2</v>
      </c>
      <c r="M215" s="104">
        <v>40</v>
      </c>
      <c r="N215" s="102">
        <v>93</v>
      </c>
      <c r="O215" s="102">
        <v>0</v>
      </c>
      <c r="P215" s="102">
        <v>85</v>
      </c>
      <c r="Q215" s="104">
        <f>_xlfn.FLOOR.MATH(0+0*B215)</f>
        <v>0</v>
      </c>
      <c r="R215" s="102">
        <f>_xlfn.FLOOR.MATH(42+0.25*B215)</f>
        <v>69</v>
      </c>
      <c r="S215" s="102">
        <f>_xlfn.FLOOR.MATH(34+0.2*B215)</f>
        <v>56</v>
      </c>
      <c r="T215" s="105">
        <f>_xlfn.FLOOR.MATH(32+0.49*B215)</f>
        <v>85</v>
      </c>
      <c r="U215" s="102">
        <v>22</v>
      </c>
      <c r="V215" s="102">
        <v>30.5</v>
      </c>
      <c r="W215" s="106" t="s">
        <v>115</v>
      </c>
      <c r="Y215" s="102" t="s">
        <v>54</v>
      </c>
      <c r="Z215" s="102" t="s">
        <v>55</v>
      </c>
      <c r="AA215" s="104" t="s">
        <v>642</v>
      </c>
      <c r="AB215" s="105">
        <v>57</v>
      </c>
      <c r="AC215" s="104">
        <v>4</v>
      </c>
      <c r="AD215" s="123" t="s">
        <v>643</v>
      </c>
      <c r="AE215" s="104">
        <v>70</v>
      </c>
      <c r="AF215" s="105">
        <v>65</v>
      </c>
      <c r="AG215" s="104">
        <v>2.88</v>
      </c>
      <c r="AH215" s="102">
        <v>5.6</v>
      </c>
      <c r="AI215" s="105">
        <v>1</v>
      </c>
      <c r="AJ215" s="104">
        <v>20</v>
      </c>
      <c r="AK215" s="102">
        <v>20</v>
      </c>
      <c r="AL215" s="102">
        <v>40</v>
      </c>
      <c r="AM215" s="105">
        <v>10</v>
      </c>
      <c r="AN215" s="104">
        <v>3</v>
      </c>
      <c r="AO215" s="102">
        <v>0</v>
      </c>
      <c r="AP215" s="102">
        <v>32</v>
      </c>
      <c r="AQ215" s="105">
        <v>74</v>
      </c>
      <c r="AR215" s="108" t="s">
        <v>644</v>
      </c>
      <c r="AT215" s="110">
        <v>0.173611111111111</v>
      </c>
      <c r="AU215" s="125"/>
      <c r="AV215" s="112" t="s">
        <v>645</v>
      </c>
    </row>
    <row r="216" spans="1:47">
      <c r="A216" s="100">
        <v>10022513</v>
      </c>
      <c r="B216" s="101">
        <v>110</v>
      </c>
      <c r="C216" s="102">
        <v>4</v>
      </c>
      <c r="D216" s="103" t="s">
        <v>646</v>
      </c>
      <c r="F216" s="103" t="s">
        <v>49</v>
      </c>
      <c r="G216" s="103">
        <v>2</v>
      </c>
      <c r="H216" s="103">
        <v>2</v>
      </c>
      <c r="I216" s="104" t="s">
        <v>86</v>
      </c>
      <c r="J216" s="102" t="s">
        <v>114</v>
      </c>
      <c r="K216" s="102">
        <v>37</v>
      </c>
      <c r="L216" s="103">
        <v>-1</v>
      </c>
      <c r="M216" s="104">
        <v>35</v>
      </c>
      <c r="N216" s="102">
        <v>45</v>
      </c>
      <c r="O216" s="102">
        <v>0</v>
      </c>
      <c r="P216" s="102">
        <v>65</v>
      </c>
      <c r="Q216" s="104">
        <f>_xlfn.FLOOR.MATH(0+0*B216)</f>
        <v>0</v>
      </c>
      <c r="R216" s="102">
        <f>_xlfn.FLOOR.MATH(40+0.25*B216)</f>
        <v>67</v>
      </c>
      <c r="S216" s="102">
        <f>_xlfn.FLOOR.MATH(27+0.2*B216)</f>
        <v>49</v>
      </c>
      <c r="T216" s="105">
        <f>_xlfn.FLOOR.MATH(36+0.54*B216)</f>
        <v>95</v>
      </c>
      <c r="U216" s="102">
        <v>9</v>
      </c>
      <c r="V216" s="102">
        <v>29.5</v>
      </c>
      <c r="W216" s="106" t="s">
        <v>115</v>
      </c>
      <c r="X216" s="106" t="s">
        <v>647</v>
      </c>
      <c r="Y216" s="102" t="s">
        <v>54</v>
      </c>
      <c r="Z216" s="102" t="s">
        <v>55</v>
      </c>
      <c r="AA216" s="104" t="s">
        <v>648</v>
      </c>
      <c r="AB216" s="105">
        <v>70</v>
      </c>
      <c r="AC216" s="104">
        <v>4</v>
      </c>
      <c r="AD216" s="123" t="s">
        <v>649</v>
      </c>
      <c r="AE216" s="104">
        <v>55</v>
      </c>
      <c r="AF216" s="105">
        <v>60</v>
      </c>
      <c r="AG216" s="104">
        <v>2.08</v>
      </c>
      <c r="AH216" s="102">
        <v>3.9</v>
      </c>
      <c r="AI216" s="105">
        <v>0.8</v>
      </c>
      <c r="AJ216" s="104">
        <v>30</v>
      </c>
      <c r="AK216" s="102">
        <v>40</v>
      </c>
      <c r="AL216" s="102">
        <v>60</v>
      </c>
      <c r="AM216" s="105">
        <v>40</v>
      </c>
      <c r="AN216" s="104">
        <v>0</v>
      </c>
      <c r="AO216" s="102">
        <v>0</v>
      </c>
      <c r="AP216" s="102">
        <v>10</v>
      </c>
      <c r="AQ216" s="105">
        <v>40</v>
      </c>
      <c r="AT216" s="110">
        <v>0.138888888888889</v>
      </c>
      <c r="AU216" s="125"/>
    </row>
    <row r="217" ht="66" spans="1:47">
      <c r="A217" s="100">
        <v>10022613</v>
      </c>
      <c r="B217" s="101">
        <v>110</v>
      </c>
      <c r="C217" s="102">
        <v>5</v>
      </c>
      <c r="D217" s="103" t="s">
        <v>650</v>
      </c>
      <c r="F217" s="103" t="s">
        <v>49</v>
      </c>
      <c r="G217" s="103">
        <v>3</v>
      </c>
      <c r="H217" s="103">
        <v>4</v>
      </c>
      <c r="I217" s="104" t="s">
        <v>86</v>
      </c>
      <c r="J217" s="102" t="s">
        <v>114</v>
      </c>
      <c r="K217" s="102">
        <v>60</v>
      </c>
      <c r="L217" s="103">
        <v>0</v>
      </c>
      <c r="M217" s="104">
        <v>40</v>
      </c>
      <c r="N217" s="102">
        <v>60</v>
      </c>
      <c r="O217" s="102">
        <v>0</v>
      </c>
      <c r="P217" s="102">
        <v>90</v>
      </c>
      <c r="Q217" s="104">
        <f>_xlfn.FLOOR.MATH(0+0*B217)</f>
        <v>0</v>
      </c>
      <c r="R217" s="102">
        <f>_xlfn.FLOOR.MATH(50+0.25*B217)</f>
        <v>77</v>
      </c>
      <c r="S217" s="102">
        <f>_xlfn.FLOOR.MATH(30+0.2*B217)</f>
        <v>52</v>
      </c>
      <c r="T217" s="105">
        <f>_xlfn.FLOOR.MATH(37+0.54*B217)</f>
        <v>96</v>
      </c>
      <c r="U217" s="102">
        <v>20</v>
      </c>
      <c r="V217" s="102">
        <v>33</v>
      </c>
      <c r="W217" s="106" t="s">
        <v>115</v>
      </c>
      <c r="Y217" s="102" t="s">
        <v>54</v>
      </c>
      <c r="Z217" s="102" t="s">
        <v>55</v>
      </c>
      <c r="AA217" s="104" t="s">
        <v>651</v>
      </c>
      <c r="AB217" s="105">
        <v>90</v>
      </c>
      <c r="AC217" s="104">
        <v>4</v>
      </c>
      <c r="AD217" s="123" t="s">
        <v>652</v>
      </c>
      <c r="AE217" s="104">
        <v>60</v>
      </c>
      <c r="AF217" s="105">
        <v>60</v>
      </c>
      <c r="AG217" s="104">
        <v>2.4</v>
      </c>
      <c r="AH217" s="102">
        <v>4.5</v>
      </c>
      <c r="AI217" s="105">
        <v>0.8</v>
      </c>
      <c r="AJ217" s="104">
        <v>30</v>
      </c>
      <c r="AK217" s="102">
        <v>40</v>
      </c>
      <c r="AL217" s="102">
        <v>60</v>
      </c>
      <c r="AM217" s="105">
        <v>40</v>
      </c>
      <c r="AN217" s="104">
        <v>0</v>
      </c>
      <c r="AO217" s="102">
        <v>0</v>
      </c>
      <c r="AP217" s="102">
        <v>18</v>
      </c>
      <c r="AQ217" s="105">
        <v>90</v>
      </c>
      <c r="AR217" s="108" t="s">
        <v>653</v>
      </c>
      <c r="AT217" s="110">
        <v>0.166666666666667</v>
      </c>
      <c r="AU217" s="125"/>
    </row>
    <row r="218" spans="1:47">
      <c r="A218" s="100">
        <v>10022712</v>
      </c>
      <c r="B218" s="101">
        <v>110</v>
      </c>
      <c r="C218" s="102">
        <v>3</v>
      </c>
      <c r="D218" s="103" t="s">
        <v>654</v>
      </c>
      <c r="E218" s="103" t="s">
        <v>655</v>
      </c>
      <c r="F218" s="103" t="s">
        <v>49</v>
      </c>
      <c r="G218" s="103">
        <v>2</v>
      </c>
      <c r="H218" s="103">
        <v>3</v>
      </c>
      <c r="I218" s="104" t="s">
        <v>60</v>
      </c>
      <c r="J218" s="102" t="s">
        <v>125</v>
      </c>
      <c r="K218" s="102">
        <v>55</v>
      </c>
      <c r="L218" s="103">
        <v>1</v>
      </c>
      <c r="M218" s="104">
        <v>20</v>
      </c>
      <c r="N218" s="102">
        <v>36</v>
      </c>
      <c r="O218" s="102">
        <v>0</v>
      </c>
      <c r="P218" s="102">
        <v>52</v>
      </c>
      <c r="Q218" s="104">
        <f>_xlfn.FLOOR.MATH(0+0*B218)</f>
        <v>0</v>
      </c>
      <c r="R218" s="102">
        <f>_xlfn.FLOOR.MATH(34+0.25*B218)</f>
        <v>61</v>
      </c>
      <c r="S218" s="102">
        <f>_xlfn.FLOOR.MATH(25+0.2*B218)</f>
        <v>47</v>
      </c>
      <c r="T218" s="105">
        <f>_xlfn.FLOOR.MATH(33+0.51*B218)</f>
        <v>89</v>
      </c>
      <c r="U218" s="102">
        <v>13</v>
      </c>
      <c r="V218" s="102">
        <v>25.5</v>
      </c>
      <c r="W218" s="106" t="s">
        <v>115</v>
      </c>
      <c r="X218" s="106" t="s">
        <v>656</v>
      </c>
      <c r="Y218" s="102" t="s">
        <v>127</v>
      </c>
      <c r="Z218" s="102" t="s">
        <v>128</v>
      </c>
      <c r="AA218" s="104" t="s">
        <v>657</v>
      </c>
      <c r="AB218" s="105">
        <v>48</v>
      </c>
      <c r="AC218" s="104">
        <v>3</v>
      </c>
      <c r="AD218" s="123" t="s">
        <v>118</v>
      </c>
      <c r="AE218" s="104">
        <v>35</v>
      </c>
      <c r="AF218" s="105">
        <v>35</v>
      </c>
      <c r="AG218" s="104">
        <v>1.28</v>
      </c>
      <c r="AH218" s="102">
        <v>2.4</v>
      </c>
      <c r="AI218" s="105">
        <v>0.75</v>
      </c>
      <c r="AJ218" s="104">
        <v>20</v>
      </c>
      <c r="AK218" s="102">
        <v>30</v>
      </c>
      <c r="AL218" s="102">
        <v>50</v>
      </c>
      <c r="AM218" s="105">
        <v>20</v>
      </c>
      <c r="AN218" s="104">
        <v>0</v>
      </c>
      <c r="AO218" s="102">
        <v>0</v>
      </c>
      <c r="AP218" s="102">
        <v>8</v>
      </c>
      <c r="AQ218" s="105">
        <v>22</v>
      </c>
      <c r="AT218" s="110">
        <v>0.111111111111111</v>
      </c>
      <c r="AU218" s="125" t="str">
        <f>HYPERLINK("http://www.jianrmod.cn/data/shipGetInfo.html?type=0&amp;cid=10022712","详细")</f>
        <v>详细</v>
      </c>
    </row>
    <row r="219" spans="1:47">
      <c r="A219" s="100">
        <v>10022812</v>
      </c>
      <c r="B219" s="101">
        <v>110</v>
      </c>
      <c r="C219" s="102">
        <v>3</v>
      </c>
      <c r="D219" s="103" t="s">
        <v>658</v>
      </c>
      <c r="E219" s="103" t="s">
        <v>659</v>
      </c>
      <c r="F219" s="103" t="s">
        <v>49</v>
      </c>
      <c r="G219" s="103">
        <v>2</v>
      </c>
      <c r="H219" s="103">
        <v>3</v>
      </c>
      <c r="I219" s="104" t="s">
        <v>60</v>
      </c>
      <c r="J219" s="102" t="s">
        <v>125</v>
      </c>
      <c r="K219" s="102">
        <v>55</v>
      </c>
      <c r="L219" s="103">
        <v>1</v>
      </c>
      <c r="M219" s="104">
        <v>20</v>
      </c>
      <c r="N219" s="102">
        <v>36</v>
      </c>
      <c r="O219" s="102">
        <v>0</v>
      </c>
      <c r="P219" s="102">
        <v>52</v>
      </c>
      <c r="Q219" s="104">
        <f>_xlfn.FLOOR.MATH(0+0*B219)</f>
        <v>0</v>
      </c>
      <c r="R219" s="102">
        <f>_xlfn.FLOOR.MATH(34+0.25*B219)</f>
        <v>61</v>
      </c>
      <c r="S219" s="102">
        <f>_xlfn.FLOOR.MATH(25+0.2*B219)</f>
        <v>47</v>
      </c>
      <c r="T219" s="105">
        <f>_xlfn.FLOOR.MATH(33+0.51*B219)</f>
        <v>89</v>
      </c>
      <c r="U219" s="102">
        <v>20</v>
      </c>
      <c r="V219" s="102">
        <v>25.5</v>
      </c>
      <c r="W219" s="106" t="s">
        <v>115</v>
      </c>
      <c r="X219" s="106" t="s">
        <v>660</v>
      </c>
      <c r="Y219" s="102" t="s">
        <v>127</v>
      </c>
      <c r="Z219" s="102" t="s">
        <v>128</v>
      </c>
      <c r="AA219" s="104" t="s">
        <v>657</v>
      </c>
      <c r="AB219" s="105">
        <v>48</v>
      </c>
      <c r="AC219" s="104">
        <v>3</v>
      </c>
      <c r="AD219" s="123" t="s">
        <v>118</v>
      </c>
      <c r="AE219" s="104">
        <v>35</v>
      </c>
      <c r="AF219" s="105">
        <v>35</v>
      </c>
      <c r="AG219" s="104">
        <v>1.28</v>
      </c>
      <c r="AH219" s="102">
        <v>2.4</v>
      </c>
      <c r="AI219" s="105">
        <v>0.75</v>
      </c>
      <c r="AJ219" s="104">
        <v>20</v>
      </c>
      <c r="AK219" s="102">
        <v>30</v>
      </c>
      <c r="AL219" s="102">
        <v>50</v>
      </c>
      <c r="AM219" s="105">
        <v>20</v>
      </c>
      <c r="AN219" s="104">
        <v>0</v>
      </c>
      <c r="AO219" s="102">
        <v>0</v>
      </c>
      <c r="AP219" s="102">
        <v>8</v>
      </c>
      <c r="AQ219" s="105">
        <v>22</v>
      </c>
      <c r="AT219" s="110">
        <v>0.111111111111111</v>
      </c>
      <c r="AU219" s="125" t="str">
        <f>HYPERLINK("http://www.jianrmod.cn/data/shipGetInfo.html?type=0&amp;cid=10022812","详细")</f>
        <v>详细</v>
      </c>
    </row>
    <row r="220" spans="1:47">
      <c r="A220" s="100">
        <v>10022912</v>
      </c>
      <c r="B220" s="101">
        <v>110</v>
      </c>
      <c r="C220" s="102">
        <v>3</v>
      </c>
      <c r="D220" s="103" t="s">
        <v>661</v>
      </c>
      <c r="E220" s="103" t="s">
        <v>662</v>
      </c>
      <c r="F220" s="103" t="s">
        <v>49</v>
      </c>
      <c r="G220" s="103">
        <v>1</v>
      </c>
      <c r="H220" s="103">
        <v>2</v>
      </c>
      <c r="I220" s="104" t="s">
        <v>60</v>
      </c>
      <c r="J220" s="102" t="s">
        <v>125</v>
      </c>
      <c r="K220" s="102">
        <v>27</v>
      </c>
      <c r="L220" s="103">
        <v>1</v>
      </c>
      <c r="M220" s="104">
        <v>20</v>
      </c>
      <c r="N220" s="102">
        <v>29</v>
      </c>
      <c r="O220" s="102">
        <v>0</v>
      </c>
      <c r="P220" s="102">
        <v>45</v>
      </c>
      <c r="Q220" s="104">
        <f>_xlfn.FLOOR.MATH(0+0*B220)</f>
        <v>0</v>
      </c>
      <c r="R220" s="102">
        <f>_xlfn.FLOOR.MATH(30+0.25*B220)</f>
        <v>57</v>
      </c>
      <c r="S220" s="102">
        <f>_xlfn.FLOOR.MATH(20+0.2*B220)</f>
        <v>42</v>
      </c>
      <c r="T220" s="105">
        <f>_xlfn.FLOOR.MATH(33+0.51*B220)</f>
        <v>89</v>
      </c>
      <c r="U220" s="102">
        <v>25</v>
      </c>
      <c r="V220" s="102">
        <v>25</v>
      </c>
      <c r="W220" s="106" t="s">
        <v>115</v>
      </c>
      <c r="Y220" s="102" t="s">
        <v>127</v>
      </c>
      <c r="Z220" s="102" t="s">
        <v>128</v>
      </c>
      <c r="AA220" s="104" t="s">
        <v>663</v>
      </c>
      <c r="AB220" s="105">
        <v>20</v>
      </c>
      <c r="AC220" s="104">
        <v>3</v>
      </c>
      <c r="AD220" s="123" t="s">
        <v>664</v>
      </c>
      <c r="AE220" s="104">
        <v>25</v>
      </c>
      <c r="AF220" s="105">
        <v>30</v>
      </c>
      <c r="AG220" s="104">
        <v>0.96</v>
      </c>
      <c r="AH220" s="102">
        <v>1.8</v>
      </c>
      <c r="AI220" s="105">
        <v>0.625</v>
      </c>
      <c r="AJ220" s="104">
        <v>20</v>
      </c>
      <c r="AK220" s="102">
        <v>30</v>
      </c>
      <c r="AL220" s="102">
        <v>50</v>
      </c>
      <c r="AM220" s="105">
        <v>20</v>
      </c>
      <c r="AN220" s="104">
        <v>0</v>
      </c>
      <c r="AO220" s="102">
        <v>0</v>
      </c>
      <c r="AP220" s="102">
        <v>5</v>
      </c>
      <c r="AQ220" s="105">
        <v>15</v>
      </c>
      <c r="AU220" s="125" t="str">
        <f>HYPERLINK("http://www.jianrmod.cn/data/shipGetInfo.html?type=0&amp;cid=10022912","详细")</f>
        <v>详细</v>
      </c>
    </row>
    <row r="221" spans="1:47">
      <c r="A221" s="100">
        <v>10023012</v>
      </c>
      <c r="B221" s="101">
        <v>110</v>
      </c>
      <c r="C221" s="102">
        <v>4</v>
      </c>
      <c r="D221" s="103" t="s">
        <v>665</v>
      </c>
      <c r="F221" s="103" t="s">
        <v>49</v>
      </c>
      <c r="G221" s="103">
        <v>1</v>
      </c>
      <c r="H221" s="103">
        <v>2</v>
      </c>
      <c r="I221" s="104" t="s">
        <v>50</v>
      </c>
      <c r="J221" s="102" t="s">
        <v>125</v>
      </c>
      <c r="K221" s="102">
        <v>28</v>
      </c>
      <c r="L221" s="103">
        <v>0</v>
      </c>
      <c r="M221" s="104">
        <v>20</v>
      </c>
      <c r="N221" s="102">
        <v>30</v>
      </c>
      <c r="O221" s="102">
        <v>0</v>
      </c>
      <c r="P221" s="102">
        <v>53</v>
      </c>
      <c r="Q221" s="104">
        <f>_xlfn.FLOOR.MATH(0+0*B221)</f>
        <v>0</v>
      </c>
      <c r="R221" s="102">
        <f>_xlfn.FLOOR.MATH(30+0.25*B221)</f>
        <v>57</v>
      </c>
      <c r="S221" s="102">
        <f>_xlfn.FLOOR.MATH(18+0.2*B221)</f>
        <v>40</v>
      </c>
      <c r="T221" s="105">
        <f>_xlfn.FLOOR.MATH(33+0.51*B221)</f>
        <v>89</v>
      </c>
      <c r="U221" s="102">
        <v>15</v>
      </c>
      <c r="V221" s="102">
        <v>25</v>
      </c>
      <c r="W221" s="106" t="s">
        <v>115</v>
      </c>
      <c r="Y221" s="102" t="s">
        <v>127</v>
      </c>
      <c r="Z221" s="102" t="s">
        <v>128</v>
      </c>
      <c r="AA221" s="104" t="s">
        <v>666</v>
      </c>
      <c r="AB221" s="105">
        <v>24</v>
      </c>
      <c r="AC221" s="104">
        <v>3</v>
      </c>
      <c r="AD221" s="123" t="s">
        <v>667</v>
      </c>
      <c r="AE221" s="104">
        <v>20</v>
      </c>
      <c r="AF221" s="105">
        <v>30</v>
      </c>
      <c r="AG221" s="104">
        <v>0.96</v>
      </c>
      <c r="AH221" s="102">
        <v>1.8</v>
      </c>
      <c r="AI221" s="105">
        <v>0.75</v>
      </c>
      <c r="AJ221" s="104">
        <v>20</v>
      </c>
      <c r="AK221" s="102">
        <v>30</v>
      </c>
      <c r="AL221" s="102">
        <v>50</v>
      </c>
      <c r="AM221" s="105">
        <v>20</v>
      </c>
      <c r="AN221" s="104">
        <v>2</v>
      </c>
      <c r="AO221" s="102">
        <v>0</v>
      </c>
      <c r="AP221" s="102">
        <v>5</v>
      </c>
      <c r="AQ221" s="105">
        <v>23</v>
      </c>
      <c r="AU221" s="125" t="str">
        <f>HYPERLINK("http://www.jianrmod.cn/data/shipGetInfo.html?type=0&amp;cid=10023012","详细")</f>
        <v>详细</v>
      </c>
    </row>
    <row r="222" spans="1:47">
      <c r="A222" s="100">
        <v>10023213</v>
      </c>
      <c r="B222" s="101">
        <v>110</v>
      </c>
      <c r="C222" s="102">
        <v>3</v>
      </c>
      <c r="D222" s="103" t="s">
        <v>668</v>
      </c>
      <c r="F222" s="103" t="s">
        <v>49</v>
      </c>
      <c r="G222" s="103">
        <v>1</v>
      </c>
      <c r="H222" s="103">
        <v>2</v>
      </c>
      <c r="I222" s="104" t="s">
        <v>330</v>
      </c>
      <c r="J222" s="102" t="s">
        <v>114</v>
      </c>
      <c r="K222" s="102">
        <v>62</v>
      </c>
      <c r="L222" s="103">
        <v>2</v>
      </c>
      <c r="M222" s="104">
        <v>35</v>
      </c>
      <c r="N222" s="102">
        <v>59</v>
      </c>
      <c r="O222" s="102">
        <v>0</v>
      </c>
      <c r="P222" s="102">
        <v>59</v>
      </c>
      <c r="Q222" s="104">
        <f>_xlfn.FLOOR.MATH(0+0*B222)</f>
        <v>0</v>
      </c>
      <c r="R222" s="102">
        <f>_xlfn.FLOOR.MATH(32+0.25*B222)</f>
        <v>59</v>
      </c>
      <c r="S222" s="102">
        <f>_xlfn.FLOOR.MATH(19+0.2*B222)</f>
        <v>41</v>
      </c>
      <c r="T222" s="105">
        <f>_xlfn.FLOOR.MATH(35+0.54*B222)</f>
        <v>94</v>
      </c>
      <c r="U222" s="102">
        <v>16</v>
      </c>
      <c r="V222" s="102">
        <v>21.5</v>
      </c>
      <c r="W222" s="106" t="s">
        <v>115</v>
      </c>
      <c r="Y222" s="102" t="s">
        <v>54</v>
      </c>
      <c r="Z222" s="102" t="s">
        <v>55</v>
      </c>
      <c r="AA222" s="104" t="s">
        <v>669</v>
      </c>
      <c r="AB222" s="105">
        <v>40</v>
      </c>
      <c r="AC222" s="104">
        <v>4</v>
      </c>
      <c r="AD222" s="123" t="s">
        <v>670</v>
      </c>
      <c r="AE222" s="104">
        <v>50</v>
      </c>
      <c r="AF222" s="105">
        <v>55</v>
      </c>
      <c r="AG222" s="104">
        <v>2.08</v>
      </c>
      <c r="AH222" s="102">
        <v>3.9</v>
      </c>
      <c r="AI222" s="105">
        <v>0.8</v>
      </c>
      <c r="AJ222" s="104">
        <v>30</v>
      </c>
      <c r="AK222" s="102">
        <v>40</v>
      </c>
      <c r="AL222" s="102">
        <v>60</v>
      </c>
      <c r="AM222" s="105">
        <v>40</v>
      </c>
      <c r="AN222" s="104">
        <v>0</v>
      </c>
      <c r="AO222" s="102">
        <v>0</v>
      </c>
      <c r="AP222" s="102">
        <v>17</v>
      </c>
      <c r="AQ222" s="105">
        <v>29</v>
      </c>
      <c r="AU222" s="125" t="str">
        <f>HYPERLINK("http://www.jianrmod.cn/data/shipGetInfo.html?type=0&amp;cid=10023213","详细")</f>
        <v>详细</v>
      </c>
    </row>
    <row r="223" spans="1:47">
      <c r="A223" s="100">
        <v>10023312</v>
      </c>
      <c r="B223" s="101">
        <v>110</v>
      </c>
      <c r="C223" s="102">
        <v>4</v>
      </c>
      <c r="D223" s="103" t="s">
        <v>671</v>
      </c>
      <c r="E223" s="103" t="s">
        <v>672</v>
      </c>
      <c r="F223" s="103" t="s">
        <v>49</v>
      </c>
      <c r="G223" s="103">
        <v>2</v>
      </c>
      <c r="H223" s="103">
        <v>2</v>
      </c>
      <c r="I223" s="104" t="s">
        <v>60</v>
      </c>
      <c r="J223" s="102" t="s">
        <v>157</v>
      </c>
      <c r="K223" s="102">
        <v>42</v>
      </c>
      <c r="L223" s="103">
        <v>2</v>
      </c>
      <c r="M223" s="104">
        <v>61</v>
      </c>
      <c r="N223" s="102">
        <v>48</v>
      </c>
      <c r="O223" s="102">
        <v>60</v>
      </c>
      <c r="P223" s="102">
        <v>52</v>
      </c>
      <c r="Q223" s="104">
        <f>_xlfn.FLOOR.MATH(0+0*B223)</f>
        <v>0</v>
      </c>
      <c r="R223" s="102">
        <f>_xlfn.FLOOR.MATH(13+0.35*B223)</f>
        <v>51</v>
      </c>
      <c r="S223" s="102">
        <f>_xlfn.FLOOR.MATH(35+0.4*B223)</f>
        <v>79</v>
      </c>
      <c r="T223" s="105">
        <f>_xlfn.FLOOR.MATH(36+0.51*B223)</f>
        <v>92</v>
      </c>
      <c r="U223" s="102">
        <v>9</v>
      </c>
      <c r="V223" s="102">
        <v>35</v>
      </c>
      <c r="W223" s="106" t="s">
        <v>158</v>
      </c>
      <c r="X223" s="106" t="s">
        <v>673</v>
      </c>
      <c r="Y223" s="102" t="s">
        <v>127</v>
      </c>
      <c r="Z223" s="102" t="s">
        <v>128</v>
      </c>
      <c r="AA223" s="104" t="s">
        <v>173</v>
      </c>
      <c r="AB223" s="105">
        <v>9</v>
      </c>
      <c r="AC223" s="104">
        <v>3</v>
      </c>
      <c r="AD223" s="123" t="s">
        <v>168</v>
      </c>
      <c r="AE223" s="104">
        <v>40</v>
      </c>
      <c r="AF223" s="105">
        <v>65</v>
      </c>
      <c r="AG223" s="104">
        <v>1.28</v>
      </c>
      <c r="AH223" s="102">
        <v>2.4</v>
      </c>
      <c r="AI223" s="105">
        <v>0.75</v>
      </c>
      <c r="AJ223" s="104">
        <v>30</v>
      </c>
      <c r="AK223" s="102">
        <v>40</v>
      </c>
      <c r="AL223" s="102">
        <v>30</v>
      </c>
      <c r="AM223" s="105">
        <v>0</v>
      </c>
      <c r="AN223" s="104">
        <v>41</v>
      </c>
      <c r="AO223" s="102">
        <v>16</v>
      </c>
      <c r="AP223" s="102">
        <v>17</v>
      </c>
      <c r="AQ223" s="105">
        <v>11</v>
      </c>
      <c r="AT223" s="110">
        <v>0.0590277777777778</v>
      </c>
      <c r="AU223" s="125"/>
    </row>
    <row r="224" spans="1:47">
      <c r="A224" s="100">
        <v>10023412</v>
      </c>
      <c r="B224" s="101">
        <v>110</v>
      </c>
      <c r="C224" s="102">
        <v>4</v>
      </c>
      <c r="D224" s="103" t="s">
        <v>674</v>
      </c>
      <c r="E224" s="103" t="s">
        <v>675</v>
      </c>
      <c r="F224" s="103" t="s">
        <v>49</v>
      </c>
      <c r="G224" s="103">
        <v>2</v>
      </c>
      <c r="H224" s="103">
        <v>2</v>
      </c>
      <c r="I224" s="104" t="s">
        <v>60</v>
      </c>
      <c r="J224" s="102" t="s">
        <v>157</v>
      </c>
      <c r="K224" s="102">
        <v>42</v>
      </c>
      <c r="L224" s="103">
        <v>2</v>
      </c>
      <c r="M224" s="104">
        <v>61</v>
      </c>
      <c r="N224" s="102">
        <v>48</v>
      </c>
      <c r="O224" s="102">
        <v>60</v>
      </c>
      <c r="P224" s="102">
        <v>52</v>
      </c>
      <c r="Q224" s="104">
        <f>_xlfn.FLOOR.MATH(0+0*B224)</f>
        <v>0</v>
      </c>
      <c r="R224" s="102">
        <f>_xlfn.FLOOR.MATH(13+0.35*B224)</f>
        <v>51</v>
      </c>
      <c r="S224" s="102">
        <f>_xlfn.FLOOR.MATH(35+0.4*B224)</f>
        <v>79</v>
      </c>
      <c r="T224" s="105">
        <f>_xlfn.FLOOR.MATH(36+0.51*B224)</f>
        <v>92</v>
      </c>
      <c r="U224" s="102">
        <v>6</v>
      </c>
      <c r="V224" s="102">
        <v>35</v>
      </c>
      <c r="W224" s="106" t="s">
        <v>158</v>
      </c>
      <c r="Y224" s="102" t="s">
        <v>127</v>
      </c>
      <c r="Z224" s="102" t="s">
        <v>128</v>
      </c>
      <c r="AA224" s="104" t="s">
        <v>173</v>
      </c>
      <c r="AB224" s="105">
        <v>9</v>
      </c>
      <c r="AC224" s="104">
        <v>3</v>
      </c>
      <c r="AD224" s="123" t="s">
        <v>168</v>
      </c>
      <c r="AE224" s="104">
        <v>40</v>
      </c>
      <c r="AF224" s="105">
        <v>65</v>
      </c>
      <c r="AG224" s="104">
        <v>1.28</v>
      </c>
      <c r="AH224" s="102">
        <v>2.4</v>
      </c>
      <c r="AI224" s="105">
        <v>0.75</v>
      </c>
      <c r="AJ224" s="104">
        <v>30</v>
      </c>
      <c r="AK224" s="102">
        <v>40</v>
      </c>
      <c r="AL224" s="102">
        <v>30</v>
      </c>
      <c r="AM224" s="105">
        <v>0</v>
      </c>
      <c r="AN224" s="104">
        <v>41</v>
      </c>
      <c r="AO224" s="102">
        <v>16</v>
      </c>
      <c r="AP224" s="102">
        <v>17</v>
      </c>
      <c r="AQ224" s="105">
        <v>11</v>
      </c>
      <c r="AT224" s="110">
        <v>0.0590277777777778</v>
      </c>
      <c r="AU224" s="125"/>
    </row>
    <row r="225" spans="1:46">
      <c r="A225" s="100">
        <v>10023512</v>
      </c>
      <c r="B225" s="101">
        <v>110</v>
      </c>
      <c r="C225" s="102">
        <v>4</v>
      </c>
      <c r="D225" s="103" t="s">
        <v>676</v>
      </c>
      <c r="E225" s="103" t="s">
        <v>677</v>
      </c>
      <c r="F225" s="103" t="s">
        <v>49</v>
      </c>
      <c r="G225" s="103">
        <v>2</v>
      </c>
      <c r="H225" s="103">
        <v>2</v>
      </c>
      <c r="I225" s="104" t="s">
        <v>60</v>
      </c>
      <c r="J225" s="102" t="s">
        <v>157</v>
      </c>
      <c r="K225" s="102">
        <v>42</v>
      </c>
      <c r="L225" s="103">
        <v>2</v>
      </c>
      <c r="M225" s="104">
        <v>61</v>
      </c>
      <c r="N225" s="102">
        <v>48</v>
      </c>
      <c r="O225" s="102">
        <v>60</v>
      </c>
      <c r="P225" s="102">
        <v>52</v>
      </c>
      <c r="Q225" s="104">
        <f>_xlfn.FLOOR.MATH(0+0*B225)</f>
        <v>0</v>
      </c>
      <c r="R225" s="102">
        <f>_xlfn.FLOOR.MATH(13+0.35*B225)</f>
        <v>51</v>
      </c>
      <c r="S225" s="102">
        <f>_xlfn.FLOOR.MATH(35+0.4*B225)</f>
        <v>79</v>
      </c>
      <c r="T225" s="105">
        <f>_xlfn.FLOOR.MATH(36+0.51*B225)</f>
        <v>92</v>
      </c>
      <c r="U225" s="102">
        <v>5</v>
      </c>
      <c r="V225" s="102">
        <v>35</v>
      </c>
      <c r="W225" s="106" t="s">
        <v>158</v>
      </c>
      <c r="Y225" s="102" t="s">
        <v>127</v>
      </c>
      <c r="Z225" s="102" t="s">
        <v>128</v>
      </c>
      <c r="AA225" s="104" t="s">
        <v>173</v>
      </c>
      <c r="AB225" s="105">
        <v>9</v>
      </c>
      <c r="AC225" s="104">
        <v>3</v>
      </c>
      <c r="AD225" s="123" t="s">
        <v>168</v>
      </c>
      <c r="AE225" s="104">
        <v>40</v>
      </c>
      <c r="AF225" s="105">
        <v>65</v>
      </c>
      <c r="AG225" s="104">
        <v>1.28</v>
      </c>
      <c r="AH225" s="102">
        <v>2.4</v>
      </c>
      <c r="AI225" s="105">
        <v>0.75</v>
      </c>
      <c r="AJ225" s="104">
        <v>30</v>
      </c>
      <c r="AK225" s="102">
        <v>40</v>
      </c>
      <c r="AL225" s="102">
        <v>30</v>
      </c>
      <c r="AM225" s="105">
        <v>0</v>
      </c>
      <c r="AN225" s="104">
        <v>41</v>
      </c>
      <c r="AO225" s="102">
        <v>16</v>
      </c>
      <c r="AP225" s="102">
        <v>17</v>
      </c>
      <c r="AQ225" s="105">
        <v>11</v>
      </c>
      <c r="AT225" s="110">
        <v>0.0590277777777778</v>
      </c>
    </row>
    <row r="226" spans="1:47">
      <c r="A226" s="100">
        <v>10023612</v>
      </c>
      <c r="B226" s="101">
        <v>110</v>
      </c>
      <c r="C226" s="102">
        <v>4</v>
      </c>
      <c r="D226" s="103" t="s">
        <v>678</v>
      </c>
      <c r="E226" s="103" t="s">
        <v>679</v>
      </c>
      <c r="F226" s="103" t="s">
        <v>49</v>
      </c>
      <c r="G226" s="103">
        <v>2</v>
      </c>
      <c r="H226" s="103">
        <v>2</v>
      </c>
      <c r="I226" s="104" t="s">
        <v>60</v>
      </c>
      <c r="J226" s="102" t="s">
        <v>157</v>
      </c>
      <c r="K226" s="102">
        <v>42</v>
      </c>
      <c r="L226" s="103">
        <v>2</v>
      </c>
      <c r="M226" s="104">
        <v>61</v>
      </c>
      <c r="N226" s="102">
        <v>48</v>
      </c>
      <c r="O226" s="102">
        <v>60</v>
      </c>
      <c r="P226" s="102">
        <v>52</v>
      </c>
      <c r="Q226" s="104">
        <f>_xlfn.FLOOR.MATH(0+0*B226)</f>
        <v>0</v>
      </c>
      <c r="R226" s="102">
        <f>_xlfn.FLOOR.MATH(13+0.35*B226)</f>
        <v>51</v>
      </c>
      <c r="S226" s="102">
        <f>_xlfn.FLOOR.MATH(35+0.4*B226)</f>
        <v>79</v>
      </c>
      <c r="T226" s="105">
        <f>_xlfn.FLOOR.MATH(36+0.51*B226)</f>
        <v>92</v>
      </c>
      <c r="U226" s="102">
        <v>5</v>
      </c>
      <c r="V226" s="102">
        <v>35</v>
      </c>
      <c r="W226" s="106" t="s">
        <v>158</v>
      </c>
      <c r="Y226" s="102" t="s">
        <v>127</v>
      </c>
      <c r="Z226" s="102" t="s">
        <v>128</v>
      </c>
      <c r="AA226" s="104" t="s">
        <v>173</v>
      </c>
      <c r="AB226" s="105">
        <v>9</v>
      </c>
      <c r="AC226" s="104">
        <v>3</v>
      </c>
      <c r="AD226" s="123" t="s">
        <v>168</v>
      </c>
      <c r="AE226" s="104">
        <v>40</v>
      </c>
      <c r="AF226" s="105">
        <v>65</v>
      </c>
      <c r="AG226" s="104">
        <v>1.28</v>
      </c>
      <c r="AH226" s="102">
        <v>2.4</v>
      </c>
      <c r="AI226" s="105">
        <v>0.75</v>
      </c>
      <c r="AJ226" s="104">
        <v>30</v>
      </c>
      <c r="AK226" s="102">
        <v>40</v>
      </c>
      <c r="AL226" s="102">
        <v>30</v>
      </c>
      <c r="AM226" s="105">
        <v>0</v>
      </c>
      <c r="AN226" s="104">
        <v>41</v>
      </c>
      <c r="AO226" s="102">
        <v>16</v>
      </c>
      <c r="AP226" s="102">
        <v>17</v>
      </c>
      <c r="AQ226" s="105">
        <v>11</v>
      </c>
      <c r="AT226" s="110">
        <v>0.0590277777777778</v>
      </c>
      <c r="AU226" s="125"/>
    </row>
    <row r="227" spans="1:47">
      <c r="A227" s="100">
        <v>10023712</v>
      </c>
      <c r="B227" s="101">
        <v>110</v>
      </c>
      <c r="C227" s="102">
        <v>3</v>
      </c>
      <c r="D227" s="103" t="s">
        <v>680</v>
      </c>
      <c r="F227" s="103" t="s">
        <v>49</v>
      </c>
      <c r="G227" s="103">
        <v>2</v>
      </c>
      <c r="H227" s="103">
        <v>2</v>
      </c>
      <c r="I227" s="104" t="s">
        <v>50</v>
      </c>
      <c r="J227" s="102" t="s">
        <v>157</v>
      </c>
      <c r="K227" s="102">
        <v>49</v>
      </c>
      <c r="L227" s="103">
        <v>-1</v>
      </c>
      <c r="M227" s="104">
        <v>54</v>
      </c>
      <c r="N227" s="102">
        <v>41</v>
      </c>
      <c r="O227" s="102">
        <v>45</v>
      </c>
      <c r="P227" s="102">
        <v>66</v>
      </c>
      <c r="Q227" s="104">
        <f>_xlfn.FLOOR.MATH(0+0*B227)</f>
        <v>0</v>
      </c>
      <c r="R227" s="102">
        <f>_xlfn.FLOOR.MATH(13+0.35*B227)</f>
        <v>51</v>
      </c>
      <c r="S227" s="102">
        <f>_xlfn.FLOOR.MATH(30+0.4*B227)</f>
        <v>74</v>
      </c>
      <c r="T227" s="105">
        <f>_xlfn.FLOOR.MATH(35+0.51*B227)</f>
        <v>91</v>
      </c>
      <c r="U227" s="102">
        <v>15</v>
      </c>
      <c r="V227" s="102">
        <v>32.5</v>
      </c>
      <c r="W227" s="106" t="s">
        <v>158</v>
      </c>
      <c r="Y227" s="102" t="s">
        <v>127</v>
      </c>
      <c r="Z227" s="102" t="s">
        <v>128</v>
      </c>
      <c r="AA227" s="104" t="s">
        <v>160</v>
      </c>
      <c r="AB227" s="105">
        <v>6</v>
      </c>
      <c r="AC227" s="104">
        <v>3</v>
      </c>
      <c r="AD227" s="123" t="s">
        <v>440</v>
      </c>
      <c r="AE227" s="104">
        <v>35</v>
      </c>
      <c r="AF227" s="105">
        <v>70</v>
      </c>
      <c r="AG227" s="104">
        <v>1.28</v>
      </c>
      <c r="AH227" s="102">
        <v>2.4</v>
      </c>
      <c r="AI227" s="105">
        <v>0.75</v>
      </c>
      <c r="AJ227" s="104">
        <v>30</v>
      </c>
      <c r="AK227" s="102">
        <v>40</v>
      </c>
      <c r="AL227" s="102">
        <v>30</v>
      </c>
      <c r="AM227" s="105">
        <v>0</v>
      </c>
      <c r="AN227" s="104">
        <v>38</v>
      </c>
      <c r="AO227" s="102">
        <v>5</v>
      </c>
      <c r="AP227" s="102">
        <v>13</v>
      </c>
      <c r="AQ227" s="105">
        <v>18</v>
      </c>
      <c r="AU227" s="125" t="str">
        <f>HYPERLINK("http://www.jianrmod.cn/data/shipGetInfo.html?type=0&amp;cid=10023712","详细")</f>
        <v>详细</v>
      </c>
    </row>
    <row r="228" spans="1:47">
      <c r="A228" s="100">
        <v>10023812</v>
      </c>
      <c r="B228" s="101">
        <v>110</v>
      </c>
      <c r="C228" s="102">
        <v>3</v>
      </c>
      <c r="D228" s="103" t="s">
        <v>681</v>
      </c>
      <c r="F228" s="103" t="s">
        <v>49</v>
      </c>
      <c r="G228" s="103">
        <v>2</v>
      </c>
      <c r="H228" s="103">
        <v>2</v>
      </c>
      <c r="I228" s="104" t="s">
        <v>50</v>
      </c>
      <c r="J228" s="102" t="s">
        <v>157</v>
      </c>
      <c r="K228" s="102">
        <v>33</v>
      </c>
      <c r="L228" s="103">
        <v>-1</v>
      </c>
      <c r="M228" s="104">
        <v>58</v>
      </c>
      <c r="N228" s="102">
        <v>44</v>
      </c>
      <c r="O228" s="102">
        <v>47</v>
      </c>
      <c r="P228" s="102">
        <v>68</v>
      </c>
      <c r="Q228" s="104">
        <f>_xlfn.FLOOR.MATH(0+0*B228)</f>
        <v>0</v>
      </c>
      <c r="R228" s="102">
        <f>_xlfn.FLOOR.MATH(14+0.35*B228)</f>
        <v>52</v>
      </c>
      <c r="S228" s="102">
        <f>_xlfn.FLOOR.MATH(30+0.4*B228)</f>
        <v>74</v>
      </c>
      <c r="T228" s="105">
        <f>_xlfn.FLOOR.MATH(35+0.51*B228)</f>
        <v>91</v>
      </c>
      <c r="U228" s="102">
        <v>10</v>
      </c>
      <c r="V228" s="102">
        <v>32</v>
      </c>
      <c r="W228" s="106" t="s">
        <v>158</v>
      </c>
      <c r="Y228" s="102" t="s">
        <v>127</v>
      </c>
      <c r="Z228" s="102" t="s">
        <v>128</v>
      </c>
      <c r="AA228" s="104" t="s">
        <v>160</v>
      </c>
      <c r="AB228" s="105">
        <v>6</v>
      </c>
      <c r="AC228" s="104">
        <v>3</v>
      </c>
      <c r="AD228" s="123" t="s">
        <v>440</v>
      </c>
      <c r="AE228" s="104">
        <v>35</v>
      </c>
      <c r="AF228" s="105">
        <v>70</v>
      </c>
      <c r="AG228" s="104">
        <v>1.28</v>
      </c>
      <c r="AH228" s="102">
        <v>2.4</v>
      </c>
      <c r="AI228" s="105">
        <v>0.75</v>
      </c>
      <c r="AJ228" s="104">
        <v>30</v>
      </c>
      <c r="AK228" s="102">
        <v>40</v>
      </c>
      <c r="AL228" s="102">
        <v>30</v>
      </c>
      <c r="AM228" s="105">
        <v>0</v>
      </c>
      <c r="AN228" s="104">
        <v>32</v>
      </c>
      <c r="AO228" s="102">
        <v>6</v>
      </c>
      <c r="AP228" s="102">
        <v>15</v>
      </c>
      <c r="AQ228" s="105">
        <v>21</v>
      </c>
      <c r="AT228" s="110">
        <v>0.0590277777777778</v>
      </c>
      <c r="AU228" s="125" t="str">
        <f>HYPERLINK("http://www.jianrmod.cn/data/shipGetInfo.html?type=0&amp;cid=10023812","详细")</f>
        <v>详细</v>
      </c>
    </row>
    <row r="229" spans="1:47">
      <c r="A229" s="100">
        <v>10023912</v>
      </c>
      <c r="B229" s="101">
        <v>110</v>
      </c>
      <c r="C229" s="102">
        <v>3</v>
      </c>
      <c r="D229" s="103" t="s">
        <v>682</v>
      </c>
      <c r="F229" s="103" t="s">
        <v>49</v>
      </c>
      <c r="G229" s="103">
        <v>2</v>
      </c>
      <c r="H229" s="103">
        <v>2</v>
      </c>
      <c r="I229" s="104" t="s">
        <v>50</v>
      </c>
      <c r="J229" s="102" t="s">
        <v>157</v>
      </c>
      <c r="K229" s="102">
        <v>33</v>
      </c>
      <c r="L229" s="103">
        <v>-1</v>
      </c>
      <c r="M229" s="104">
        <v>58</v>
      </c>
      <c r="N229" s="102">
        <v>44</v>
      </c>
      <c r="O229" s="102">
        <v>47</v>
      </c>
      <c r="P229" s="102">
        <v>68</v>
      </c>
      <c r="Q229" s="104">
        <f>_xlfn.FLOOR.MATH(0+0*B229)</f>
        <v>0</v>
      </c>
      <c r="R229" s="102">
        <f>_xlfn.FLOOR.MATH(14+0.35*B229)</f>
        <v>52</v>
      </c>
      <c r="S229" s="102">
        <f>_xlfn.FLOOR.MATH(30+0.4*B229)</f>
        <v>74</v>
      </c>
      <c r="T229" s="105">
        <f>_xlfn.FLOOR.MATH(35+0.51*B229)</f>
        <v>91</v>
      </c>
      <c r="U229" s="102">
        <v>10</v>
      </c>
      <c r="V229" s="102">
        <v>32</v>
      </c>
      <c r="W229" s="106" t="s">
        <v>158</v>
      </c>
      <c r="Y229" s="102" t="s">
        <v>127</v>
      </c>
      <c r="Z229" s="102" t="s">
        <v>128</v>
      </c>
      <c r="AA229" s="104" t="s">
        <v>160</v>
      </c>
      <c r="AB229" s="105">
        <v>6</v>
      </c>
      <c r="AC229" s="104">
        <v>3</v>
      </c>
      <c r="AD229" s="123" t="s">
        <v>440</v>
      </c>
      <c r="AE229" s="104">
        <v>35</v>
      </c>
      <c r="AF229" s="105">
        <v>70</v>
      </c>
      <c r="AG229" s="104">
        <v>1.28</v>
      </c>
      <c r="AH229" s="102">
        <v>2.4</v>
      </c>
      <c r="AI229" s="105">
        <v>0.75</v>
      </c>
      <c r="AJ229" s="104">
        <v>30</v>
      </c>
      <c r="AK229" s="102">
        <v>40</v>
      </c>
      <c r="AL229" s="102">
        <v>30</v>
      </c>
      <c r="AM229" s="105">
        <v>0</v>
      </c>
      <c r="AN229" s="104">
        <v>32</v>
      </c>
      <c r="AO229" s="102">
        <v>6</v>
      </c>
      <c r="AP229" s="102">
        <v>15</v>
      </c>
      <c r="AQ229" s="105">
        <v>21</v>
      </c>
      <c r="AT229" s="110">
        <v>0.0590277777777778</v>
      </c>
      <c r="AU229" s="125" t="str">
        <f>HYPERLINK("http://www.jianrmod.cn/data/shipGetInfo.html?type=0&amp;cid=10023912","详细")</f>
        <v>详细</v>
      </c>
    </row>
    <row r="230" spans="1:48">
      <c r="A230" s="100">
        <v>10024012</v>
      </c>
      <c r="B230" s="101">
        <v>110</v>
      </c>
      <c r="C230" s="102">
        <v>4</v>
      </c>
      <c r="D230" s="103" t="s">
        <v>683</v>
      </c>
      <c r="F230" s="103" t="s">
        <v>49</v>
      </c>
      <c r="G230" s="103">
        <v>2</v>
      </c>
      <c r="H230" s="103">
        <v>2</v>
      </c>
      <c r="I230" s="104" t="s">
        <v>86</v>
      </c>
      <c r="J230" s="102" t="s">
        <v>157</v>
      </c>
      <c r="K230" s="102">
        <v>43</v>
      </c>
      <c r="L230" s="103">
        <v>1</v>
      </c>
      <c r="M230" s="104">
        <v>68</v>
      </c>
      <c r="N230" s="102">
        <v>47</v>
      </c>
      <c r="O230" s="102">
        <v>0</v>
      </c>
      <c r="P230" s="102">
        <v>70</v>
      </c>
      <c r="Q230" s="104">
        <f>_xlfn.FLOOR.MATH(0+0*B230)</f>
        <v>0</v>
      </c>
      <c r="R230" s="102">
        <f>_xlfn.FLOOR.MATH(15+0.35*B230)</f>
        <v>53</v>
      </c>
      <c r="S230" s="102">
        <f>_xlfn.FLOOR.MATH(33+0.4*B230)</f>
        <v>77</v>
      </c>
      <c r="T230" s="105">
        <f>_xlfn.FLOOR.MATH(36+0.51*B230)</f>
        <v>92</v>
      </c>
      <c r="U230" s="102">
        <v>30</v>
      </c>
      <c r="V230" s="102">
        <v>32.7</v>
      </c>
      <c r="W230" s="106" t="s">
        <v>158</v>
      </c>
      <c r="X230" s="106" t="s">
        <v>684</v>
      </c>
      <c r="Y230" s="102" t="s">
        <v>127</v>
      </c>
      <c r="Z230" s="102" t="s">
        <v>128</v>
      </c>
      <c r="AA230" s="104" t="s">
        <v>173</v>
      </c>
      <c r="AB230" s="105">
        <v>9</v>
      </c>
      <c r="AC230" s="104">
        <v>3</v>
      </c>
      <c r="AD230" s="123" t="s">
        <v>179</v>
      </c>
      <c r="AE230" s="104">
        <v>40</v>
      </c>
      <c r="AF230" s="105">
        <v>70</v>
      </c>
      <c r="AG230" s="104">
        <v>1.28</v>
      </c>
      <c r="AH230" s="102">
        <v>2.4</v>
      </c>
      <c r="AI230" s="105">
        <v>0.625</v>
      </c>
      <c r="AJ230" s="104">
        <v>30</v>
      </c>
      <c r="AK230" s="102">
        <v>40</v>
      </c>
      <c r="AL230" s="102">
        <v>30</v>
      </c>
      <c r="AM230" s="105">
        <v>0</v>
      </c>
      <c r="AN230" s="104">
        <v>38</v>
      </c>
      <c r="AO230" s="102">
        <v>0</v>
      </c>
      <c r="AP230" s="102">
        <v>16</v>
      </c>
      <c r="AQ230" s="105">
        <v>29</v>
      </c>
      <c r="AT230" s="110">
        <v>0.0590277777777778</v>
      </c>
      <c r="AU230" s="125"/>
      <c r="AV230" s="112" t="s">
        <v>685</v>
      </c>
    </row>
    <row r="231" ht="92.4" spans="1:48">
      <c r="A231" s="100">
        <v>10024112</v>
      </c>
      <c r="B231" s="101">
        <v>110</v>
      </c>
      <c r="C231" s="102">
        <v>5</v>
      </c>
      <c r="D231" s="103" t="s">
        <v>686</v>
      </c>
      <c r="F231" s="103" t="s">
        <v>49</v>
      </c>
      <c r="G231" s="103">
        <v>4</v>
      </c>
      <c r="H231" s="103">
        <v>4</v>
      </c>
      <c r="I231" s="104" t="s">
        <v>86</v>
      </c>
      <c r="J231" s="102" t="s">
        <v>157</v>
      </c>
      <c r="K231" s="102">
        <v>52</v>
      </c>
      <c r="L231" s="103">
        <v>0</v>
      </c>
      <c r="M231" s="104">
        <v>68</v>
      </c>
      <c r="N231" s="102">
        <v>56</v>
      </c>
      <c r="O231" s="102">
        <v>0</v>
      </c>
      <c r="P231" s="102">
        <v>90</v>
      </c>
      <c r="Q231" s="104">
        <f>_xlfn.FLOOR.MATH(0+0*B231)</f>
        <v>0</v>
      </c>
      <c r="R231" s="102">
        <f>_xlfn.FLOOR.MATH(18+0.35*B231)</f>
        <v>56</v>
      </c>
      <c r="S231" s="102">
        <f>_xlfn.FLOOR.MATH(31+0.4*B231)</f>
        <v>75</v>
      </c>
      <c r="T231" s="105">
        <f>_xlfn.FLOOR.MATH(37+0.51*B231)</f>
        <v>93</v>
      </c>
      <c r="U231" s="102">
        <v>17</v>
      </c>
      <c r="V231" s="102">
        <v>33</v>
      </c>
      <c r="W231" s="106" t="s">
        <v>158</v>
      </c>
      <c r="X231" s="106" t="s">
        <v>687</v>
      </c>
      <c r="Y231" s="102" t="s">
        <v>127</v>
      </c>
      <c r="Z231" s="102" t="s">
        <v>128</v>
      </c>
      <c r="AA231" s="104" t="s">
        <v>160</v>
      </c>
      <c r="AB231" s="105">
        <v>6</v>
      </c>
      <c r="AC231" s="104">
        <v>3</v>
      </c>
      <c r="AD231" s="123" t="s">
        <v>688</v>
      </c>
      <c r="AE231" s="104">
        <v>40</v>
      </c>
      <c r="AF231" s="105">
        <v>70</v>
      </c>
      <c r="AG231" s="104">
        <v>1.28</v>
      </c>
      <c r="AH231" s="102">
        <v>2.4</v>
      </c>
      <c r="AI231" s="105">
        <v>0.625</v>
      </c>
      <c r="AJ231" s="104">
        <v>30</v>
      </c>
      <c r="AK231" s="102">
        <v>40</v>
      </c>
      <c r="AL231" s="102">
        <v>30</v>
      </c>
      <c r="AM231" s="105">
        <v>0</v>
      </c>
      <c r="AN231" s="104">
        <v>43</v>
      </c>
      <c r="AO231" s="102">
        <v>0</v>
      </c>
      <c r="AP231" s="102">
        <v>18</v>
      </c>
      <c r="AQ231" s="105">
        <v>60</v>
      </c>
      <c r="AR231" s="108" t="s">
        <v>689</v>
      </c>
      <c r="AT231" s="110">
        <v>0.0625</v>
      </c>
      <c r="AU231" s="125"/>
      <c r="AV231" s="112" t="s">
        <v>690</v>
      </c>
    </row>
    <row r="232" ht="52.8" spans="1:48">
      <c r="A232" s="100">
        <v>10024312</v>
      </c>
      <c r="B232" s="101">
        <v>110</v>
      </c>
      <c r="C232" s="102">
        <v>6</v>
      </c>
      <c r="D232" s="103" t="s">
        <v>691</v>
      </c>
      <c r="F232" s="103" t="s">
        <v>49</v>
      </c>
      <c r="G232" s="103">
        <v>3</v>
      </c>
      <c r="H232" s="103">
        <v>3</v>
      </c>
      <c r="I232" s="104" t="s">
        <v>86</v>
      </c>
      <c r="J232" s="102" t="s">
        <v>157</v>
      </c>
      <c r="K232" s="102">
        <v>52</v>
      </c>
      <c r="L232" s="103">
        <v>0</v>
      </c>
      <c r="M232" s="104">
        <v>83</v>
      </c>
      <c r="N232" s="102">
        <v>58</v>
      </c>
      <c r="O232" s="102">
        <v>0</v>
      </c>
      <c r="P232" s="102">
        <v>108</v>
      </c>
      <c r="Q232" s="104">
        <f>_xlfn.FLOOR.MATH(0+0*B232)</f>
        <v>0</v>
      </c>
      <c r="R232" s="102">
        <f>_xlfn.FLOOR.MATH(18+0.35*B232)</f>
        <v>56</v>
      </c>
      <c r="S232" s="102">
        <f>_xlfn.FLOOR.MATH(31+0.4*B232)</f>
        <v>75</v>
      </c>
      <c r="T232" s="105">
        <f>_xlfn.FLOOR.MATH(38+0.51*B232)</f>
        <v>94</v>
      </c>
      <c r="U232" s="102">
        <v>11</v>
      </c>
      <c r="V232" s="102">
        <v>33</v>
      </c>
      <c r="W232" s="106" t="s">
        <v>158</v>
      </c>
      <c r="Y232" s="102" t="s">
        <v>127</v>
      </c>
      <c r="Z232" s="102" t="s">
        <v>128</v>
      </c>
      <c r="AA232" s="104" t="s">
        <v>173</v>
      </c>
      <c r="AB232" s="105">
        <v>9</v>
      </c>
      <c r="AC232" s="104">
        <v>3</v>
      </c>
      <c r="AD232" s="123" t="s">
        <v>692</v>
      </c>
      <c r="AE232" s="104">
        <v>40</v>
      </c>
      <c r="AF232" s="105">
        <v>70</v>
      </c>
      <c r="AG232" s="104">
        <v>1.28</v>
      </c>
      <c r="AH232" s="102">
        <v>2.4</v>
      </c>
      <c r="AI232" s="105">
        <v>0.625</v>
      </c>
      <c r="AJ232" s="104">
        <v>30</v>
      </c>
      <c r="AK232" s="102">
        <v>40</v>
      </c>
      <c r="AL232" s="102">
        <v>30</v>
      </c>
      <c r="AM232" s="105">
        <v>0</v>
      </c>
      <c r="AN232" s="104">
        <v>53</v>
      </c>
      <c r="AO232" s="102">
        <v>0</v>
      </c>
      <c r="AP232" s="102">
        <v>19</v>
      </c>
      <c r="AQ232" s="105">
        <v>88</v>
      </c>
      <c r="AR232" s="108" t="s">
        <v>693</v>
      </c>
      <c r="AT232" s="110">
        <v>0.0833333333333333</v>
      </c>
      <c r="AV232" s="112" t="s">
        <v>694</v>
      </c>
    </row>
    <row r="233" spans="1:47">
      <c r="A233" s="100">
        <v>10024512</v>
      </c>
      <c r="B233" s="101">
        <v>110</v>
      </c>
      <c r="C233" s="102">
        <v>4</v>
      </c>
      <c r="D233" s="103" t="s">
        <v>695</v>
      </c>
      <c r="F233" s="103" t="s">
        <v>49</v>
      </c>
      <c r="G233" s="103">
        <v>2</v>
      </c>
      <c r="H233" s="103">
        <v>2</v>
      </c>
      <c r="I233" s="104" t="s">
        <v>91</v>
      </c>
      <c r="J233" s="102" t="s">
        <v>157</v>
      </c>
      <c r="K233" s="102">
        <v>46</v>
      </c>
      <c r="L233" s="103">
        <v>2</v>
      </c>
      <c r="M233" s="104">
        <v>60</v>
      </c>
      <c r="N233" s="102">
        <v>61</v>
      </c>
      <c r="O233" s="102">
        <v>0</v>
      </c>
      <c r="P233" s="102">
        <v>53</v>
      </c>
      <c r="Q233" s="104">
        <f>_xlfn.FLOOR.MATH(0+0*B233)</f>
        <v>0</v>
      </c>
      <c r="R233" s="102">
        <f>_xlfn.FLOOR.MATH(14+0.35*B233)</f>
        <v>52</v>
      </c>
      <c r="S233" s="102">
        <f>_xlfn.FLOOR.MATH(32+0.35*B233)</f>
        <v>70</v>
      </c>
      <c r="T233" s="105">
        <f>_xlfn.FLOOR.MATH(35+0.51*B233)</f>
        <v>91</v>
      </c>
      <c r="U233" s="102">
        <v>10</v>
      </c>
      <c r="V233" s="102">
        <v>32</v>
      </c>
      <c r="W233" s="106" t="s">
        <v>158</v>
      </c>
      <c r="Y233" s="102" t="s">
        <v>127</v>
      </c>
      <c r="Z233" s="102" t="s">
        <v>128</v>
      </c>
      <c r="AA233" s="104" t="s">
        <v>160</v>
      </c>
      <c r="AB233" s="105">
        <v>6</v>
      </c>
      <c r="AC233" s="104">
        <v>3</v>
      </c>
      <c r="AD233" s="123" t="s">
        <v>696</v>
      </c>
      <c r="AE233" s="104">
        <v>35</v>
      </c>
      <c r="AF233" s="105">
        <v>70</v>
      </c>
      <c r="AG233" s="104">
        <v>1.28</v>
      </c>
      <c r="AH233" s="102">
        <v>2.4</v>
      </c>
      <c r="AI233" s="105">
        <v>0.8</v>
      </c>
      <c r="AJ233" s="104">
        <v>30</v>
      </c>
      <c r="AK233" s="102">
        <v>40</v>
      </c>
      <c r="AL233" s="102">
        <v>30</v>
      </c>
      <c r="AM233" s="105">
        <v>0</v>
      </c>
      <c r="AN233" s="104">
        <v>35</v>
      </c>
      <c r="AO233" s="102">
        <v>0</v>
      </c>
      <c r="AP233" s="102">
        <v>21</v>
      </c>
      <c r="AQ233" s="105">
        <v>12</v>
      </c>
      <c r="AU233" s="125" t="str">
        <f>HYPERLINK("http://www.jianrmod.cn/data/shipGetInfo.html?type=0&amp;cid=10024512","详细")</f>
        <v>详细</v>
      </c>
    </row>
    <row r="234" spans="1:46">
      <c r="A234" s="100">
        <v>10024612</v>
      </c>
      <c r="B234" s="101">
        <v>110</v>
      </c>
      <c r="C234" s="102">
        <v>4</v>
      </c>
      <c r="D234" s="103" t="s">
        <v>697</v>
      </c>
      <c r="F234" s="103" t="s">
        <v>49</v>
      </c>
      <c r="G234" s="103">
        <v>2</v>
      </c>
      <c r="H234" s="103">
        <v>2</v>
      </c>
      <c r="I234" s="104" t="s">
        <v>330</v>
      </c>
      <c r="J234" s="102" t="s">
        <v>157</v>
      </c>
      <c r="K234" s="102">
        <v>42</v>
      </c>
      <c r="L234" s="103">
        <v>2</v>
      </c>
      <c r="M234" s="104">
        <v>61</v>
      </c>
      <c r="N234" s="102">
        <v>55</v>
      </c>
      <c r="O234" s="102">
        <v>42</v>
      </c>
      <c r="P234" s="102">
        <v>61</v>
      </c>
      <c r="Q234" s="104">
        <f>_xlfn.FLOOR.MATH(0+0*B234)</f>
        <v>0</v>
      </c>
      <c r="R234" s="102">
        <f>_xlfn.FLOOR.MATH(14+0.35*B234)</f>
        <v>52</v>
      </c>
      <c r="S234" s="102">
        <f>_xlfn.FLOOR.MATH(31+0.35*B234)</f>
        <v>69</v>
      </c>
      <c r="T234" s="105">
        <f>_xlfn.FLOOR.MATH(35+0.51*B234)</f>
        <v>91</v>
      </c>
      <c r="U234" s="102">
        <v>10</v>
      </c>
      <c r="V234" s="102">
        <v>31</v>
      </c>
      <c r="W234" s="106" t="s">
        <v>158</v>
      </c>
      <c r="Y234" s="102" t="s">
        <v>127</v>
      </c>
      <c r="Z234" s="102" t="s">
        <v>128</v>
      </c>
      <c r="AA234" s="104" t="s">
        <v>160</v>
      </c>
      <c r="AB234" s="105">
        <v>6</v>
      </c>
      <c r="AC234" s="104">
        <v>3</v>
      </c>
      <c r="AD234" s="123" t="s">
        <v>698</v>
      </c>
      <c r="AE234" s="104">
        <v>35</v>
      </c>
      <c r="AF234" s="105">
        <v>70</v>
      </c>
      <c r="AG234" s="104">
        <v>1.28</v>
      </c>
      <c r="AH234" s="102">
        <v>2.4</v>
      </c>
      <c r="AI234" s="105">
        <v>0.75</v>
      </c>
      <c r="AJ234" s="104">
        <v>30</v>
      </c>
      <c r="AK234" s="102">
        <v>40</v>
      </c>
      <c r="AL234" s="102">
        <v>30</v>
      </c>
      <c r="AM234" s="105">
        <v>0</v>
      </c>
      <c r="AN234" s="104">
        <v>36</v>
      </c>
      <c r="AO234" s="102">
        <v>6</v>
      </c>
      <c r="AP234" s="102">
        <v>18</v>
      </c>
      <c r="AQ234" s="105">
        <v>16</v>
      </c>
      <c r="AT234" s="110">
        <v>0.0597222222222222</v>
      </c>
    </row>
    <row r="235" spans="1:47">
      <c r="A235" s="100">
        <v>10024712</v>
      </c>
      <c r="B235" s="101">
        <v>110</v>
      </c>
      <c r="C235" s="102">
        <v>3</v>
      </c>
      <c r="D235" s="103" t="s">
        <v>699</v>
      </c>
      <c r="E235" s="103" t="s">
        <v>700</v>
      </c>
      <c r="F235" s="103" t="s">
        <v>49</v>
      </c>
      <c r="G235" s="103">
        <v>1</v>
      </c>
      <c r="H235" s="103">
        <v>2</v>
      </c>
      <c r="I235" s="104" t="s">
        <v>60</v>
      </c>
      <c r="J235" s="102" t="s">
        <v>184</v>
      </c>
      <c r="K235" s="102">
        <v>23</v>
      </c>
      <c r="L235" s="103">
        <v>1</v>
      </c>
      <c r="M235" s="104">
        <v>38</v>
      </c>
      <c r="N235" s="102">
        <v>27</v>
      </c>
      <c r="O235" s="102">
        <v>50</v>
      </c>
      <c r="P235" s="102">
        <v>46</v>
      </c>
      <c r="Q235" s="104">
        <f>_xlfn.FLOOR.MATH(30+0.4*B235)</f>
        <v>74</v>
      </c>
      <c r="R235" s="102">
        <f>_xlfn.FLOOR.MATH(9+0.1*B235)</f>
        <v>20</v>
      </c>
      <c r="S235" s="102">
        <f>_xlfn.FLOOR.MATH(15+0.35*B235)</f>
        <v>53</v>
      </c>
      <c r="T235" s="105">
        <f>_xlfn.FLOOR.MATH(33+0.52*B235)</f>
        <v>90</v>
      </c>
      <c r="U235" s="102">
        <v>10</v>
      </c>
      <c r="V235" s="102">
        <v>18</v>
      </c>
      <c r="W235" s="106" t="s">
        <v>158</v>
      </c>
      <c r="X235" s="106" t="s">
        <v>701</v>
      </c>
      <c r="Y235" s="102" t="s">
        <v>127</v>
      </c>
      <c r="Z235" s="102" t="s">
        <v>128</v>
      </c>
      <c r="AA235" s="104" t="s">
        <v>160</v>
      </c>
      <c r="AB235" s="105">
        <v>6</v>
      </c>
      <c r="AC235" s="104">
        <v>3</v>
      </c>
      <c r="AD235" s="123" t="s">
        <v>702</v>
      </c>
      <c r="AE235" s="104">
        <v>20</v>
      </c>
      <c r="AF235" s="105">
        <v>25</v>
      </c>
      <c r="AG235" s="104">
        <v>0.5</v>
      </c>
      <c r="AH235" s="102">
        <v>1.5</v>
      </c>
      <c r="AI235" s="105">
        <v>0.5</v>
      </c>
      <c r="AJ235" s="104">
        <v>10</v>
      </c>
      <c r="AK235" s="102">
        <v>16</v>
      </c>
      <c r="AL235" s="102">
        <v>10</v>
      </c>
      <c r="AM235" s="105">
        <v>0</v>
      </c>
      <c r="AN235" s="104">
        <v>7</v>
      </c>
      <c r="AO235" s="102">
        <v>12</v>
      </c>
      <c r="AP235" s="102">
        <v>4</v>
      </c>
      <c r="AQ235" s="105">
        <v>8</v>
      </c>
      <c r="AU235" s="125" t="str">
        <f>HYPERLINK("http://www.jianrmod.cn/data/shipGetInfo.html?type=0&amp;cid=10024712","详细")</f>
        <v>详细</v>
      </c>
    </row>
    <row r="236" spans="1:47">
      <c r="A236" s="100">
        <v>10024812</v>
      </c>
      <c r="B236" s="101">
        <v>110</v>
      </c>
      <c r="C236" s="102">
        <v>5</v>
      </c>
      <c r="D236" s="103" t="s">
        <v>703</v>
      </c>
      <c r="E236" s="103" t="s">
        <v>704</v>
      </c>
      <c r="F236" s="103" t="s">
        <v>49</v>
      </c>
      <c r="G236" s="103">
        <v>1</v>
      </c>
      <c r="H236" s="103">
        <v>2</v>
      </c>
      <c r="I236" s="104" t="s">
        <v>60</v>
      </c>
      <c r="J236" s="102" t="s">
        <v>184</v>
      </c>
      <c r="K236" s="102">
        <v>32</v>
      </c>
      <c r="L236" s="103">
        <v>0</v>
      </c>
      <c r="M236" s="104">
        <v>50</v>
      </c>
      <c r="N236" s="102">
        <v>50</v>
      </c>
      <c r="O236" s="102">
        <v>0</v>
      </c>
      <c r="P236" s="102">
        <v>63</v>
      </c>
      <c r="Q236" s="104">
        <f>_xlfn.FLOOR.MATH(28+0.4*B236)</f>
        <v>72</v>
      </c>
      <c r="R236" s="102">
        <f>_xlfn.FLOOR.MATH(20+0.1*B236)</f>
        <v>31</v>
      </c>
      <c r="S236" s="102">
        <f>_xlfn.FLOOR.MATH(35+0.35*B236)</f>
        <v>73</v>
      </c>
      <c r="T236" s="105">
        <f>_xlfn.FLOOR.MATH(35+0.52*B236)</f>
        <v>92</v>
      </c>
      <c r="U236" s="102">
        <v>15</v>
      </c>
      <c r="V236" s="102">
        <v>35.3</v>
      </c>
      <c r="W236" s="106" t="s">
        <v>158</v>
      </c>
      <c r="X236" s="106" t="s">
        <v>705</v>
      </c>
      <c r="Y236" s="102" t="s">
        <v>127</v>
      </c>
      <c r="Z236" s="102" t="s">
        <v>128</v>
      </c>
      <c r="AA236" s="104" t="s">
        <v>706</v>
      </c>
      <c r="AB236" s="105">
        <v>18</v>
      </c>
      <c r="AC236" s="104">
        <v>3</v>
      </c>
      <c r="AD236" s="123" t="s">
        <v>707</v>
      </c>
      <c r="AE236" s="104">
        <v>20</v>
      </c>
      <c r="AF236" s="105">
        <v>30</v>
      </c>
      <c r="AG236" s="104">
        <v>0.8</v>
      </c>
      <c r="AH236" s="102">
        <v>1.5</v>
      </c>
      <c r="AI236" s="105">
        <v>0.5</v>
      </c>
      <c r="AJ236" s="104">
        <v>10</v>
      </c>
      <c r="AK236" s="102">
        <v>16</v>
      </c>
      <c r="AL236" s="102">
        <v>10</v>
      </c>
      <c r="AM236" s="105">
        <v>0</v>
      </c>
      <c r="AN236" s="104">
        <v>10</v>
      </c>
      <c r="AO236" s="102">
        <v>0</v>
      </c>
      <c r="AP236" s="102">
        <v>13</v>
      </c>
      <c r="AQ236" s="105">
        <v>17</v>
      </c>
      <c r="AT236" s="110">
        <v>0.0520833333333333</v>
      </c>
      <c r="AU236" s="125"/>
    </row>
    <row r="237" spans="1:46">
      <c r="A237" s="100">
        <v>10024912</v>
      </c>
      <c r="B237" s="101">
        <v>110</v>
      </c>
      <c r="C237" s="102">
        <v>3</v>
      </c>
      <c r="D237" s="103" t="s">
        <v>708</v>
      </c>
      <c r="F237" s="103" t="s">
        <v>49</v>
      </c>
      <c r="G237" s="103">
        <v>1</v>
      </c>
      <c r="H237" s="103">
        <v>2</v>
      </c>
      <c r="I237" s="104" t="s">
        <v>73</v>
      </c>
      <c r="J237" s="102" t="s">
        <v>184</v>
      </c>
      <c r="K237" s="102">
        <v>35</v>
      </c>
      <c r="L237" s="103">
        <v>1</v>
      </c>
      <c r="M237" s="104">
        <v>50</v>
      </c>
      <c r="N237" s="102">
        <v>46</v>
      </c>
      <c r="O237" s="102">
        <v>60</v>
      </c>
      <c r="P237" s="102">
        <v>49</v>
      </c>
      <c r="Q237" s="104">
        <f>_xlfn.FLOOR.MATH(26+0.4*B237)</f>
        <v>70</v>
      </c>
      <c r="R237" s="102">
        <f>_xlfn.FLOOR.MATH(9+0.1*B237)</f>
        <v>20</v>
      </c>
      <c r="S237" s="102">
        <f>_xlfn.FLOOR.MATH(30+0.35*B237)</f>
        <v>68</v>
      </c>
      <c r="T237" s="105">
        <f>_xlfn.FLOOR.MATH(33+0.52*B237)</f>
        <v>90</v>
      </c>
      <c r="U237" s="102">
        <v>17</v>
      </c>
      <c r="V237" s="102">
        <v>32</v>
      </c>
      <c r="W237" s="106" t="s">
        <v>158</v>
      </c>
      <c r="X237" s="106" t="s">
        <v>709</v>
      </c>
      <c r="Y237" s="102" t="s">
        <v>127</v>
      </c>
      <c r="Z237" s="102" t="s">
        <v>128</v>
      </c>
      <c r="AA237" s="104" t="s">
        <v>160</v>
      </c>
      <c r="AB237" s="105">
        <v>6</v>
      </c>
      <c r="AC237" s="104">
        <v>3</v>
      </c>
      <c r="AD237" s="123" t="s">
        <v>710</v>
      </c>
      <c r="AE237" s="104">
        <v>20</v>
      </c>
      <c r="AF237" s="105">
        <v>25</v>
      </c>
      <c r="AG237" s="104">
        <v>0.8</v>
      </c>
      <c r="AH237" s="102">
        <v>1.65</v>
      </c>
      <c r="AI237" s="105">
        <v>0.5</v>
      </c>
      <c r="AJ237" s="104">
        <v>10</v>
      </c>
      <c r="AK237" s="102">
        <v>16</v>
      </c>
      <c r="AL237" s="102">
        <v>10</v>
      </c>
      <c r="AM237" s="105">
        <v>0</v>
      </c>
      <c r="AN237" s="104">
        <v>13</v>
      </c>
      <c r="AO237" s="102">
        <v>20</v>
      </c>
      <c r="AP237" s="102">
        <v>16</v>
      </c>
      <c r="AQ237" s="105">
        <v>10</v>
      </c>
      <c r="AT237" s="110">
        <v>0.0520833333333333</v>
      </c>
    </row>
    <row r="238" ht="26.4" spans="1:48">
      <c r="A238" s="100">
        <v>10025012</v>
      </c>
      <c r="B238" s="101">
        <v>110</v>
      </c>
      <c r="C238" s="102">
        <v>6</v>
      </c>
      <c r="D238" s="103" t="s">
        <v>711</v>
      </c>
      <c r="F238" s="103" t="s">
        <v>49</v>
      </c>
      <c r="G238" s="103">
        <v>2</v>
      </c>
      <c r="H238" s="103">
        <v>2</v>
      </c>
      <c r="I238" s="104" t="s">
        <v>86</v>
      </c>
      <c r="J238" s="102" t="s">
        <v>184</v>
      </c>
      <c r="K238" s="102">
        <v>36</v>
      </c>
      <c r="L238" s="103">
        <v>0</v>
      </c>
      <c r="M238" s="104">
        <v>68</v>
      </c>
      <c r="N238" s="102">
        <v>55</v>
      </c>
      <c r="O238" s="102">
        <v>0</v>
      </c>
      <c r="P238" s="102">
        <v>122</v>
      </c>
      <c r="Q238" s="104">
        <f>_xlfn.FLOOR.MATH(40+0.2*B238)</f>
        <v>62</v>
      </c>
      <c r="R238" s="102">
        <f>_xlfn.FLOOR.MATH(17+0.35*B238)</f>
        <v>55</v>
      </c>
      <c r="S238" s="102">
        <f>_xlfn.FLOOR.MATH(31+0.35*B238)</f>
        <v>69</v>
      </c>
      <c r="T238" s="105">
        <f>_xlfn.FLOOR.MATH(35+0.52*B238)</f>
        <v>92</v>
      </c>
      <c r="U238" s="102">
        <v>15</v>
      </c>
      <c r="V238" s="102">
        <v>32</v>
      </c>
      <c r="W238" s="106" t="s">
        <v>158</v>
      </c>
      <c r="Y238" s="102" t="s">
        <v>127</v>
      </c>
      <c r="Z238" s="102" t="s">
        <v>128</v>
      </c>
      <c r="AA238" s="104">
        <v>0</v>
      </c>
      <c r="AB238" s="105">
        <v>0</v>
      </c>
      <c r="AC238" s="104">
        <v>3</v>
      </c>
      <c r="AD238" s="123" t="s">
        <v>712</v>
      </c>
      <c r="AE238" s="104">
        <v>25</v>
      </c>
      <c r="AF238" s="105">
        <v>35</v>
      </c>
      <c r="AG238" s="104">
        <v>0.8</v>
      </c>
      <c r="AH238" s="102">
        <v>1.5</v>
      </c>
      <c r="AI238" s="105">
        <v>0.45</v>
      </c>
      <c r="AJ238" s="104">
        <v>10</v>
      </c>
      <c r="AK238" s="102">
        <v>16</v>
      </c>
      <c r="AL238" s="102">
        <v>10</v>
      </c>
      <c r="AM238" s="105">
        <v>0</v>
      </c>
      <c r="AN238" s="104">
        <v>19</v>
      </c>
      <c r="AO238" s="102">
        <v>0</v>
      </c>
      <c r="AP238" s="102">
        <v>15</v>
      </c>
      <c r="AQ238" s="105">
        <v>104</v>
      </c>
      <c r="AT238" s="110">
        <v>0.0590277777777778</v>
      </c>
      <c r="AU238" s="125"/>
      <c r="AV238" s="112" t="s">
        <v>713</v>
      </c>
    </row>
    <row r="239" spans="1:47">
      <c r="A239" s="100">
        <v>10025112</v>
      </c>
      <c r="B239" s="101">
        <v>110</v>
      </c>
      <c r="C239" s="102">
        <v>3</v>
      </c>
      <c r="D239" s="103" t="s">
        <v>714</v>
      </c>
      <c r="F239" s="103" t="s">
        <v>49</v>
      </c>
      <c r="G239" s="103">
        <v>2</v>
      </c>
      <c r="H239" s="103">
        <v>2</v>
      </c>
      <c r="I239" s="104" t="s">
        <v>86</v>
      </c>
      <c r="J239" s="102" t="s">
        <v>184</v>
      </c>
      <c r="K239" s="102">
        <v>27</v>
      </c>
      <c r="L239" s="103">
        <v>1</v>
      </c>
      <c r="M239" s="104">
        <v>52</v>
      </c>
      <c r="N239" s="102">
        <v>44</v>
      </c>
      <c r="O239" s="102">
        <v>0</v>
      </c>
      <c r="P239" s="102">
        <v>105</v>
      </c>
      <c r="Q239" s="104">
        <f>_xlfn.FLOOR.MATH(40+0.4*B239)</f>
        <v>84</v>
      </c>
      <c r="R239" s="102">
        <f>_xlfn.FLOOR.MATH(12+0.1*B239)</f>
        <v>23</v>
      </c>
      <c r="S239" s="102">
        <f>_xlfn.FLOOR.MATH(31+0.35*B239)</f>
        <v>69</v>
      </c>
      <c r="T239" s="105">
        <f>_xlfn.FLOOR.MATH(33+0.52*B239)</f>
        <v>90</v>
      </c>
      <c r="U239" s="102">
        <v>15</v>
      </c>
      <c r="V239" s="102">
        <v>32.5</v>
      </c>
      <c r="W239" s="106" t="s">
        <v>158</v>
      </c>
      <c r="Y239" s="102" t="s">
        <v>127</v>
      </c>
      <c r="Z239" s="102" t="s">
        <v>128</v>
      </c>
      <c r="AA239" s="104">
        <v>0</v>
      </c>
      <c r="AB239" s="105">
        <v>0</v>
      </c>
      <c r="AC239" s="104">
        <v>3</v>
      </c>
      <c r="AD239" s="123" t="s">
        <v>715</v>
      </c>
      <c r="AE239" s="104">
        <v>25</v>
      </c>
      <c r="AF239" s="105">
        <v>30</v>
      </c>
      <c r="AG239" s="104">
        <v>0.8</v>
      </c>
      <c r="AH239" s="102">
        <v>1.5</v>
      </c>
      <c r="AI239" s="105">
        <v>0.4</v>
      </c>
      <c r="AJ239" s="104">
        <v>10</v>
      </c>
      <c r="AK239" s="102">
        <v>16</v>
      </c>
      <c r="AL239" s="102">
        <v>10</v>
      </c>
      <c r="AM239" s="105">
        <v>0</v>
      </c>
      <c r="AN239" s="104">
        <v>11</v>
      </c>
      <c r="AO239" s="102">
        <v>0</v>
      </c>
      <c r="AP239" s="102">
        <v>10</v>
      </c>
      <c r="AQ239" s="105">
        <v>79</v>
      </c>
      <c r="AU239" s="125" t="str">
        <f>HYPERLINK("http://www.jianrmod.cn/data/shipGetInfo.html?type=0&amp;cid=10025112","详细")</f>
        <v>详细</v>
      </c>
    </row>
    <row r="240" ht="26.4" spans="1:47">
      <c r="A240" s="100">
        <v>10025212</v>
      </c>
      <c r="B240" s="101">
        <v>110</v>
      </c>
      <c r="C240" s="102">
        <v>4</v>
      </c>
      <c r="D240" s="103" t="s">
        <v>716</v>
      </c>
      <c r="F240" s="103" t="s">
        <v>49</v>
      </c>
      <c r="G240" s="103">
        <v>2</v>
      </c>
      <c r="H240" s="103">
        <v>2</v>
      </c>
      <c r="I240" s="104" t="s">
        <v>86</v>
      </c>
      <c r="J240" s="102" t="s">
        <v>184</v>
      </c>
      <c r="K240" s="102">
        <v>36</v>
      </c>
      <c r="L240" s="103">
        <v>0</v>
      </c>
      <c r="M240" s="104">
        <v>61</v>
      </c>
      <c r="N240" s="102">
        <v>55</v>
      </c>
      <c r="O240" s="102">
        <v>0</v>
      </c>
      <c r="P240" s="102">
        <v>105</v>
      </c>
      <c r="Q240" s="104">
        <f>_xlfn.FLOOR.MATH(30+0.4*B240)</f>
        <v>74</v>
      </c>
      <c r="R240" s="102">
        <f>_xlfn.FLOOR.MATH(12+0.1*B240)</f>
        <v>23</v>
      </c>
      <c r="S240" s="102">
        <f>_xlfn.FLOOR.MATH(31+0.35*B240)</f>
        <v>69</v>
      </c>
      <c r="T240" s="105">
        <f>_xlfn.FLOOR.MATH(34+0.52*B240)</f>
        <v>91</v>
      </c>
      <c r="U240" s="102">
        <v>20</v>
      </c>
      <c r="V240" s="102">
        <v>32.5</v>
      </c>
      <c r="W240" s="106" t="s">
        <v>158</v>
      </c>
      <c r="Y240" s="102" t="s">
        <v>127</v>
      </c>
      <c r="Z240" s="102" t="s">
        <v>128</v>
      </c>
      <c r="AA240" s="104" t="s">
        <v>173</v>
      </c>
      <c r="AB240" s="105">
        <v>9</v>
      </c>
      <c r="AC240" s="104">
        <v>3</v>
      </c>
      <c r="AD240" s="123" t="s">
        <v>229</v>
      </c>
      <c r="AE240" s="104">
        <v>25</v>
      </c>
      <c r="AF240" s="105">
        <v>30</v>
      </c>
      <c r="AG240" s="104">
        <v>0.8</v>
      </c>
      <c r="AH240" s="102">
        <v>1.5</v>
      </c>
      <c r="AI240" s="105">
        <v>0.4</v>
      </c>
      <c r="AJ240" s="104">
        <v>10</v>
      </c>
      <c r="AK240" s="102">
        <v>16</v>
      </c>
      <c r="AL240" s="102">
        <v>10</v>
      </c>
      <c r="AM240" s="105">
        <v>0</v>
      </c>
      <c r="AN240" s="104">
        <v>16</v>
      </c>
      <c r="AO240" s="102">
        <v>0</v>
      </c>
      <c r="AP240" s="102">
        <v>15</v>
      </c>
      <c r="AQ240" s="105">
        <v>79</v>
      </c>
      <c r="AR240" s="108" t="s">
        <v>717</v>
      </c>
      <c r="AT240" s="110">
        <v>0.0541666666666667</v>
      </c>
      <c r="AU240" s="125"/>
    </row>
    <row r="241" spans="1:47">
      <c r="A241" s="100">
        <v>10025312</v>
      </c>
      <c r="B241" s="101">
        <v>110</v>
      </c>
      <c r="C241" s="102">
        <v>3</v>
      </c>
      <c r="D241" s="103" t="s">
        <v>718</v>
      </c>
      <c r="F241" s="103" t="s">
        <v>49</v>
      </c>
      <c r="G241" s="103">
        <v>0</v>
      </c>
      <c r="H241" s="103">
        <v>2</v>
      </c>
      <c r="I241" s="104" t="s">
        <v>233</v>
      </c>
      <c r="J241" s="102" t="s">
        <v>184</v>
      </c>
      <c r="K241" s="102">
        <v>23</v>
      </c>
      <c r="L241" s="103">
        <v>1</v>
      </c>
      <c r="M241" s="104">
        <v>39</v>
      </c>
      <c r="N241" s="102">
        <v>36</v>
      </c>
      <c r="O241" s="102">
        <v>50</v>
      </c>
      <c r="P241" s="102">
        <v>40</v>
      </c>
      <c r="Q241" s="104">
        <f>_xlfn.FLOOR.MATH(20+0.4*B241)</f>
        <v>64</v>
      </c>
      <c r="R241" s="102">
        <f>_xlfn.FLOOR.MATH(7+0.1*B241)</f>
        <v>18</v>
      </c>
      <c r="S241" s="102">
        <f>_xlfn.FLOOR.MATH(15+0.35*B241)</f>
        <v>53</v>
      </c>
      <c r="T241" s="105">
        <f>_xlfn.FLOOR.MATH(33+0.52*B241)</f>
        <v>90</v>
      </c>
      <c r="U241" s="102">
        <v>15</v>
      </c>
      <c r="V241" s="102">
        <v>20</v>
      </c>
      <c r="W241" s="106" t="s">
        <v>158</v>
      </c>
      <c r="Y241" s="102" t="s">
        <v>127</v>
      </c>
      <c r="Z241" s="102" t="s">
        <v>128</v>
      </c>
      <c r="AA241" s="104">
        <v>0</v>
      </c>
      <c r="AB241" s="105">
        <v>0</v>
      </c>
      <c r="AC241" s="104">
        <v>3</v>
      </c>
      <c r="AD241" s="123" t="s">
        <v>494</v>
      </c>
      <c r="AE241" s="104">
        <v>15</v>
      </c>
      <c r="AF241" s="105">
        <v>20</v>
      </c>
      <c r="AG241" s="104">
        <v>0.64</v>
      </c>
      <c r="AH241" s="102">
        <v>1.2</v>
      </c>
      <c r="AI241" s="105">
        <v>0.5</v>
      </c>
      <c r="AJ241" s="104">
        <v>10</v>
      </c>
      <c r="AK241" s="102">
        <v>16</v>
      </c>
      <c r="AL241" s="102">
        <v>10</v>
      </c>
      <c r="AM241" s="105">
        <v>0</v>
      </c>
      <c r="AN241" s="104">
        <v>7</v>
      </c>
      <c r="AO241" s="102">
        <v>10</v>
      </c>
      <c r="AP241" s="102">
        <v>8</v>
      </c>
      <c r="AQ241" s="105">
        <v>5</v>
      </c>
      <c r="AU241" s="125" t="str">
        <f>HYPERLINK("http://www.jianrmod.cn/data/shipGetInfo.html?type=0&amp;cid=10025312","详细")</f>
        <v>详细</v>
      </c>
    </row>
    <row r="242" spans="1:47">
      <c r="A242" s="100">
        <v>10025412</v>
      </c>
      <c r="B242" s="101">
        <v>110</v>
      </c>
      <c r="C242" s="102">
        <v>3</v>
      </c>
      <c r="D242" s="103" t="s">
        <v>719</v>
      </c>
      <c r="F242" s="103" t="s">
        <v>49</v>
      </c>
      <c r="G242" s="103">
        <v>0</v>
      </c>
      <c r="H242" s="103">
        <v>2</v>
      </c>
      <c r="I242" s="104" t="s">
        <v>233</v>
      </c>
      <c r="J242" s="102" t="s">
        <v>184</v>
      </c>
      <c r="K242" s="102">
        <v>24</v>
      </c>
      <c r="L242" s="103">
        <v>0</v>
      </c>
      <c r="M242" s="104">
        <v>39</v>
      </c>
      <c r="N242" s="102">
        <v>36</v>
      </c>
      <c r="O242" s="102">
        <v>50</v>
      </c>
      <c r="P242" s="102">
        <v>40</v>
      </c>
      <c r="Q242" s="104">
        <f>_xlfn.FLOOR.MATH(20+0.4*B242)</f>
        <v>64</v>
      </c>
      <c r="R242" s="102">
        <f>_xlfn.FLOOR.MATH(7+0.1*B242)</f>
        <v>18</v>
      </c>
      <c r="S242" s="102">
        <f>_xlfn.FLOOR.MATH(15+0.35*B242)</f>
        <v>53</v>
      </c>
      <c r="T242" s="105">
        <f>_xlfn.FLOOR.MATH(33+0.52*B242)</f>
        <v>90</v>
      </c>
      <c r="U242" s="102">
        <v>15</v>
      </c>
      <c r="V242" s="102">
        <v>20</v>
      </c>
      <c r="W242" s="106" t="s">
        <v>158</v>
      </c>
      <c r="Y242" s="102" t="s">
        <v>127</v>
      </c>
      <c r="Z242" s="102" t="s">
        <v>128</v>
      </c>
      <c r="AA242" s="104">
        <v>0</v>
      </c>
      <c r="AB242" s="105">
        <v>0</v>
      </c>
      <c r="AC242" s="104">
        <v>3</v>
      </c>
      <c r="AD242" s="123" t="s">
        <v>494</v>
      </c>
      <c r="AE242" s="104">
        <v>15</v>
      </c>
      <c r="AF242" s="105">
        <v>20</v>
      </c>
      <c r="AG242" s="104">
        <v>0.64</v>
      </c>
      <c r="AH242" s="102">
        <v>1.2</v>
      </c>
      <c r="AI242" s="105">
        <v>0.5</v>
      </c>
      <c r="AJ242" s="104">
        <v>10</v>
      </c>
      <c r="AK242" s="102">
        <v>16</v>
      </c>
      <c r="AL242" s="102">
        <v>10</v>
      </c>
      <c r="AM242" s="105">
        <v>0</v>
      </c>
      <c r="AN242" s="104">
        <v>7</v>
      </c>
      <c r="AO242" s="102">
        <v>10</v>
      </c>
      <c r="AP242" s="102">
        <v>8</v>
      </c>
      <c r="AQ242" s="105">
        <v>5</v>
      </c>
      <c r="AU242" s="125" t="str">
        <f>HYPERLINK("http://www.jianrmod.cn/data/shipGetInfo.html?type=0&amp;cid=10025412","详细")</f>
        <v>详细</v>
      </c>
    </row>
    <row r="243" spans="1:46">
      <c r="A243" s="100">
        <v>10025911</v>
      </c>
      <c r="B243" s="101">
        <v>110</v>
      </c>
      <c r="C243" s="102">
        <v>4</v>
      </c>
      <c r="D243" s="103" t="s">
        <v>720</v>
      </c>
      <c r="F243" s="103" t="s">
        <v>49</v>
      </c>
      <c r="G243" s="103">
        <v>1</v>
      </c>
      <c r="H243" s="103">
        <v>2</v>
      </c>
      <c r="I243" s="104" t="s">
        <v>721</v>
      </c>
      <c r="J243" s="102" t="s">
        <v>239</v>
      </c>
      <c r="K243" s="102">
        <v>24</v>
      </c>
      <c r="L243" s="103">
        <v>0</v>
      </c>
      <c r="M243" s="104">
        <v>50</v>
      </c>
      <c r="N243" s="102">
        <v>46</v>
      </c>
      <c r="O243" s="102">
        <v>0</v>
      </c>
      <c r="P243" s="102">
        <v>40</v>
      </c>
      <c r="Q243" s="104">
        <f>_xlfn.FLOOR.MATH(0+0*B243)</f>
        <v>0</v>
      </c>
      <c r="R243" s="102">
        <f>_xlfn.FLOOR.MATH(9+0.1*B243)</f>
        <v>20</v>
      </c>
      <c r="S243" s="102">
        <f>_xlfn.FLOOR.MATH(13+0.3*B243)</f>
        <v>46</v>
      </c>
      <c r="T243" s="105">
        <f>_xlfn.FLOOR.MATH(33+0.5*B243)</f>
        <v>88</v>
      </c>
      <c r="U243" s="102">
        <v>17</v>
      </c>
      <c r="V243" s="102">
        <v>15.5</v>
      </c>
      <c r="W243" s="106" t="s">
        <v>52</v>
      </c>
      <c r="Y243" s="102" t="s">
        <v>241</v>
      </c>
      <c r="Z243" s="102" t="s">
        <v>128</v>
      </c>
      <c r="AA243" s="104">
        <v>0</v>
      </c>
      <c r="AB243" s="105">
        <v>0</v>
      </c>
      <c r="AC243" s="104">
        <v>2</v>
      </c>
      <c r="AD243" s="123" t="s">
        <v>722</v>
      </c>
      <c r="AE243" s="104">
        <v>12</v>
      </c>
      <c r="AF243" s="105">
        <v>20</v>
      </c>
      <c r="AG243" s="104">
        <v>0.48</v>
      </c>
      <c r="AH243" s="102">
        <v>1.05</v>
      </c>
      <c r="AI243" s="105">
        <v>0.4</v>
      </c>
      <c r="AJ243" s="104">
        <v>20</v>
      </c>
      <c r="AK243" s="102">
        <v>20</v>
      </c>
      <c r="AL243" s="102">
        <v>30</v>
      </c>
      <c r="AM243" s="105">
        <v>0</v>
      </c>
      <c r="AN243" s="104">
        <v>20</v>
      </c>
      <c r="AO243" s="102">
        <v>0</v>
      </c>
      <c r="AP243" s="102">
        <v>26</v>
      </c>
      <c r="AQ243" s="105">
        <v>0</v>
      </c>
      <c r="AT243" s="110">
        <v>0.0243055555555556</v>
      </c>
    </row>
    <row r="244" spans="1:47">
      <c r="A244" s="100">
        <v>10026011</v>
      </c>
      <c r="B244" s="101">
        <v>110</v>
      </c>
      <c r="C244" s="102">
        <v>1</v>
      </c>
      <c r="D244" s="103" t="s">
        <v>723</v>
      </c>
      <c r="E244" s="103" t="s">
        <v>724</v>
      </c>
      <c r="F244" s="103" t="s">
        <v>49</v>
      </c>
      <c r="G244" s="103">
        <v>1</v>
      </c>
      <c r="H244" s="103">
        <v>2</v>
      </c>
      <c r="I244" s="104" t="s">
        <v>60</v>
      </c>
      <c r="J244" s="102" t="s">
        <v>246</v>
      </c>
      <c r="K244" s="102">
        <v>13</v>
      </c>
      <c r="L244" s="103">
        <v>-1</v>
      </c>
      <c r="M244" s="104">
        <v>27</v>
      </c>
      <c r="N244" s="102">
        <v>20</v>
      </c>
      <c r="O244" s="102">
        <v>68</v>
      </c>
      <c r="P244" s="102">
        <v>38</v>
      </c>
      <c r="Q244" s="104">
        <f>_xlfn.FLOOR.MATH(16+0.3*B244)</f>
        <v>49</v>
      </c>
      <c r="R244" s="102">
        <f>_xlfn.FLOOR.MATH(4+0.1*B244)</f>
        <v>15</v>
      </c>
      <c r="S244" s="102">
        <f>_xlfn.FLOOR.MATH(40+0.4*B244)</f>
        <v>84</v>
      </c>
      <c r="T244" s="105">
        <f>_xlfn.FLOOR.MATH(30+0.52*B244)</f>
        <v>87</v>
      </c>
      <c r="U244" s="102">
        <v>12</v>
      </c>
      <c r="V244" s="102">
        <v>37</v>
      </c>
      <c r="W244" s="106" t="s">
        <v>115</v>
      </c>
      <c r="Y244" s="102" t="s">
        <v>241</v>
      </c>
      <c r="Z244" s="102" t="s">
        <v>128</v>
      </c>
      <c r="AA244" s="104">
        <v>0</v>
      </c>
      <c r="AB244" s="105">
        <v>0</v>
      </c>
      <c r="AC244" s="104">
        <v>2</v>
      </c>
      <c r="AD244" s="123" t="s">
        <v>725</v>
      </c>
      <c r="AE244" s="104">
        <v>15</v>
      </c>
      <c r="AF244" s="105">
        <v>15</v>
      </c>
      <c r="AG244" s="104">
        <v>0.48</v>
      </c>
      <c r="AH244" s="102">
        <v>0.9</v>
      </c>
      <c r="AI244" s="105">
        <v>0.5</v>
      </c>
      <c r="AJ244" s="104">
        <v>2</v>
      </c>
      <c r="AK244" s="102">
        <v>4</v>
      </c>
      <c r="AL244" s="102">
        <v>3</v>
      </c>
      <c r="AM244" s="105">
        <v>0</v>
      </c>
      <c r="AN244" s="104">
        <v>0</v>
      </c>
      <c r="AO244" s="102">
        <v>21</v>
      </c>
      <c r="AP244" s="102">
        <v>5</v>
      </c>
      <c r="AQ244" s="105">
        <v>0</v>
      </c>
      <c r="AT244" s="110">
        <v>0.0125</v>
      </c>
      <c r="AU244" s="125"/>
    </row>
    <row r="245" spans="1:47">
      <c r="A245" s="100">
        <v>10026111</v>
      </c>
      <c r="B245" s="101">
        <v>110</v>
      </c>
      <c r="C245" s="102">
        <v>3</v>
      </c>
      <c r="D245" s="103" t="s">
        <v>726</v>
      </c>
      <c r="E245" s="103" t="s">
        <v>727</v>
      </c>
      <c r="F245" s="103" t="s">
        <v>49</v>
      </c>
      <c r="G245" s="103">
        <v>1</v>
      </c>
      <c r="H245" s="103">
        <v>2</v>
      </c>
      <c r="I245" s="104" t="s">
        <v>60</v>
      </c>
      <c r="J245" s="102" t="s">
        <v>246</v>
      </c>
      <c r="K245" s="102">
        <v>15</v>
      </c>
      <c r="L245" s="103">
        <v>1</v>
      </c>
      <c r="M245" s="104">
        <v>29</v>
      </c>
      <c r="N245" s="102">
        <v>20</v>
      </c>
      <c r="O245" s="102">
        <v>74</v>
      </c>
      <c r="P245" s="102">
        <v>40</v>
      </c>
      <c r="Q245" s="104">
        <f>_xlfn.FLOOR.MATH(21+0.3*B245)</f>
        <v>54</v>
      </c>
      <c r="R245" s="102">
        <f>_xlfn.FLOOR.MATH(5+0.1*B245)</f>
        <v>16</v>
      </c>
      <c r="S245" s="102">
        <f>_xlfn.FLOOR.MATH(38+0.4*B245)</f>
        <v>82</v>
      </c>
      <c r="T245" s="105">
        <f>_xlfn.FLOOR.MATH(30+0.52*B245)</f>
        <v>87</v>
      </c>
      <c r="U245" s="102">
        <v>15</v>
      </c>
      <c r="V245" s="102">
        <v>34</v>
      </c>
      <c r="W245" s="106" t="s">
        <v>115</v>
      </c>
      <c r="Y245" s="102" t="s">
        <v>241</v>
      </c>
      <c r="Z245" s="102" t="s">
        <v>128</v>
      </c>
      <c r="AA245" s="104">
        <v>0</v>
      </c>
      <c r="AB245" s="105">
        <v>0</v>
      </c>
      <c r="AC245" s="104">
        <v>2</v>
      </c>
      <c r="AD245" s="123" t="s">
        <v>517</v>
      </c>
      <c r="AE245" s="104">
        <v>15</v>
      </c>
      <c r="AF245" s="105">
        <v>15</v>
      </c>
      <c r="AG245" s="104">
        <v>0.48</v>
      </c>
      <c r="AH245" s="102">
        <v>0.9</v>
      </c>
      <c r="AI245" s="105">
        <v>0.5</v>
      </c>
      <c r="AJ245" s="104">
        <v>4</v>
      </c>
      <c r="AK245" s="102">
        <v>8</v>
      </c>
      <c r="AL245" s="102">
        <v>6</v>
      </c>
      <c r="AM245" s="105">
        <v>0</v>
      </c>
      <c r="AN245" s="104">
        <v>0</v>
      </c>
      <c r="AO245" s="102">
        <v>27</v>
      </c>
      <c r="AP245" s="102">
        <v>5</v>
      </c>
      <c r="AQ245" s="105">
        <v>0</v>
      </c>
      <c r="AU245" s="125" t="str">
        <f>HYPERLINK("http://www.jianrmod.cn/data/shipGetInfo.html?type=0&amp;cid=10026111","详细")</f>
        <v>详细</v>
      </c>
    </row>
    <row r="246" ht="26.4" spans="1:47">
      <c r="A246" s="100">
        <v>10026211</v>
      </c>
      <c r="B246" s="101">
        <v>110</v>
      </c>
      <c r="C246" s="102">
        <v>4</v>
      </c>
      <c r="D246" s="103" t="s">
        <v>728</v>
      </c>
      <c r="E246" s="103" t="s">
        <v>729</v>
      </c>
      <c r="F246" s="103" t="s">
        <v>49</v>
      </c>
      <c r="G246" s="103">
        <v>1</v>
      </c>
      <c r="H246" s="103">
        <v>2</v>
      </c>
      <c r="I246" s="104" t="s">
        <v>60</v>
      </c>
      <c r="J246" s="102" t="s">
        <v>246</v>
      </c>
      <c r="K246" s="102">
        <v>16</v>
      </c>
      <c r="L246" s="103">
        <v>0</v>
      </c>
      <c r="M246" s="104">
        <v>29</v>
      </c>
      <c r="N246" s="102">
        <v>20</v>
      </c>
      <c r="O246" s="102">
        <v>74</v>
      </c>
      <c r="P246" s="102">
        <v>40</v>
      </c>
      <c r="Q246" s="104">
        <f>_xlfn.FLOOR.MATH(21+0.3*B246)</f>
        <v>54</v>
      </c>
      <c r="R246" s="102">
        <f>_xlfn.FLOOR.MATH(5+0.1*B246)</f>
        <v>16</v>
      </c>
      <c r="S246" s="102">
        <f>_xlfn.FLOOR.MATH(44+0.4*B246)</f>
        <v>88</v>
      </c>
      <c r="T246" s="105">
        <f>_xlfn.FLOOR.MATH(30+0.52*B246)</f>
        <v>87</v>
      </c>
      <c r="U246" s="102">
        <v>35</v>
      </c>
      <c r="V246" s="102">
        <v>34</v>
      </c>
      <c r="W246" s="106" t="s">
        <v>115</v>
      </c>
      <c r="Y246" s="102" t="s">
        <v>241</v>
      </c>
      <c r="Z246" s="102" t="s">
        <v>128</v>
      </c>
      <c r="AA246" s="104">
        <v>0</v>
      </c>
      <c r="AB246" s="105">
        <v>0</v>
      </c>
      <c r="AC246" s="104">
        <v>2</v>
      </c>
      <c r="AD246" s="123" t="s">
        <v>517</v>
      </c>
      <c r="AE246" s="104">
        <v>15</v>
      </c>
      <c r="AF246" s="105">
        <v>15</v>
      </c>
      <c r="AG246" s="104">
        <v>0.48</v>
      </c>
      <c r="AH246" s="102">
        <v>0.9</v>
      </c>
      <c r="AI246" s="105">
        <v>0.5</v>
      </c>
      <c r="AJ246" s="104">
        <v>4</v>
      </c>
      <c r="AK246" s="102">
        <v>8</v>
      </c>
      <c r="AL246" s="102">
        <v>6</v>
      </c>
      <c r="AM246" s="105">
        <v>0</v>
      </c>
      <c r="AN246" s="104">
        <v>0</v>
      </c>
      <c r="AO246" s="102">
        <v>27</v>
      </c>
      <c r="AP246" s="102">
        <v>5</v>
      </c>
      <c r="AQ246" s="105">
        <v>0</v>
      </c>
      <c r="AR246" s="108" t="s">
        <v>730</v>
      </c>
      <c r="AT246" s="110">
        <v>0.0145833333333333</v>
      </c>
      <c r="AU246" s="125"/>
    </row>
    <row r="247" spans="1:46">
      <c r="A247" s="100">
        <v>10026311</v>
      </c>
      <c r="B247" s="101">
        <v>110</v>
      </c>
      <c r="C247" s="102">
        <v>3</v>
      </c>
      <c r="D247" s="103" t="s">
        <v>731</v>
      </c>
      <c r="E247" s="103" t="s">
        <v>732</v>
      </c>
      <c r="F247" s="103" t="s">
        <v>49</v>
      </c>
      <c r="G247" s="103">
        <v>1</v>
      </c>
      <c r="H247" s="103">
        <v>2</v>
      </c>
      <c r="I247" s="104" t="s">
        <v>60</v>
      </c>
      <c r="J247" s="102" t="s">
        <v>246</v>
      </c>
      <c r="K247" s="102">
        <v>15</v>
      </c>
      <c r="L247" s="103">
        <v>1</v>
      </c>
      <c r="M247" s="104">
        <v>29</v>
      </c>
      <c r="N247" s="102">
        <v>20</v>
      </c>
      <c r="O247" s="102">
        <v>74</v>
      </c>
      <c r="P247" s="102">
        <v>40</v>
      </c>
      <c r="Q247" s="104">
        <f>_xlfn.FLOOR.MATH(21+0.3*B247)</f>
        <v>54</v>
      </c>
      <c r="R247" s="102">
        <f>_xlfn.FLOOR.MATH(5+0.1*B247)</f>
        <v>16</v>
      </c>
      <c r="S247" s="102">
        <f>_xlfn.FLOOR.MATH(38+0.4*B247)</f>
        <v>82</v>
      </c>
      <c r="T247" s="105">
        <f>_xlfn.FLOOR.MATH(30+0.52*B247)</f>
        <v>87</v>
      </c>
      <c r="U247" s="102">
        <v>15</v>
      </c>
      <c r="V247" s="102">
        <v>34</v>
      </c>
      <c r="W247" s="106" t="s">
        <v>115</v>
      </c>
      <c r="Y247" s="102" t="s">
        <v>241</v>
      </c>
      <c r="Z247" s="102" t="s">
        <v>128</v>
      </c>
      <c r="AA247" s="104">
        <v>0</v>
      </c>
      <c r="AB247" s="105">
        <v>0</v>
      </c>
      <c r="AC247" s="104">
        <v>2</v>
      </c>
      <c r="AD247" s="123" t="s">
        <v>517</v>
      </c>
      <c r="AE247" s="104">
        <v>15</v>
      </c>
      <c r="AF247" s="105">
        <v>15</v>
      </c>
      <c r="AG247" s="104">
        <v>0.48</v>
      </c>
      <c r="AH247" s="102">
        <v>0.9</v>
      </c>
      <c r="AI247" s="105">
        <v>0.5</v>
      </c>
      <c r="AJ247" s="104">
        <v>4</v>
      </c>
      <c r="AK247" s="102">
        <v>8</v>
      </c>
      <c r="AL247" s="102">
        <v>6</v>
      </c>
      <c r="AM247" s="105">
        <v>0</v>
      </c>
      <c r="AN247" s="104">
        <v>0</v>
      </c>
      <c r="AO247" s="102">
        <v>27</v>
      </c>
      <c r="AP247" s="102">
        <v>5</v>
      </c>
      <c r="AQ247" s="105">
        <v>0</v>
      </c>
      <c r="AT247" s="110">
        <v>0.0138888888888889</v>
      </c>
    </row>
    <row r="248" spans="1:47">
      <c r="A248" s="100">
        <v>10026411</v>
      </c>
      <c r="B248" s="101">
        <v>110</v>
      </c>
      <c r="C248" s="102">
        <v>4</v>
      </c>
      <c r="D248" s="103" t="s">
        <v>733</v>
      </c>
      <c r="E248" s="103" t="s">
        <v>734</v>
      </c>
      <c r="F248" s="103" t="s">
        <v>49</v>
      </c>
      <c r="G248" s="103">
        <v>1</v>
      </c>
      <c r="H248" s="103">
        <v>2</v>
      </c>
      <c r="I248" s="104" t="s">
        <v>60</v>
      </c>
      <c r="J248" s="102" t="s">
        <v>246</v>
      </c>
      <c r="K248" s="102">
        <v>15</v>
      </c>
      <c r="L248" s="103">
        <v>1</v>
      </c>
      <c r="M248" s="104">
        <v>29</v>
      </c>
      <c r="N248" s="102">
        <v>20</v>
      </c>
      <c r="O248" s="102">
        <v>74</v>
      </c>
      <c r="P248" s="102">
        <v>40</v>
      </c>
      <c r="Q248" s="104">
        <f>_xlfn.FLOOR.MATH(21+0.3*B248)</f>
        <v>54</v>
      </c>
      <c r="R248" s="102">
        <f>_xlfn.FLOOR.MATH(5+0.1*B248)</f>
        <v>16</v>
      </c>
      <c r="S248" s="102">
        <f>_xlfn.FLOOR.MATH(38+0.4*B248)</f>
        <v>82</v>
      </c>
      <c r="T248" s="105">
        <f>_xlfn.FLOOR.MATH(30+0.52*B248)</f>
        <v>87</v>
      </c>
      <c r="U248" s="102">
        <v>15</v>
      </c>
      <c r="V248" s="102">
        <v>34</v>
      </c>
      <c r="W248" s="106" t="s">
        <v>115</v>
      </c>
      <c r="Y248" s="102" t="s">
        <v>241</v>
      </c>
      <c r="Z248" s="102" t="s">
        <v>128</v>
      </c>
      <c r="AA248" s="104">
        <v>0</v>
      </c>
      <c r="AB248" s="105">
        <v>0</v>
      </c>
      <c r="AC248" s="104">
        <v>2</v>
      </c>
      <c r="AD248" s="123" t="s">
        <v>517</v>
      </c>
      <c r="AE248" s="104">
        <v>15</v>
      </c>
      <c r="AF248" s="105">
        <v>15</v>
      </c>
      <c r="AG248" s="104">
        <v>0.48</v>
      </c>
      <c r="AH248" s="102">
        <v>0.9</v>
      </c>
      <c r="AI248" s="105">
        <v>0.5</v>
      </c>
      <c r="AJ248" s="104">
        <v>4</v>
      </c>
      <c r="AK248" s="102">
        <v>8</v>
      </c>
      <c r="AL248" s="102">
        <v>6</v>
      </c>
      <c r="AM248" s="105">
        <v>0</v>
      </c>
      <c r="AN248" s="104">
        <v>0</v>
      </c>
      <c r="AO248" s="102">
        <v>27</v>
      </c>
      <c r="AP248" s="102">
        <v>5</v>
      </c>
      <c r="AQ248" s="105">
        <v>0</v>
      </c>
      <c r="AT248" s="110">
        <v>0.0138888888888889</v>
      </c>
      <c r="AU248" s="125"/>
    </row>
    <row r="249" spans="1:48">
      <c r="A249" s="100">
        <v>10026511</v>
      </c>
      <c r="B249" s="101">
        <v>110</v>
      </c>
      <c r="C249" s="102">
        <v>4</v>
      </c>
      <c r="D249" s="103" t="s">
        <v>735</v>
      </c>
      <c r="E249" s="103" t="s">
        <v>736</v>
      </c>
      <c r="F249" s="103" t="s">
        <v>49</v>
      </c>
      <c r="G249" s="103">
        <v>1</v>
      </c>
      <c r="H249" s="103">
        <v>2</v>
      </c>
      <c r="I249" s="104" t="s">
        <v>60</v>
      </c>
      <c r="J249" s="102" t="s">
        <v>246</v>
      </c>
      <c r="K249" s="102">
        <v>16</v>
      </c>
      <c r="L249" s="103">
        <v>0</v>
      </c>
      <c r="M249" s="104">
        <v>30</v>
      </c>
      <c r="N249" s="102">
        <v>21</v>
      </c>
      <c r="O249" s="102">
        <v>74</v>
      </c>
      <c r="P249" s="102">
        <v>41</v>
      </c>
      <c r="Q249" s="104">
        <f>_xlfn.FLOOR.MATH(24+0.3*B249)</f>
        <v>57</v>
      </c>
      <c r="R249" s="102">
        <f>_xlfn.FLOOR.MATH(6+0.1*B249)</f>
        <v>17</v>
      </c>
      <c r="S249" s="102">
        <f>_xlfn.FLOOR.MATH(37+0.4*B249)</f>
        <v>81</v>
      </c>
      <c r="T249" s="105">
        <f>_xlfn.FLOOR.MATH(31+0.52*B249)</f>
        <v>88</v>
      </c>
      <c r="U249" s="102">
        <v>9</v>
      </c>
      <c r="V249" s="102">
        <v>34</v>
      </c>
      <c r="W249" s="106" t="s">
        <v>115</v>
      </c>
      <c r="X249" s="106" t="s">
        <v>737</v>
      </c>
      <c r="Y249" s="102" t="s">
        <v>241</v>
      </c>
      <c r="Z249" s="102" t="s">
        <v>128</v>
      </c>
      <c r="AA249" s="104">
        <v>0</v>
      </c>
      <c r="AB249" s="105">
        <v>0</v>
      </c>
      <c r="AC249" s="104">
        <v>2</v>
      </c>
      <c r="AD249" s="123" t="s">
        <v>738</v>
      </c>
      <c r="AE249" s="104">
        <v>15</v>
      </c>
      <c r="AF249" s="105">
        <v>20</v>
      </c>
      <c r="AG249" s="104">
        <v>0.48</v>
      </c>
      <c r="AH249" s="102">
        <v>0.9</v>
      </c>
      <c r="AI249" s="105">
        <v>0.5</v>
      </c>
      <c r="AJ249" s="104">
        <v>4</v>
      </c>
      <c r="AK249" s="102">
        <v>8</v>
      </c>
      <c r="AL249" s="102">
        <v>6</v>
      </c>
      <c r="AM249" s="105">
        <v>0</v>
      </c>
      <c r="AN249" s="104">
        <v>0</v>
      </c>
      <c r="AO249" s="102">
        <v>27</v>
      </c>
      <c r="AP249" s="102">
        <v>6</v>
      </c>
      <c r="AQ249" s="105">
        <v>0</v>
      </c>
      <c r="AT249" s="110">
        <v>0.0138888888888889</v>
      </c>
      <c r="AV249" s="112" t="s">
        <v>739</v>
      </c>
    </row>
    <row r="250" spans="1:47">
      <c r="A250" s="100">
        <v>10026711</v>
      </c>
      <c r="B250" s="101">
        <v>110</v>
      </c>
      <c r="C250" s="102">
        <v>5</v>
      </c>
      <c r="D250" s="103" t="s">
        <v>740</v>
      </c>
      <c r="E250" s="103" t="s">
        <v>741</v>
      </c>
      <c r="F250" s="103" t="s">
        <v>49</v>
      </c>
      <c r="G250" s="103">
        <v>2</v>
      </c>
      <c r="H250" s="103">
        <v>2</v>
      </c>
      <c r="I250" s="104" t="s">
        <v>60</v>
      </c>
      <c r="J250" s="102" t="s">
        <v>246</v>
      </c>
      <c r="K250" s="102">
        <v>20</v>
      </c>
      <c r="L250" s="103">
        <v>0</v>
      </c>
      <c r="M250" s="104">
        <v>30</v>
      </c>
      <c r="N250" s="102">
        <v>22</v>
      </c>
      <c r="O250" s="102">
        <v>95</v>
      </c>
      <c r="P250" s="102">
        <v>43</v>
      </c>
      <c r="Q250" s="104">
        <f>_xlfn.FLOOR.MATH(21+0.3*B250)</f>
        <v>54</v>
      </c>
      <c r="R250" s="102">
        <f>_xlfn.FLOOR.MATH(8+0.1*B250)</f>
        <v>19</v>
      </c>
      <c r="S250" s="102">
        <f>_xlfn.FLOOR.MATH(50+0.4*B250)</f>
        <v>94</v>
      </c>
      <c r="T250" s="105">
        <f>_xlfn.FLOOR.MATH(32+0.52*B250)</f>
        <v>89</v>
      </c>
      <c r="U250" s="102">
        <v>10</v>
      </c>
      <c r="V250" s="102">
        <v>40</v>
      </c>
      <c r="W250" s="106" t="s">
        <v>115</v>
      </c>
      <c r="Y250" s="102" t="s">
        <v>241</v>
      </c>
      <c r="Z250" s="102" t="s">
        <v>128</v>
      </c>
      <c r="AA250" s="104">
        <v>0</v>
      </c>
      <c r="AB250" s="105">
        <v>0</v>
      </c>
      <c r="AC250" s="104">
        <v>2</v>
      </c>
      <c r="AD250" s="107" t="s">
        <v>742</v>
      </c>
      <c r="AE250" s="104">
        <v>15</v>
      </c>
      <c r="AF250" s="105">
        <v>20</v>
      </c>
      <c r="AG250" s="104">
        <v>0.48</v>
      </c>
      <c r="AH250" s="102">
        <v>0.9</v>
      </c>
      <c r="AI250" s="105">
        <v>0.5</v>
      </c>
      <c r="AJ250" s="104">
        <v>4</v>
      </c>
      <c r="AK250" s="102">
        <v>8</v>
      </c>
      <c r="AL250" s="102">
        <v>6</v>
      </c>
      <c r="AM250" s="105">
        <v>0</v>
      </c>
      <c r="AN250" s="104">
        <v>0</v>
      </c>
      <c r="AO250" s="102">
        <v>48</v>
      </c>
      <c r="AP250" s="102">
        <v>7</v>
      </c>
      <c r="AQ250" s="105">
        <v>0</v>
      </c>
      <c r="AU250" s="125" t="str">
        <f>HYPERLINK("http://www.jianrmod.cn/data/shipGetInfo.html?type=0&amp;cid=10026711","详细")</f>
        <v>详细</v>
      </c>
    </row>
    <row r="251" spans="1:47">
      <c r="A251" s="100">
        <v>10026811</v>
      </c>
      <c r="B251" s="101">
        <v>110</v>
      </c>
      <c r="C251" s="102">
        <v>1</v>
      </c>
      <c r="D251" s="103" t="s">
        <v>743</v>
      </c>
      <c r="E251" s="103" t="s">
        <v>744</v>
      </c>
      <c r="F251" s="103" t="s">
        <v>49</v>
      </c>
      <c r="G251" s="103">
        <v>1</v>
      </c>
      <c r="H251" s="103">
        <v>2</v>
      </c>
      <c r="I251" s="104" t="s">
        <v>60</v>
      </c>
      <c r="J251" s="102" t="s">
        <v>246</v>
      </c>
      <c r="K251" s="102">
        <v>12</v>
      </c>
      <c r="L251" s="103">
        <v>0</v>
      </c>
      <c r="M251" s="104">
        <v>26</v>
      </c>
      <c r="N251" s="102">
        <v>20</v>
      </c>
      <c r="O251" s="102">
        <v>66</v>
      </c>
      <c r="P251" s="102">
        <v>38</v>
      </c>
      <c r="Q251" s="104">
        <f>_xlfn.FLOOR.MATH(16+0.3*B251)</f>
        <v>49</v>
      </c>
      <c r="R251" s="102">
        <f>_xlfn.FLOOR.MATH(4+0.1*B251)</f>
        <v>15</v>
      </c>
      <c r="S251" s="102">
        <f>_xlfn.FLOOR.MATH(45+0.45*B251)</f>
        <v>94</v>
      </c>
      <c r="T251" s="105">
        <f>_xlfn.FLOOR.MATH(30+0.52*B251)</f>
        <v>87</v>
      </c>
      <c r="U251" s="102">
        <v>13</v>
      </c>
      <c r="V251" s="102">
        <v>39</v>
      </c>
      <c r="W251" s="106" t="s">
        <v>115</v>
      </c>
      <c r="Y251" s="102" t="s">
        <v>241</v>
      </c>
      <c r="Z251" s="102" t="s">
        <v>128</v>
      </c>
      <c r="AA251" s="104">
        <v>0</v>
      </c>
      <c r="AB251" s="105">
        <v>0</v>
      </c>
      <c r="AC251" s="104">
        <v>2</v>
      </c>
      <c r="AD251" s="123" t="s">
        <v>725</v>
      </c>
      <c r="AE251" s="104">
        <v>15</v>
      </c>
      <c r="AF251" s="105">
        <v>15</v>
      </c>
      <c r="AG251" s="104">
        <v>0.45</v>
      </c>
      <c r="AH251" s="102">
        <v>0.8</v>
      </c>
      <c r="AI251" s="105">
        <v>0.45</v>
      </c>
      <c r="AJ251" s="104">
        <v>2</v>
      </c>
      <c r="AK251" s="102">
        <v>4</v>
      </c>
      <c r="AL251" s="102">
        <v>3</v>
      </c>
      <c r="AM251" s="105">
        <v>0</v>
      </c>
      <c r="AN251" s="104">
        <v>0</v>
      </c>
      <c r="AO251" s="102">
        <v>19</v>
      </c>
      <c r="AP251" s="102">
        <v>5</v>
      </c>
      <c r="AQ251" s="105">
        <v>0</v>
      </c>
      <c r="AU251" s="125" t="str">
        <f>HYPERLINK("http://www.jianrmod.cn/data/shipGetInfo.html?type=0&amp;cid=10026811","详细")</f>
        <v>详细</v>
      </c>
    </row>
    <row r="252" spans="1:47">
      <c r="A252" s="100">
        <v>10026911</v>
      </c>
      <c r="B252" s="101">
        <v>110</v>
      </c>
      <c r="C252" s="102">
        <v>2</v>
      </c>
      <c r="D252" s="103" t="s">
        <v>745</v>
      </c>
      <c r="F252" s="103" t="s">
        <v>49</v>
      </c>
      <c r="G252" s="103">
        <v>1</v>
      </c>
      <c r="H252" s="103">
        <v>2</v>
      </c>
      <c r="I252" s="104" t="s">
        <v>73</v>
      </c>
      <c r="J252" s="102" t="s">
        <v>246</v>
      </c>
      <c r="K252" s="102">
        <v>19</v>
      </c>
      <c r="L252" s="103">
        <v>1</v>
      </c>
      <c r="M252" s="104">
        <v>28</v>
      </c>
      <c r="N252" s="102">
        <v>24</v>
      </c>
      <c r="O252" s="102">
        <v>74</v>
      </c>
      <c r="P252" s="102">
        <v>41</v>
      </c>
      <c r="Q252" s="104">
        <f>_xlfn.FLOOR.MATH(22+0.3*B252)</f>
        <v>55</v>
      </c>
      <c r="R252" s="102">
        <f>_xlfn.FLOOR.MATH(6+0.1*B252)</f>
        <v>17</v>
      </c>
      <c r="S252" s="102">
        <f>_xlfn.FLOOR.MATH(38+0.4*B252)</f>
        <v>82</v>
      </c>
      <c r="T252" s="105">
        <f>_xlfn.FLOOR.MATH(30+0.52*B252)</f>
        <v>87</v>
      </c>
      <c r="U252" s="102">
        <v>7</v>
      </c>
      <c r="V252" s="102">
        <v>38.5</v>
      </c>
      <c r="W252" s="106" t="s">
        <v>115</v>
      </c>
      <c r="X252" s="106" t="s">
        <v>746</v>
      </c>
      <c r="Y252" s="102" t="s">
        <v>241</v>
      </c>
      <c r="Z252" s="102" t="s">
        <v>128</v>
      </c>
      <c r="AA252" s="104">
        <v>0</v>
      </c>
      <c r="AB252" s="105">
        <v>0</v>
      </c>
      <c r="AC252" s="104">
        <v>2</v>
      </c>
      <c r="AD252" s="123" t="s">
        <v>282</v>
      </c>
      <c r="AE252" s="104">
        <v>10</v>
      </c>
      <c r="AF252" s="105">
        <v>20</v>
      </c>
      <c r="AG252" s="104">
        <v>0.48</v>
      </c>
      <c r="AH252" s="102">
        <v>0.99</v>
      </c>
      <c r="AI252" s="105">
        <v>0.5</v>
      </c>
      <c r="AJ252" s="104">
        <v>2</v>
      </c>
      <c r="AK252" s="102">
        <v>4</v>
      </c>
      <c r="AL252" s="102">
        <v>3</v>
      </c>
      <c r="AM252" s="105">
        <v>0</v>
      </c>
      <c r="AN252" s="104">
        <v>0</v>
      </c>
      <c r="AO252" s="102">
        <v>24</v>
      </c>
      <c r="AP252" s="102">
        <v>11</v>
      </c>
      <c r="AQ252" s="105">
        <v>0</v>
      </c>
      <c r="AT252" s="110">
        <v>0.0152777777777778</v>
      </c>
      <c r="AU252" s="125"/>
    </row>
    <row r="253" spans="1:47">
      <c r="A253" s="100">
        <v>10027011</v>
      </c>
      <c r="B253" s="101">
        <v>110</v>
      </c>
      <c r="C253" s="102">
        <v>2</v>
      </c>
      <c r="D253" s="103" t="s">
        <v>747</v>
      </c>
      <c r="F253" s="103" t="s">
        <v>49</v>
      </c>
      <c r="G253" s="103">
        <v>1</v>
      </c>
      <c r="H253" s="103">
        <v>2</v>
      </c>
      <c r="I253" s="104" t="s">
        <v>73</v>
      </c>
      <c r="J253" s="102" t="s">
        <v>246</v>
      </c>
      <c r="K253" s="102">
        <v>19</v>
      </c>
      <c r="L253" s="103">
        <v>1</v>
      </c>
      <c r="M253" s="104">
        <v>28</v>
      </c>
      <c r="N253" s="102">
        <v>24</v>
      </c>
      <c r="O253" s="102">
        <v>74</v>
      </c>
      <c r="P253" s="102">
        <v>41</v>
      </c>
      <c r="Q253" s="104">
        <f>_xlfn.FLOOR.MATH(22+0.3*B253)</f>
        <v>55</v>
      </c>
      <c r="R253" s="102">
        <f>_xlfn.FLOOR.MATH(6+0.1*B253)</f>
        <v>17</v>
      </c>
      <c r="S253" s="102">
        <f>_xlfn.FLOOR.MATH(38+0.4*B253)</f>
        <v>82</v>
      </c>
      <c r="T253" s="105">
        <f>_xlfn.FLOOR.MATH(30+0.52*B253)</f>
        <v>87</v>
      </c>
      <c r="U253" s="102">
        <v>7</v>
      </c>
      <c r="V253" s="102">
        <v>38.5</v>
      </c>
      <c r="W253" s="106" t="s">
        <v>115</v>
      </c>
      <c r="X253" s="106" t="s">
        <v>748</v>
      </c>
      <c r="Y253" s="102" t="s">
        <v>241</v>
      </c>
      <c r="Z253" s="102" t="s">
        <v>128</v>
      </c>
      <c r="AA253" s="104">
        <v>0</v>
      </c>
      <c r="AB253" s="105">
        <v>0</v>
      </c>
      <c r="AC253" s="104">
        <v>2</v>
      </c>
      <c r="AD253" s="123" t="s">
        <v>282</v>
      </c>
      <c r="AE253" s="104">
        <v>10</v>
      </c>
      <c r="AF253" s="105">
        <v>20</v>
      </c>
      <c r="AG253" s="104">
        <v>0.48</v>
      </c>
      <c r="AH253" s="102">
        <v>0.99</v>
      </c>
      <c r="AI253" s="105">
        <v>0.5</v>
      </c>
      <c r="AJ253" s="104">
        <v>2</v>
      </c>
      <c r="AK253" s="102">
        <v>4</v>
      </c>
      <c r="AL253" s="102">
        <v>3</v>
      </c>
      <c r="AM253" s="105">
        <v>0</v>
      </c>
      <c r="AN253" s="104">
        <v>0</v>
      </c>
      <c r="AO253" s="102">
        <v>24</v>
      </c>
      <c r="AP253" s="102">
        <v>11</v>
      </c>
      <c r="AQ253" s="105">
        <v>0</v>
      </c>
      <c r="AT253" s="110">
        <v>0.0152777777777778</v>
      </c>
      <c r="AU253" s="125"/>
    </row>
    <row r="254" spans="1:47">
      <c r="A254" s="100">
        <v>10027111</v>
      </c>
      <c r="B254" s="101">
        <v>110</v>
      </c>
      <c r="C254" s="102">
        <v>3</v>
      </c>
      <c r="D254" s="103" t="s">
        <v>749</v>
      </c>
      <c r="F254" s="103" t="s">
        <v>49</v>
      </c>
      <c r="G254" s="103">
        <v>1</v>
      </c>
      <c r="H254" s="103">
        <v>2</v>
      </c>
      <c r="I254" s="104" t="s">
        <v>750</v>
      </c>
      <c r="J254" s="102" t="s">
        <v>246</v>
      </c>
      <c r="K254" s="102">
        <v>14</v>
      </c>
      <c r="L254" s="103">
        <v>2</v>
      </c>
      <c r="M254" s="104">
        <v>28</v>
      </c>
      <c r="N254" s="102">
        <v>20</v>
      </c>
      <c r="O254" s="102">
        <v>68</v>
      </c>
      <c r="P254" s="102">
        <v>45</v>
      </c>
      <c r="Q254" s="104">
        <f>_xlfn.FLOOR.MATH(32+0.3*B254)</f>
        <v>65</v>
      </c>
      <c r="R254" s="102">
        <f>_xlfn.FLOOR.MATH(5+0.1*B254)</f>
        <v>16</v>
      </c>
      <c r="S254" s="102">
        <f>_xlfn.FLOOR.MATH(34+0.4*B254)</f>
        <v>78</v>
      </c>
      <c r="T254" s="105">
        <f>_xlfn.FLOOR.MATH(30+0.52*B254)</f>
        <v>87</v>
      </c>
      <c r="U254" s="102">
        <v>10</v>
      </c>
      <c r="V254" s="102">
        <v>34</v>
      </c>
      <c r="W254" s="106" t="s">
        <v>115</v>
      </c>
      <c r="Y254" s="102" t="s">
        <v>241</v>
      </c>
      <c r="Z254" s="102" t="s">
        <v>128</v>
      </c>
      <c r="AA254" s="104">
        <v>0</v>
      </c>
      <c r="AB254" s="105">
        <v>0</v>
      </c>
      <c r="AC254" s="104">
        <v>2</v>
      </c>
      <c r="AD254" s="123" t="s">
        <v>751</v>
      </c>
      <c r="AE254" s="104">
        <v>10</v>
      </c>
      <c r="AF254" s="105">
        <v>25</v>
      </c>
      <c r="AG254" s="104">
        <v>0.48</v>
      </c>
      <c r="AH254" s="102">
        <v>0.9</v>
      </c>
      <c r="AI254" s="105">
        <v>0.5</v>
      </c>
      <c r="AJ254" s="104">
        <v>4</v>
      </c>
      <c r="AK254" s="102">
        <v>8</v>
      </c>
      <c r="AL254" s="102">
        <v>6</v>
      </c>
      <c r="AM254" s="105">
        <v>0</v>
      </c>
      <c r="AN254" s="104">
        <v>0</v>
      </c>
      <c r="AO254" s="102">
        <v>18</v>
      </c>
      <c r="AP254" s="102">
        <v>5</v>
      </c>
      <c r="AQ254" s="105">
        <v>0</v>
      </c>
      <c r="AU254" s="125" t="str">
        <f>HYPERLINK("http://www.jianrmod.cn/data/shipGetInfo.html?type=0&amp;cid=10027111","详细")</f>
        <v>详细</v>
      </c>
    </row>
    <row r="255" spans="1:47">
      <c r="A255" s="100">
        <v>10027211</v>
      </c>
      <c r="B255" s="101">
        <v>110</v>
      </c>
      <c r="C255" s="102">
        <v>3</v>
      </c>
      <c r="D255" s="103" t="s">
        <v>752</v>
      </c>
      <c r="F255" s="103" t="s">
        <v>49</v>
      </c>
      <c r="G255" s="103">
        <v>1</v>
      </c>
      <c r="H255" s="103">
        <v>2</v>
      </c>
      <c r="I255" s="104" t="s">
        <v>753</v>
      </c>
      <c r="J255" s="102" t="s">
        <v>246</v>
      </c>
      <c r="K255" s="102">
        <v>17</v>
      </c>
      <c r="L255" s="103">
        <v>-1</v>
      </c>
      <c r="M255" s="104">
        <v>33</v>
      </c>
      <c r="N255" s="102">
        <v>22</v>
      </c>
      <c r="O255" s="102">
        <v>62</v>
      </c>
      <c r="P255" s="102">
        <v>45</v>
      </c>
      <c r="Q255" s="104">
        <f>_xlfn.FLOOR.MATH(26+0.3*B255)</f>
        <v>59</v>
      </c>
      <c r="R255" s="102">
        <f>_xlfn.FLOOR.MATH(5+0.1*B255)</f>
        <v>16</v>
      </c>
      <c r="S255" s="102">
        <f>_xlfn.FLOOR.MATH(36+0.4*B255)</f>
        <v>80</v>
      </c>
      <c r="T255" s="105">
        <f>_xlfn.FLOOR.MATH(30+0.52*B255)</f>
        <v>87</v>
      </c>
      <c r="U255" s="102">
        <v>35</v>
      </c>
      <c r="V255" s="102">
        <v>35.5</v>
      </c>
      <c r="W255" s="106" t="s">
        <v>115</v>
      </c>
      <c r="Y255" s="102" t="s">
        <v>241</v>
      </c>
      <c r="Z255" s="102" t="s">
        <v>128</v>
      </c>
      <c r="AA255" s="104">
        <v>0</v>
      </c>
      <c r="AB255" s="105">
        <v>0</v>
      </c>
      <c r="AC255" s="104">
        <v>2</v>
      </c>
      <c r="AD255" s="107" t="s">
        <v>754</v>
      </c>
      <c r="AE255" s="104">
        <v>10</v>
      </c>
      <c r="AF255" s="105">
        <v>25</v>
      </c>
      <c r="AG255" s="104">
        <v>0.48</v>
      </c>
      <c r="AH255" s="102">
        <v>0.9</v>
      </c>
      <c r="AI255" s="105">
        <v>0.5</v>
      </c>
      <c r="AJ255" s="104">
        <v>4</v>
      </c>
      <c r="AK255" s="102">
        <v>8</v>
      </c>
      <c r="AL255" s="102">
        <v>6</v>
      </c>
      <c r="AM255" s="105">
        <v>0</v>
      </c>
      <c r="AN255" s="104">
        <v>0</v>
      </c>
      <c r="AO255" s="102">
        <v>12</v>
      </c>
      <c r="AP255" s="102">
        <v>7</v>
      </c>
      <c r="AQ255" s="105">
        <v>0</v>
      </c>
      <c r="AU255" s="125" t="str">
        <f>HYPERLINK("http://www.jianrmod.cn/data/shipGetInfo.html?type=0&amp;cid=10027211","详细")</f>
        <v>详细</v>
      </c>
    </row>
    <row r="256" spans="1:47">
      <c r="A256" s="100">
        <v>10027511</v>
      </c>
      <c r="B256" s="101">
        <v>110</v>
      </c>
      <c r="C256" s="102">
        <v>3</v>
      </c>
      <c r="D256" s="103" t="s">
        <v>755</v>
      </c>
      <c r="F256" s="103" t="s">
        <v>49</v>
      </c>
      <c r="G256" s="103">
        <v>1</v>
      </c>
      <c r="H256" s="103">
        <v>2</v>
      </c>
      <c r="I256" s="104" t="s">
        <v>86</v>
      </c>
      <c r="J256" s="102" t="s">
        <v>246</v>
      </c>
      <c r="K256" s="102">
        <v>17</v>
      </c>
      <c r="L256" s="103">
        <v>-1</v>
      </c>
      <c r="M256" s="104">
        <v>28</v>
      </c>
      <c r="N256" s="102">
        <v>22</v>
      </c>
      <c r="O256" s="102">
        <v>70</v>
      </c>
      <c r="P256" s="102">
        <v>54</v>
      </c>
      <c r="Q256" s="104">
        <f>_xlfn.FLOOR.MATH(25+0.3*B256)</f>
        <v>58</v>
      </c>
      <c r="R256" s="102">
        <f>_xlfn.FLOOR.MATH(6+0.1*B256)</f>
        <v>17</v>
      </c>
      <c r="S256" s="102">
        <f>_xlfn.FLOOR.MATH(37+0.4*B256)</f>
        <v>81</v>
      </c>
      <c r="T256" s="105">
        <f>_xlfn.FLOOR.MATH(30+0.52*B256)</f>
        <v>87</v>
      </c>
      <c r="U256" s="102">
        <v>22</v>
      </c>
      <c r="V256" s="102">
        <v>37</v>
      </c>
      <c r="W256" s="106" t="s">
        <v>115</v>
      </c>
      <c r="Y256" s="102" t="s">
        <v>241</v>
      </c>
      <c r="Z256" s="102" t="s">
        <v>128</v>
      </c>
      <c r="AA256" s="104">
        <v>0</v>
      </c>
      <c r="AB256" s="105">
        <v>0</v>
      </c>
      <c r="AC256" s="104">
        <v>2</v>
      </c>
      <c r="AD256" s="123" t="s">
        <v>314</v>
      </c>
      <c r="AE256" s="104">
        <v>15</v>
      </c>
      <c r="AF256" s="105">
        <v>25</v>
      </c>
      <c r="AG256" s="104">
        <v>0.48</v>
      </c>
      <c r="AH256" s="102">
        <v>0.9</v>
      </c>
      <c r="AI256" s="105">
        <v>0.4</v>
      </c>
      <c r="AJ256" s="104">
        <v>4</v>
      </c>
      <c r="AK256" s="102">
        <v>8</v>
      </c>
      <c r="AL256" s="102">
        <v>6</v>
      </c>
      <c r="AM256" s="105">
        <v>0</v>
      </c>
      <c r="AN256" s="104">
        <v>0</v>
      </c>
      <c r="AO256" s="102">
        <v>20</v>
      </c>
      <c r="AP256" s="102">
        <v>7</v>
      </c>
      <c r="AQ256" s="105">
        <v>5</v>
      </c>
      <c r="AT256" s="110">
        <v>0.0145833333333333</v>
      </c>
      <c r="AU256" s="125"/>
    </row>
    <row r="257" spans="1:47">
      <c r="A257" s="100">
        <v>10027611</v>
      </c>
      <c r="B257" s="101">
        <v>110</v>
      </c>
      <c r="C257" s="102">
        <v>3</v>
      </c>
      <c r="D257" s="103" t="s">
        <v>756</v>
      </c>
      <c r="F257" s="103" t="s">
        <v>49</v>
      </c>
      <c r="G257" s="103">
        <v>1</v>
      </c>
      <c r="H257" s="103">
        <v>2</v>
      </c>
      <c r="I257" s="104" t="s">
        <v>86</v>
      </c>
      <c r="J257" s="102" t="s">
        <v>246</v>
      </c>
      <c r="K257" s="102">
        <v>17</v>
      </c>
      <c r="L257" s="103">
        <v>-1</v>
      </c>
      <c r="M257" s="104">
        <v>28</v>
      </c>
      <c r="N257" s="102">
        <v>22</v>
      </c>
      <c r="O257" s="102">
        <v>70</v>
      </c>
      <c r="P257" s="102">
        <v>54</v>
      </c>
      <c r="Q257" s="104">
        <f>_xlfn.FLOOR.MATH(25+0.3*B257)</f>
        <v>58</v>
      </c>
      <c r="R257" s="102">
        <f>_xlfn.FLOOR.MATH(6+0.1*B257)</f>
        <v>17</v>
      </c>
      <c r="S257" s="102">
        <f>_xlfn.FLOOR.MATH(37+0.4*B257)</f>
        <v>81</v>
      </c>
      <c r="T257" s="105">
        <f>_xlfn.FLOOR.MATH(30+0.52*B257)</f>
        <v>87</v>
      </c>
      <c r="U257" s="102">
        <v>22</v>
      </c>
      <c r="V257" s="102">
        <v>37</v>
      </c>
      <c r="W257" s="106" t="s">
        <v>115</v>
      </c>
      <c r="Y257" s="102" t="s">
        <v>241</v>
      </c>
      <c r="Z257" s="102" t="s">
        <v>128</v>
      </c>
      <c r="AA257" s="104">
        <v>0</v>
      </c>
      <c r="AB257" s="105">
        <v>0</v>
      </c>
      <c r="AC257" s="104">
        <v>2</v>
      </c>
      <c r="AD257" s="123" t="s">
        <v>314</v>
      </c>
      <c r="AE257" s="104">
        <v>15</v>
      </c>
      <c r="AF257" s="105">
        <v>25</v>
      </c>
      <c r="AG257" s="104">
        <v>0.48</v>
      </c>
      <c r="AH257" s="102">
        <v>0.9</v>
      </c>
      <c r="AI257" s="105">
        <v>0.4</v>
      </c>
      <c r="AJ257" s="104">
        <v>4</v>
      </c>
      <c r="AK257" s="102">
        <v>8</v>
      </c>
      <c r="AL257" s="102">
        <v>6</v>
      </c>
      <c r="AM257" s="105">
        <v>0</v>
      </c>
      <c r="AN257" s="104">
        <v>0</v>
      </c>
      <c r="AO257" s="102">
        <v>20</v>
      </c>
      <c r="AP257" s="102">
        <v>7</v>
      </c>
      <c r="AQ257" s="105">
        <v>5</v>
      </c>
      <c r="AT257" s="110">
        <v>0.0145833333333333</v>
      </c>
      <c r="AU257" s="125"/>
    </row>
    <row r="258" spans="1:47">
      <c r="A258" s="100">
        <v>10027711</v>
      </c>
      <c r="B258" s="101">
        <v>110</v>
      </c>
      <c r="C258" s="102">
        <v>3</v>
      </c>
      <c r="D258" s="103" t="s">
        <v>757</v>
      </c>
      <c r="F258" s="103" t="s">
        <v>49</v>
      </c>
      <c r="G258" s="103">
        <v>1</v>
      </c>
      <c r="H258" s="103">
        <v>2</v>
      </c>
      <c r="I258" s="104" t="s">
        <v>86</v>
      </c>
      <c r="J258" s="102" t="s">
        <v>246</v>
      </c>
      <c r="K258" s="102">
        <v>17</v>
      </c>
      <c r="L258" s="103">
        <v>-1</v>
      </c>
      <c r="M258" s="104">
        <v>28</v>
      </c>
      <c r="N258" s="102">
        <v>22</v>
      </c>
      <c r="O258" s="102">
        <v>70</v>
      </c>
      <c r="P258" s="102">
        <v>54</v>
      </c>
      <c r="Q258" s="104">
        <f>_xlfn.FLOOR.MATH(25+0.3*B258)</f>
        <v>58</v>
      </c>
      <c r="R258" s="102">
        <f>_xlfn.FLOOR.MATH(6+0.1*B258)</f>
        <v>17</v>
      </c>
      <c r="S258" s="102">
        <f>_xlfn.FLOOR.MATH(37+0.4*B258)</f>
        <v>81</v>
      </c>
      <c r="T258" s="105">
        <f>_xlfn.FLOOR.MATH(30+0.52*B258)</f>
        <v>87</v>
      </c>
      <c r="U258" s="102">
        <v>19</v>
      </c>
      <c r="V258" s="102">
        <v>37</v>
      </c>
      <c r="W258" s="106" t="s">
        <v>115</v>
      </c>
      <c r="Y258" s="102" t="s">
        <v>241</v>
      </c>
      <c r="Z258" s="102" t="s">
        <v>128</v>
      </c>
      <c r="AA258" s="104">
        <v>0</v>
      </c>
      <c r="AB258" s="105">
        <v>0</v>
      </c>
      <c r="AC258" s="104">
        <v>2</v>
      </c>
      <c r="AD258" s="123" t="s">
        <v>314</v>
      </c>
      <c r="AE258" s="104">
        <v>15</v>
      </c>
      <c r="AF258" s="105">
        <v>25</v>
      </c>
      <c r="AG258" s="104">
        <v>0.48</v>
      </c>
      <c r="AH258" s="102">
        <v>0.9</v>
      </c>
      <c r="AI258" s="105">
        <v>0.4</v>
      </c>
      <c r="AJ258" s="104">
        <v>4</v>
      </c>
      <c r="AK258" s="102">
        <v>8</v>
      </c>
      <c r="AL258" s="102">
        <v>6</v>
      </c>
      <c r="AM258" s="105">
        <v>0</v>
      </c>
      <c r="AN258" s="104">
        <v>0</v>
      </c>
      <c r="AO258" s="102">
        <v>20</v>
      </c>
      <c r="AP258" s="102">
        <v>7</v>
      </c>
      <c r="AQ258" s="105">
        <v>5</v>
      </c>
      <c r="AT258" s="110">
        <v>0.0145833333333333</v>
      </c>
      <c r="AU258" s="125"/>
    </row>
    <row r="259" spans="1:46">
      <c r="A259" s="100">
        <v>10027811</v>
      </c>
      <c r="B259" s="101">
        <v>110</v>
      </c>
      <c r="C259" s="102">
        <v>3</v>
      </c>
      <c r="D259" s="103" t="s">
        <v>758</v>
      </c>
      <c r="F259" s="103" t="s">
        <v>49</v>
      </c>
      <c r="G259" s="103">
        <v>1</v>
      </c>
      <c r="H259" s="103">
        <v>2</v>
      </c>
      <c r="I259" s="104" t="s">
        <v>86</v>
      </c>
      <c r="J259" s="102" t="s">
        <v>246</v>
      </c>
      <c r="K259" s="102">
        <v>17</v>
      </c>
      <c r="L259" s="103">
        <v>-1</v>
      </c>
      <c r="M259" s="104">
        <v>28</v>
      </c>
      <c r="N259" s="102">
        <v>22</v>
      </c>
      <c r="O259" s="102">
        <v>70</v>
      </c>
      <c r="P259" s="102">
        <v>54</v>
      </c>
      <c r="Q259" s="104">
        <f>_xlfn.FLOOR.MATH(25+0.3*B259)</f>
        <v>58</v>
      </c>
      <c r="R259" s="102">
        <f>_xlfn.FLOOR.MATH(6+0.1*B259)</f>
        <v>17</v>
      </c>
      <c r="S259" s="102">
        <f>_xlfn.FLOOR.MATH(37+0.4*B259)</f>
        <v>81</v>
      </c>
      <c r="T259" s="105">
        <f>_xlfn.FLOOR.MATH(30+0.52*B259)</f>
        <v>87</v>
      </c>
      <c r="U259" s="102">
        <v>16</v>
      </c>
      <c r="V259" s="102">
        <v>37</v>
      </c>
      <c r="W259" s="106" t="s">
        <v>115</v>
      </c>
      <c r="X259" s="106" t="s">
        <v>759</v>
      </c>
      <c r="Y259" s="102" t="s">
        <v>241</v>
      </c>
      <c r="Z259" s="102" t="s">
        <v>128</v>
      </c>
      <c r="AA259" s="104">
        <v>0</v>
      </c>
      <c r="AB259" s="105">
        <v>0</v>
      </c>
      <c r="AC259" s="104">
        <v>2</v>
      </c>
      <c r="AD259" s="107" t="s">
        <v>314</v>
      </c>
      <c r="AE259" s="104">
        <v>15</v>
      </c>
      <c r="AF259" s="105">
        <v>25</v>
      </c>
      <c r="AG259" s="104">
        <v>0.48</v>
      </c>
      <c r="AH259" s="102">
        <v>0.9</v>
      </c>
      <c r="AI259" s="105">
        <v>0.4</v>
      </c>
      <c r="AJ259" s="104">
        <v>4</v>
      </c>
      <c r="AK259" s="102">
        <v>8</v>
      </c>
      <c r="AL259" s="102">
        <v>6</v>
      </c>
      <c r="AM259" s="105">
        <v>0</v>
      </c>
      <c r="AN259" s="104">
        <v>0</v>
      </c>
      <c r="AO259" s="102">
        <v>20</v>
      </c>
      <c r="AP259" s="102">
        <v>7</v>
      </c>
      <c r="AQ259" s="105">
        <v>5</v>
      </c>
      <c r="AT259" s="110">
        <v>0.0145833333333333</v>
      </c>
    </row>
    <row r="260" spans="1:47">
      <c r="A260" s="100">
        <v>10027911</v>
      </c>
      <c r="B260" s="101">
        <v>110</v>
      </c>
      <c r="C260" s="102">
        <v>3</v>
      </c>
      <c r="D260" s="103" t="s">
        <v>760</v>
      </c>
      <c r="F260" s="103" t="s">
        <v>49</v>
      </c>
      <c r="G260" s="103">
        <v>1</v>
      </c>
      <c r="H260" s="103">
        <v>2</v>
      </c>
      <c r="I260" s="104" t="s">
        <v>86</v>
      </c>
      <c r="J260" s="102" t="s">
        <v>246</v>
      </c>
      <c r="K260" s="102">
        <v>14</v>
      </c>
      <c r="L260" s="103">
        <v>2</v>
      </c>
      <c r="M260" s="104">
        <v>26</v>
      </c>
      <c r="N260" s="102">
        <v>21</v>
      </c>
      <c r="O260" s="102">
        <v>60</v>
      </c>
      <c r="P260" s="102">
        <v>52</v>
      </c>
      <c r="Q260" s="104">
        <f>_xlfn.FLOOR.MATH(35+0.3*B260)</f>
        <v>68</v>
      </c>
      <c r="R260" s="102">
        <f>_xlfn.FLOOR.MATH(6+0.1*B260)</f>
        <v>17</v>
      </c>
      <c r="S260" s="102">
        <f>_xlfn.FLOOR.MATH(34+0.4*B260)</f>
        <v>78</v>
      </c>
      <c r="T260" s="105">
        <f>_xlfn.FLOOR.MATH(30+0.52*B260)</f>
        <v>87</v>
      </c>
      <c r="U260" s="102">
        <v>16</v>
      </c>
      <c r="V260" s="102">
        <v>28</v>
      </c>
      <c r="W260" s="106" t="s">
        <v>115</v>
      </c>
      <c r="X260" s="106" t="s">
        <v>761</v>
      </c>
      <c r="Y260" s="102" t="s">
        <v>241</v>
      </c>
      <c r="Z260" s="102" t="s">
        <v>128</v>
      </c>
      <c r="AA260" s="104">
        <v>0</v>
      </c>
      <c r="AB260" s="105">
        <v>0</v>
      </c>
      <c r="AC260" s="104">
        <v>2</v>
      </c>
      <c r="AD260" s="123" t="s">
        <v>762</v>
      </c>
      <c r="AE260" s="104">
        <v>15</v>
      </c>
      <c r="AF260" s="105">
        <v>25</v>
      </c>
      <c r="AG260" s="104">
        <v>0.48</v>
      </c>
      <c r="AH260" s="102">
        <v>0.9</v>
      </c>
      <c r="AI260" s="105">
        <v>0.4</v>
      </c>
      <c r="AJ260" s="104">
        <v>4</v>
      </c>
      <c r="AK260" s="102">
        <v>8</v>
      </c>
      <c r="AL260" s="102">
        <v>6</v>
      </c>
      <c r="AM260" s="105">
        <v>0</v>
      </c>
      <c r="AN260" s="104">
        <v>0</v>
      </c>
      <c r="AO260" s="102">
        <v>10</v>
      </c>
      <c r="AP260" s="102">
        <v>6</v>
      </c>
      <c r="AQ260" s="105">
        <v>5</v>
      </c>
      <c r="AT260" s="110">
        <v>0.0145833333333333</v>
      </c>
      <c r="AU260" s="125"/>
    </row>
    <row r="261" spans="1:47">
      <c r="A261" s="100">
        <v>10028011</v>
      </c>
      <c r="B261" s="101">
        <v>110</v>
      </c>
      <c r="C261" s="102">
        <v>3</v>
      </c>
      <c r="D261" s="103" t="s">
        <v>763</v>
      </c>
      <c r="F261" s="103" t="s">
        <v>49</v>
      </c>
      <c r="G261" s="103">
        <v>1</v>
      </c>
      <c r="H261" s="103">
        <v>2</v>
      </c>
      <c r="I261" s="104" t="s">
        <v>86</v>
      </c>
      <c r="J261" s="102" t="s">
        <v>246</v>
      </c>
      <c r="K261" s="102">
        <v>17</v>
      </c>
      <c r="L261" s="103">
        <v>-1</v>
      </c>
      <c r="M261" s="104">
        <v>28</v>
      </c>
      <c r="N261" s="102">
        <v>22</v>
      </c>
      <c r="O261" s="102">
        <v>70</v>
      </c>
      <c r="P261" s="102">
        <v>54</v>
      </c>
      <c r="Q261" s="104">
        <f>_xlfn.FLOOR.MATH(25+0.3*B261)</f>
        <v>58</v>
      </c>
      <c r="R261" s="102">
        <f>_xlfn.FLOOR.MATH(6+0.1*B261)</f>
        <v>17</v>
      </c>
      <c r="S261" s="102">
        <f>_xlfn.FLOOR.MATH(37+0.4*B261)</f>
        <v>81</v>
      </c>
      <c r="T261" s="105">
        <f>_xlfn.FLOOR.MATH(30+0.52*B261)</f>
        <v>87</v>
      </c>
      <c r="U261" s="102">
        <v>20</v>
      </c>
      <c r="V261" s="102">
        <v>37</v>
      </c>
      <c r="W261" s="106" t="s">
        <v>115</v>
      </c>
      <c r="X261" s="106" t="s">
        <v>764</v>
      </c>
      <c r="Y261" s="102" t="s">
        <v>241</v>
      </c>
      <c r="Z261" s="102" t="s">
        <v>128</v>
      </c>
      <c r="AA261" s="104">
        <v>0</v>
      </c>
      <c r="AB261" s="105">
        <v>0</v>
      </c>
      <c r="AC261" s="104">
        <v>2</v>
      </c>
      <c r="AD261" s="123" t="s">
        <v>314</v>
      </c>
      <c r="AE261" s="104">
        <v>15</v>
      </c>
      <c r="AF261" s="105">
        <v>25</v>
      </c>
      <c r="AG261" s="104">
        <v>0.48</v>
      </c>
      <c r="AH261" s="102">
        <v>0.9</v>
      </c>
      <c r="AI261" s="105">
        <v>0.4</v>
      </c>
      <c r="AJ261" s="104">
        <v>4</v>
      </c>
      <c r="AK261" s="102">
        <v>8</v>
      </c>
      <c r="AL261" s="102">
        <v>6</v>
      </c>
      <c r="AM261" s="105">
        <v>0</v>
      </c>
      <c r="AN261" s="104">
        <v>0</v>
      </c>
      <c r="AO261" s="102">
        <v>20</v>
      </c>
      <c r="AP261" s="102">
        <v>7</v>
      </c>
      <c r="AQ261" s="105">
        <v>5</v>
      </c>
      <c r="AT261" s="110">
        <v>0.0145833333333333</v>
      </c>
      <c r="AU261" s="125"/>
    </row>
    <row r="262" spans="1:46">
      <c r="A262" s="100">
        <v>10028111</v>
      </c>
      <c r="B262" s="101">
        <v>110</v>
      </c>
      <c r="C262" s="102">
        <v>5</v>
      </c>
      <c r="D262" s="103" t="s">
        <v>765</v>
      </c>
      <c r="F262" s="103" t="s">
        <v>49</v>
      </c>
      <c r="G262" s="103">
        <v>2</v>
      </c>
      <c r="H262" s="103">
        <v>2</v>
      </c>
      <c r="I262" s="104" t="s">
        <v>326</v>
      </c>
      <c r="J262" s="102" t="s">
        <v>246</v>
      </c>
      <c r="K262" s="102">
        <v>18</v>
      </c>
      <c r="L262" s="103">
        <v>2</v>
      </c>
      <c r="M262" s="104">
        <v>32</v>
      </c>
      <c r="N262" s="102">
        <v>23</v>
      </c>
      <c r="O262" s="102">
        <v>62</v>
      </c>
      <c r="P262" s="102">
        <v>50</v>
      </c>
      <c r="Q262" s="104">
        <f>_xlfn.FLOOR.MATH(24+0.3*B262)</f>
        <v>57</v>
      </c>
      <c r="R262" s="102">
        <f>_xlfn.FLOOR.MATH(5+0.1*B262)</f>
        <v>16</v>
      </c>
      <c r="S262" s="102">
        <f>_xlfn.FLOOR.MATH(39+0.4*B262)</f>
        <v>83</v>
      </c>
      <c r="T262" s="105">
        <f>_xlfn.FLOOR.MATH(31+0.52*B262)</f>
        <v>88</v>
      </c>
      <c r="U262" s="102">
        <v>30</v>
      </c>
      <c r="V262" s="102">
        <v>39</v>
      </c>
      <c r="W262" s="106" t="s">
        <v>115</v>
      </c>
      <c r="Y262" s="102" t="s">
        <v>241</v>
      </c>
      <c r="Z262" s="102" t="s">
        <v>128</v>
      </c>
      <c r="AA262" s="104">
        <v>0</v>
      </c>
      <c r="AB262" s="105">
        <v>0</v>
      </c>
      <c r="AC262" s="104">
        <v>2</v>
      </c>
      <c r="AD262" s="123" t="s">
        <v>766</v>
      </c>
      <c r="AE262" s="104">
        <v>10</v>
      </c>
      <c r="AF262" s="105">
        <v>15</v>
      </c>
      <c r="AG262" s="104">
        <v>0.48</v>
      </c>
      <c r="AH262" s="102">
        <v>0.9</v>
      </c>
      <c r="AI262" s="105">
        <v>0.5</v>
      </c>
      <c r="AJ262" s="104">
        <v>4</v>
      </c>
      <c r="AK262" s="102">
        <v>8</v>
      </c>
      <c r="AL262" s="102">
        <v>6</v>
      </c>
      <c r="AM262" s="105">
        <v>0</v>
      </c>
      <c r="AN262" s="104">
        <v>0</v>
      </c>
      <c r="AO262" s="102">
        <v>12</v>
      </c>
      <c r="AP262" s="102">
        <v>8</v>
      </c>
      <c r="AQ262" s="105">
        <v>0</v>
      </c>
      <c r="AT262" s="110">
        <v>0.0173611111111111</v>
      </c>
    </row>
    <row r="263" spans="1:47">
      <c r="A263" s="100">
        <v>10028911</v>
      </c>
      <c r="B263" s="101">
        <v>110</v>
      </c>
      <c r="C263" s="102">
        <v>4</v>
      </c>
      <c r="D263" s="103" t="s">
        <v>767</v>
      </c>
      <c r="F263" s="103" t="s">
        <v>49</v>
      </c>
      <c r="G263" s="103">
        <v>6</v>
      </c>
      <c r="H263" s="103">
        <v>5</v>
      </c>
      <c r="I263" s="104" t="s">
        <v>73</v>
      </c>
      <c r="J263" s="102" t="s">
        <v>560</v>
      </c>
      <c r="K263" s="102">
        <v>10</v>
      </c>
      <c r="L263" s="103">
        <v>2</v>
      </c>
      <c r="M263" s="104">
        <v>23</v>
      </c>
      <c r="N263" s="102">
        <v>24</v>
      </c>
      <c r="O263" s="102">
        <v>72</v>
      </c>
      <c r="P263" s="102">
        <v>0</v>
      </c>
      <c r="Q263" s="104">
        <f>_xlfn.FLOOR.MATH(0+0*B263)</f>
        <v>0</v>
      </c>
      <c r="R263" s="102">
        <f>_xlfn.FLOOR.MATH(13+0.3*B263)</f>
        <v>46</v>
      </c>
      <c r="S263" s="102">
        <f>_xlfn.FLOOR.MATH(18+0.2*B263)</f>
        <v>40</v>
      </c>
      <c r="T263" s="105">
        <f>_xlfn.FLOOR.MATH(31+0.59*B263)</f>
        <v>95</v>
      </c>
      <c r="U263" s="102">
        <v>15</v>
      </c>
      <c r="V263" s="102">
        <v>18</v>
      </c>
      <c r="W263" s="106" t="s">
        <v>115</v>
      </c>
      <c r="X263" s="106" t="s">
        <v>768</v>
      </c>
      <c r="Y263" s="102" t="s">
        <v>241</v>
      </c>
      <c r="Z263" s="102" t="s">
        <v>128</v>
      </c>
      <c r="AA263" s="104">
        <v>0</v>
      </c>
      <c r="AB263" s="105">
        <v>0</v>
      </c>
      <c r="AC263" s="104">
        <v>2</v>
      </c>
      <c r="AD263" s="123" t="s">
        <v>570</v>
      </c>
      <c r="AE263" s="104">
        <v>15</v>
      </c>
      <c r="AF263" s="105">
        <v>20</v>
      </c>
      <c r="AG263" s="104">
        <v>0.6</v>
      </c>
      <c r="AH263" s="102">
        <v>0.5</v>
      </c>
      <c r="AI263" s="105">
        <v>0.275</v>
      </c>
      <c r="AJ263" s="104">
        <v>10</v>
      </c>
      <c r="AK263" s="102">
        <v>10</v>
      </c>
      <c r="AL263" s="102">
        <v>20</v>
      </c>
      <c r="AM263" s="105">
        <v>0</v>
      </c>
      <c r="AN263" s="104">
        <v>0</v>
      </c>
      <c r="AO263" s="102">
        <v>22</v>
      </c>
      <c r="AP263" s="102">
        <v>11</v>
      </c>
      <c r="AQ263" s="105">
        <v>0</v>
      </c>
      <c r="AU263" s="125" t="str">
        <f>HYPERLINK("http://www.jianrmod.cn/data/shipGetInfo.html?type=0&amp;cid=10028911","详细")</f>
        <v>详细</v>
      </c>
    </row>
    <row r="264" spans="1:47">
      <c r="A264" s="100">
        <v>10029011</v>
      </c>
      <c r="B264" s="101">
        <v>110</v>
      </c>
      <c r="C264" s="102">
        <v>5</v>
      </c>
      <c r="D264" s="103" t="s">
        <v>769</v>
      </c>
      <c r="F264" s="103" t="s">
        <v>49</v>
      </c>
      <c r="G264" s="103">
        <v>6</v>
      </c>
      <c r="H264" s="103">
        <v>5</v>
      </c>
      <c r="I264" s="104" t="s">
        <v>73</v>
      </c>
      <c r="J264" s="102" t="s">
        <v>560</v>
      </c>
      <c r="K264" s="102">
        <v>10</v>
      </c>
      <c r="L264" s="103">
        <v>2</v>
      </c>
      <c r="M264" s="104">
        <v>23</v>
      </c>
      <c r="N264" s="102">
        <v>24</v>
      </c>
      <c r="O264" s="102">
        <v>72</v>
      </c>
      <c r="P264" s="102">
        <v>0</v>
      </c>
      <c r="Q264" s="104">
        <f>_xlfn.FLOOR.MATH(0+0*B264)</f>
        <v>0</v>
      </c>
      <c r="R264" s="102">
        <f>_xlfn.FLOOR.MATH(13+0.3*B264)</f>
        <v>46</v>
      </c>
      <c r="S264" s="102">
        <f>_xlfn.FLOOR.MATH(18+0.2*B264)</f>
        <v>40</v>
      </c>
      <c r="T264" s="105">
        <f>_xlfn.FLOOR.MATH(32+0.59*B264)</f>
        <v>96</v>
      </c>
      <c r="U264" s="102">
        <v>25</v>
      </c>
      <c r="V264" s="102">
        <v>18</v>
      </c>
      <c r="W264" s="106" t="s">
        <v>115</v>
      </c>
      <c r="Y264" s="102" t="s">
        <v>241</v>
      </c>
      <c r="Z264" s="102" t="s">
        <v>128</v>
      </c>
      <c r="AA264" s="104">
        <v>0</v>
      </c>
      <c r="AB264" s="105">
        <v>0</v>
      </c>
      <c r="AC264" s="104">
        <v>2</v>
      </c>
      <c r="AD264" s="123" t="s">
        <v>570</v>
      </c>
      <c r="AE264" s="104">
        <v>15</v>
      </c>
      <c r="AF264" s="105">
        <v>20</v>
      </c>
      <c r="AG264" s="104">
        <v>0.6</v>
      </c>
      <c r="AH264" s="102">
        <v>0.5</v>
      </c>
      <c r="AI264" s="105">
        <v>0.275</v>
      </c>
      <c r="AJ264" s="104">
        <v>10</v>
      </c>
      <c r="AK264" s="102">
        <v>10</v>
      </c>
      <c r="AL264" s="102">
        <v>20</v>
      </c>
      <c r="AM264" s="105">
        <v>0</v>
      </c>
      <c r="AN264" s="104">
        <v>0</v>
      </c>
      <c r="AO264" s="102">
        <v>22</v>
      </c>
      <c r="AP264" s="102">
        <v>11</v>
      </c>
      <c r="AQ264" s="105">
        <v>0</v>
      </c>
      <c r="AT264" s="110">
        <v>0.00694444444444444</v>
      </c>
      <c r="AU264" s="125"/>
    </row>
    <row r="265" spans="1:47">
      <c r="A265" s="100">
        <v>10029211</v>
      </c>
      <c r="B265" s="101">
        <v>110</v>
      </c>
      <c r="C265" s="102">
        <v>4</v>
      </c>
      <c r="D265" s="103" t="s">
        <v>770</v>
      </c>
      <c r="F265" s="103" t="s">
        <v>49</v>
      </c>
      <c r="G265" s="103">
        <v>6</v>
      </c>
      <c r="H265" s="103">
        <v>5</v>
      </c>
      <c r="I265" s="104" t="s">
        <v>73</v>
      </c>
      <c r="J265" s="102" t="s">
        <v>560</v>
      </c>
      <c r="K265" s="102">
        <v>12</v>
      </c>
      <c r="L265" s="103">
        <v>0</v>
      </c>
      <c r="M265" s="104">
        <v>24</v>
      </c>
      <c r="N265" s="102">
        <v>25</v>
      </c>
      <c r="O265" s="102">
        <v>72</v>
      </c>
      <c r="P265" s="102">
        <v>0</v>
      </c>
      <c r="Q265" s="104">
        <f>_xlfn.FLOOR.MATH(0+0*B265)</f>
        <v>0</v>
      </c>
      <c r="R265" s="102">
        <f>_xlfn.FLOOR.MATH(12+0.3*B265)</f>
        <v>45</v>
      </c>
      <c r="S265" s="102">
        <f>_xlfn.FLOOR.MATH(18+0.2*B265)</f>
        <v>40</v>
      </c>
      <c r="T265" s="105">
        <f>_xlfn.FLOOR.MATH(31+0.59*B265)</f>
        <v>95</v>
      </c>
      <c r="U265" s="102">
        <v>15</v>
      </c>
      <c r="V265" s="102">
        <v>18</v>
      </c>
      <c r="W265" s="106" t="s">
        <v>115</v>
      </c>
      <c r="Y265" s="102" t="s">
        <v>241</v>
      </c>
      <c r="Z265" s="102" t="s">
        <v>128</v>
      </c>
      <c r="AA265" s="104">
        <v>0</v>
      </c>
      <c r="AB265" s="105">
        <v>0</v>
      </c>
      <c r="AC265" s="104">
        <v>2</v>
      </c>
      <c r="AD265" s="123" t="s">
        <v>570</v>
      </c>
      <c r="AE265" s="104">
        <v>15</v>
      </c>
      <c r="AF265" s="105">
        <v>20</v>
      </c>
      <c r="AG265" s="104">
        <v>0.6</v>
      </c>
      <c r="AH265" s="102">
        <v>0.5</v>
      </c>
      <c r="AI265" s="105">
        <v>0.275</v>
      </c>
      <c r="AJ265" s="104">
        <v>10</v>
      </c>
      <c r="AK265" s="102">
        <v>10</v>
      </c>
      <c r="AL265" s="102">
        <v>20</v>
      </c>
      <c r="AM265" s="105">
        <v>0</v>
      </c>
      <c r="AN265" s="104">
        <v>0</v>
      </c>
      <c r="AO265" s="102">
        <v>22</v>
      </c>
      <c r="AP265" s="102">
        <v>12</v>
      </c>
      <c r="AQ265" s="105">
        <v>0</v>
      </c>
      <c r="AU265" s="125" t="str">
        <f>HYPERLINK("http://www.jianrmod.cn/data/shipGetInfo.html?type=0&amp;cid=10029211","详细")</f>
        <v>详细</v>
      </c>
    </row>
    <row r="266" spans="1:48">
      <c r="A266" s="100">
        <v>10029311</v>
      </c>
      <c r="B266" s="101">
        <v>110</v>
      </c>
      <c r="C266" s="102">
        <v>4</v>
      </c>
      <c r="D266" s="103" t="s">
        <v>771</v>
      </c>
      <c r="F266" s="103" t="s">
        <v>49</v>
      </c>
      <c r="G266" s="103">
        <v>6</v>
      </c>
      <c r="H266" s="103">
        <v>5</v>
      </c>
      <c r="I266" s="104" t="s">
        <v>73</v>
      </c>
      <c r="J266" s="102" t="s">
        <v>560</v>
      </c>
      <c r="K266" s="102">
        <v>10</v>
      </c>
      <c r="L266" s="103">
        <v>2</v>
      </c>
      <c r="M266" s="104">
        <v>23</v>
      </c>
      <c r="N266" s="102">
        <v>24</v>
      </c>
      <c r="O266" s="102">
        <v>72</v>
      </c>
      <c r="P266" s="102">
        <v>0</v>
      </c>
      <c r="Q266" s="104">
        <f>_xlfn.FLOOR.MATH(0+0*B266)</f>
        <v>0</v>
      </c>
      <c r="R266" s="102">
        <f>_xlfn.FLOOR.MATH(13+0.3*B266)</f>
        <v>46</v>
      </c>
      <c r="S266" s="102">
        <f>_xlfn.FLOOR.MATH(18+0.2*B266)</f>
        <v>40</v>
      </c>
      <c r="T266" s="105">
        <f>_xlfn.FLOOR.MATH(32+0.59*B266)</f>
        <v>96</v>
      </c>
      <c r="U266" s="102">
        <v>5</v>
      </c>
      <c r="V266" s="102">
        <v>17.7</v>
      </c>
      <c r="W266" s="106" t="s">
        <v>115</v>
      </c>
      <c r="Y266" s="102" t="s">
        <v>241</v>
      </c>
      <c r="Z266" s="102" t="s">
        <v>128</v>
      </c>
      <c r="AA266" s="104">
        <v>0</v>
      </c>
      <c r="AB266" s="105">
        <v>0</v>
      </c>
      <c r="AC266" s="104">
        <v>2</v>
      </c>
      <c r="AD266" s="123" t="s">
        <v>772</v>
      </c>
      <c r="AE266" s="104">
        <v>15</v>
      </c>
      <c r="AF266" s="105">
        <v>20</v>
      </c>
      <c r="AG266" s="104">
        <v>0.6</v>
      </c>
      <c r="AH266" s="102">
        <v>0.5</v>
      </c>
      <c r="AI266" s="105">
        <v>0.275</v>
      </c>
      <c r="AJ266" s="104">
        <v>10</v>
      </c>
      <c r="AK266" s="102">
        <v>10</v>
      </c>
      <c r="AL266" s="102">
        <v>20</v>
      </c>
      <c r="AM266" s="105">
        <v>0</v>
      </c>
      <c r="AN266" s="104">
        <v>0</v>
      </c>
      <c r="AO266" s="102">
        <v>22</v>
      </c>
      <c r="AP266" s="102">
        <v>11</v>
      </c>
      <c r="AQ266" s="105">
        <v>0</v>
      </c>
      <c r="AT266" s="110">
        <v>0.00694444444444444</v>
      </c>
      <c r="AV266" s="126"/>
    </row>
    <row r="267" spans="1:48">
      <c r="A267" s="100">
        <v>10029411</v>
      </c>
      <c r="B267" s="101">
        <v>110</v>
      </c>
      <c r="C267" s="102">
        <v>5</v>
      </c>
      <c r="D267" s="103" t="s">
        <v>773</v>
      </c>
      <c r="F267" s="103" t="s">
        <v>49</v>
      </c>
      <c r="G267" s="103">
        <v>6</v>
      </c>
      <c r="H267" s="103">
        <v>5</v>
      </c>
      <c r="I267" s="104" t="s">
        <v>86</v>
      </c>
      <c r="J267" s="102" t="s">
        <v>560</v>
      </c>
      <c r="K267" s="102">
        <v>12</v>
      </c>
      <c r="L267" s="103">
        <v>0</v>
      </c>
      <c r="M267" s="104">
        <v>24</v>
      </c>
      <c r="N267" s="102">
        <v>25</v>
      </c>
      <c r="O267" s="102">
        <v>74</v>
      </c>
      <c r="P267" s="102">
        <v>0</v>
      </c>
      <c r="Q267" s="104">
        <f>_xlfn.FLOOR.MATH(0+0*B267)</f>
        <v>0</v>
      </c>
      <c r="R267" s="102">
        <f>_xlfn.FLOOR.MATH(12+0.3*B267)</f>
        <v>45</v>
      </c>
      <c r="S267" s="102">
        <f>_xlfn.FLOOR.MATH(20+0.2*B267)</f>
        <v>42</v>
      </c>
      <c r="T267" s="105">
        <f>_xlfn.FLOOR.MATH(32+0.59*B267)</f>
        <v>96</v>
      </c>
      <c r="U267" s="102">
        <v>18</v>
      </c>
      <c r="V267" s="102">
        <v>20</v>
      </c>
      <c r="W267" s="106" t="s">
        <v>115</v>
      </c>
      <c r="Y267" s="102" t="s">
        <v>241</v>
      </c>
      <c r="Z267" s="102" t="s">
        <v>128</v>
      </c>
      <c r="AA267" s="104">
        <v>0</v>
      </c>
      <c r="AB267" s="105">
        <v>0</v>
      </c>
      <c r="AC267" s="104">
        <v>2</v>
      </c>
      <c r="AD267" s="107" t="s">
        <v>562</v>
      </c>
      <c r="AE267" s="104">
        <v>15</v>
      </c>
      <c r="AF267" s="105">
        <v>20</v>
      </c>
      <c r="AG267" s="104">
        <v>0.6</v>
      </c>
      <c r="AH267" s="102">
        <v>0.45</v>
      </c>
      <c r="AI267" s="105">
        <v>0.25</v>
      </c>
      <c r="AJ267" s="104">
        <v>10</v>
      </c>
      <c r="AK267" s="102">
        <v>10</v>
      </c>
      <c r="AL267" s="102">
        <v>20</v>
      </c>
      <c r="AM267" s="105">
        <v>0</v>
      </c>
      <c r="AN267" s="104">
        <v>0</v>
      </c>
      <c r="AO267" s="102">
        <v>24</v>
      </c>
      <c r="AP267" s="102">
        <v>10</v>
      </c>
      <c r="AQ267" s="105">
        <v>0</v>
      </c>
      <c r="AT267" s="110">
        <v>0.00833333333333333</v>
      </c>
      <c r="AV267" s="112" t="s">
        <v>774</v>
      </c>
    </row>
    <row r="268" spans="1:47">
      <c r="A268" s="100">
        <v>10029511</v>
      </c>
      <c r="B268" s="101">
        <v>110</v>
      </c>
      <c r="C268" s="102">
        <v>5</v>
      </c>
      <c r="D268" s="103" t="s">
        <v>775</v>
      </c>
      <c r="F268" s="103" t="s">
        <v>49</v>
      </c>
      <c r="G268" s="103">
        <v>6</v>
      </c>
      <c r="H268" s="103">
        <v>6</v>
      </c>
      <c r="I268" s="104" t="s">
        <v>326</v>
      </c>
      <c r="J268" s="102" t="s">
        <v>560</v>
      </c>
      <c r="K268" s="102">
        <v>12</v>
      </c>
      <c r="L268" s="103">
        <v>0</v>
      </c>
      <c r="M268" s="104">
        <v>23</v>
      </c>
      <c r="N268" s="102">
        <v>24</v>
      </c>
      <c r="O268" s="102">
        <v>71</v>
      </c>
      <c r="P268" s="102">
        <v>0</v>
      </c>
      <c r="Q268" s="104">
        <f>_xlfn.FLOOR.MATH(0+0*B268)</f>
        <v>0</v>
      </c>
      <c r="R268" s="102">
        <f>_xlfn.FLOOR.MATH(12+0.3*B268)</f>
        <v>45</v>
      </c>
      <c r="S268" s="102">
        <f>_xlfn.FLOOR.MATH(22+0.2*B268)</f>
        <v>44</v>
      </c>
      <c r="T268" s="105">
        <f>_xlfn.FLOOR.MATH(32+0.59*B268)</f>
        <v>96</v>
      </c>
      <c r="U268" s="102">
        <v>26</v>
      </c>
      <c r="V268" s="102">
        <v>19.5</v>
      </c>
      <c r="W268" s="106" t="s">
        <v>115</v>
      </c>
      <c r="Y268" s="102" t="s">
        <v>241</v>
      </c>
      <c r="Z268" s="102" t="s">
        <v>128</v>
      </c>
      <c r="AA268" s="104">
        <v>0</v>
      </c>
      <c r="AB268" s="105">
        <v>0</v>
      </c>
      <c r="AC268" s="104">
        <v>2</v>
      </c>
      <c r="AD268" s="123"/>
      <c r="AE268" s="104">
        <v>15</v>
      </c>
      <c r="AF268" s="105">
        <v>20</v>
      </c>
      <c r="AG268" s="104">
        <v>0.6</v>
      </c>
      <c r="AH268" s="102">
        <v>0.51</v>
      </c>
      <c r="AI268" s="105">
        <v>0.275</v>
      </c>
      <c r="AJ268" s="104">
        <v>10</v>
      </c>
      <c r="AK268" s="102">
        <v>10</v>
      </c>
      <c r="AL268" s="102">
        <v>20</v>
      </c>
      <c r="AM268" s="105">
        <v>0</v>
      </c>
      <c r="AN268" s="104">
        <v>0</v>
      </c>
      <c r="AO268" s="102">
        <v>21</v>
      </c>
      <c r="AP268" s="102">
        <v>9</v>
      </c>
      <c r="AQ268" s="105">
        <v>0</v>
      </c>
      <c r="AU268" s="125"/>
    </row>
    <row r="269" spans="1:47">
      <c r="A269" s="100">
        <v>10029712</v>
      </c>
      <c r="B269" s="101">
        <v>110</v>
      </c>
      <c r="C269" s="102">
        <v>5</v>
      </c>
      <c r="D269" s="103" t="s">
        <v>776</v>
      </c>
      <c r="F269" s="103" t="s">
        <v>49</v>
      </c>
      <c r="G269" s="103">
        <v>1</v>
      </c>
      <c r="H269" s="103">
        <v>2</v>
      </c>
      <c r="I269" s="104" t="s">
        <v>777</v>
      </c>
      <c r="J269" s="102" t="s">
        <v>157</v>
      </c>
      <c r="K269" s="102">
        <v>48</v>
      </c>
      <c r="L269" s="103">
        <v>0</v>
      </c>
      <c r="M269" s="104">
        <v>62</v>
      </c>
      <c r="N269" s="102">
        <v>63</v>
      </c>
      <c r="O269" s="102">
        <v>43</v>
      </c>
      <c r="P269" s="102">
        <v>48</v>
      </c>
      <c r="Q269" s="104">
        <f>_xlfn.FLOOR.MATH(0+0*B269)</f>
        <v>0</v>
      </c>
      <c r="R269" s="102">
        <f>_xlfn.FLOOR.MATH(12+0.35*B269)</f>
        <v>50</v>
      </c>
      <c r="S269" s="102">
        <f>_xlfn.FLOOR.MATH(26+0.3*B269)</f>
        <v>59</v>
      </c>
      <c r="T269" s="105">
        <f>_xlfn.FLOOR.MATH(38+0.51*B269)</f>
        <v>94</v>
      </c>
      <c r="U269" s="102">
        <v>50</v>
      </c>
      <c r="V269" s="102">
        <v>23.5</v>
      </c>
      <c r="W269" s="106" t="s">
        <v>158</v>
      </c>
      <c r="Y269" s="102" t="s">
        <v>127</v>
      </c>
      <c r="Z269" s="102" t="s">
        <v>128</v>
      </c>
      <c r="AA269" s="104">
        <v>0</v>
      </c>
      <c r="AB269" s="105">
        <v>0</v>
      </c>
      <c r="AC269" s="104">
        <v>3</v>
      </c>
      <c r="AD269" s="123" t="s">
        <v>778</v>
      </c>
      <c r="AE269" s="104">
        <v>30</v>
      </c>
      <c r="AF269" s="105">
        <v>70</v>
      </c>
      <c r="AG269" s="104">
        <v>1.28</v>
      </c>
      <c r="AH269" s="102">
        <v>2.4</v>
      </c>
      <c r="AI269" s="105">
        <v>0.75</v>
      </c>
      <c r="AJ269" s="104">
        <v>30</v>
      </c>
      <c r="AK269" s="102">
        <v>40</v>
      </c>
      <c r="AL269" s="102">
        <v>30</v>
      </c>
      <c r="AM269" s="105">
        <v>0</v>
      </c>
      <c r="AN269" s="104">
        <v>37</v>
      </c>
      <c r="AO269" s="102">
        <v>4</v>
      </c>
      <c r="AP269" s="102">
        <v>24</v>
      </c>
      <c r="AQ269" s="105">
        <v>9</v>
      </c>
      <c r="AU269" s="125" t="str">
        <f>HYPERLINK("http://www.jianrmod.cn/data/shipGetInfo.html?type=0&amp;cid=10029712","详细")</f>
        <v>详细</v>
      </c>
    </row>
    <row r="270" ht="39.6" spans="1:48">
      <c r="A270" s="100">
        <v>10029811</v>
      </c>
      <c r="B270" s="101">
        <v>110</v>
      </c>
      <c r="C270" s="102">
        <v>6</v>
      </c>
      <c r="D270" s="103" t="s">
        <v>779</v>
      </c>
      <c r="F270" s="103" t="s">
        <v>49</v>
      </c>
      <c r="G270" s="103">
        <v>0</v>
      </c>
      <c r="H270" s="103">
        <v>2</v>
      </c>
      <c r="I270" s="104" t="s">
        <v>780</v>
      </c>
      <c r="J270" s="102" t="s">
        <v>781</v>
      </c>
      <c r="K270" s="102">
        <v>10</v>
      </c>
      <c r="L270" s="103">
        <v>2</v>
      </c>
      <c r="M270" s="104">
        <v>29</v>
      </c>
      <c r="N270" s="102">
        <v>13</v>
      </c>
      <c r="O270" s="102">
        <v>0</v>
      </c>
      <c r="P270" s="102">
        <v>35</v>
      </c>
      <c r="Q270" s="104">
        <f>_xlfn.FLOOR.MATH(0+0*B270)</f>
        <v>0</v>
      </c>
      <c r="R270" s="102">
        <f>_xlfn.FLOOR.MATH(5+0.1*B270)</f>
        <v>16</v>
      </c>
      <c r="S270" s="102">
        <f>_xlfn.FLOOR.MATH(30+0.6*B270)</f>
        <v>96</v>
      </c>
      <c r="T270" s="105">
        <f>_xlfn.FLOOR.MATH(33+0.52*B270)</f>
        <v>90</v>
      </c>
      <c r="U270" s="102">
        <v>50</v>
      </c>
      <c r="V270" s="102">
        <v>15</v>
      </c>
      <c r="W270" s="106" t="s">
        <v>115</v>
      </c>
      <c r="Y270" s="102" t="s">
        <v>241</v>
      </c>
      <c r="Z270" s="102" t="s">
        <v>128</v>
      </c>
      <c r="AA270" s="104">
        <v>0</v>
      </c>
      <c r="AB270" s="105">
        <v>0</v>
      </c>
      <c r="AC270" s="104">
        <v>2</v>
      </c>
      <c r="AD270" s="123"/>
      <c r="AE270" s="104">
        <v>10</v>
      </c>
      <c r="AF270" s="105">
        <v>10</v>
      </c>
      <c r="AG270" s="104">
        <v>1</v>
      </c>
      <c r="AH270" s="102">
        <v>1</v>
      </c>
      <c r="AI270" s="105">
        <v>0.5</v>
      </c>
      <c r="AJ270" s="104">
        <v>2</v>
      </c>
      <c r="AK270" s="102">
        <v>2</v>
      </c>
      <c r="AL270" s="102">
        <v>2</v>
      </c>
      <c r="AM270" s="105">
        <v>0</v>
      </c>
      <c r="AN270" s="104">
        <v>5</v>
      </c>
      <c r="AO270" s="102">
        <v>0</v>
      </c>
      <c r="AP270" s="102">
        <v>2</v>
      </c>
      <c r="AQ270" s="105">
        <v>0</v>
      </c>
      <c r="AR270" s="108" t="s">
        <v>782</v>
      </c>
      <c r="AU270" s="125"/>
      <c r="AV270" s="112" t="s">
        <v>783</v>
      </c>
    </row>
    <row r="271" spans="1:47">
      <c r="A271" s="100">
        <v>10030111</v>
      </c>
      <c r="B271" s="101">
        <v>110</v>
      </c>
      <c r="C271" s="102">
        <v>4</v>
      </c>
      <c r="D271" s="103" t="s">
        <v>784</v>
      </c>
      <c r="F271" s="103" t="s">
        <v>49</v>
      </c>
      <c r="G271" s="103">
        <v>1</v>
      </c>
      <c r="H271" s="103">
        <v>2</v>
      </c>
      <c r="I271" s="104" t="s">
        <v>86</v>
      </c>
      <c r="J271" s="102" t="s">
        <v>246</v>
      </c>
      <c r="K271" s="102">
        <v>16</v>
      </c>
      <c r="L271" s="103">
        <v>0</v>
      </c>
      <c r="M271" s="104">
        <v>29</v>
      </c>
      <c r="N271" s="102">
        <v>22</v>
      </c>
      <c r="O271" s="102">
        <v>74</v>
      </c>
      <c r="P271" s="102">
        <v>39</v>
      </c>
      <c r="Q271" s="104">
        <f>_xlfn.FLOOR.MATH(25+0.3*B271)</f>
        <v>58</v>
      </c>
      <c r="R271" s="102">
        <f>_xlfn.FLOOR.MATH(6+0.1*B271)</f>
        <v>17</v>
      </c>
      <c r="S271" s="102">
        <f>_xlfn.FLOOR.MATH(37+0.4*B271)</f>
        <v>81</v>
      </c>
      <c r="T271" s="105">
        <f>_xlfn.FLOOR.MATH(30+0.52*B271)</f>
        <v>87</v>
      </c>
      <c r="U271" s="102">
        <v>7</v>
      </c>
      <c r="V271" s="102">
        <v>37</v>
      </c>
      <c r="W271" s="106" t="s">
        <v>115</v>
      </c>
      <c r="X271" s="106" t="s">
        <v>785</v>
      </c>
      <c r="Y271" s="102" t="s">
        <v>241</v>
      </c>
      <c r="Z271" s="102" t="s">
        <v>128</v>
      </c>
      <c r="AA271" s="104">
        <v>0</v>
      </c>
      <c r="AB271" s="105">
        <v>0</v>
      </c>
      <c r="AC271" s="104">
        <v>2</v>
      </c>
      <c r="AD271" s="123" t="s">
        <v>786</v>
      </c>
      <c r="AE271" s="104">
        <v>15</v>
      </c>
      <c r="AF271" s="105">
        <v>25</v>
      </c>
      <c r="AG271" s="104">
        <v>0.48</v>
      </c>
      <c r="AH271" s="102">
        <v>0.9</v>
      </c>
      <c r="AI271" s="105">
        <v>0.4</v>
      </c>
      <c r="AJ271" s="104">
        <v>4</v>
      </c>
      <c r="AK271" s="102">
        <v>8</v>
      </c>
      <c r="AL271" s="102">
        <v>6</v>
      </c>
      <c r="AM271" s="105">
        <v>0</v>
      </c>
      <c r="AN271" s="104">
        <v>0</v>
      </c>
      <c r="AO271" s="102">
        <v>24</v>
      </c>
      <c r="AP271" s="102">
        <v>7</v>
      </c>
      <c r="AQ271" s="105">
        <v>4</v>
      </c>
      <c r="AT271" s="110">
        <v>0.0159722222222222</v>
      </c>
      <c r="AU271" s="125"/>
    </row>
    <row r="272" spans="1:47">
      <c r="A272" s="100">
        <v>10030212</v>
      </c>
      <c r="B272" s="101">
        <v>110</v>
      </c>
      <c r="C272" s="102">
        <v>4</v>
      </c>
      <c r="D272" s="103" t="s">
        <v>787</v>
      </c>
      <c r="F272" s="103" t="s">
        <v>49</v>
      </c>
      <c r="G272" s="103">
        <v>1</v>
      </c>
      <c r="H272" s="103">
        <v>2</v>
      </c>
      <c r="I272" s="104" t="s">
        <v>86</v>
      </c>
      <c r="J272" s="102" t="s">
        <v>184</v>
      </c>
      <c r="K272" s="102">
        <v>33</v>
      </c>
      <c r="L272" s="103">
        <v>-1</v>
      </c>
      <c r="M272" s="104">
        <v>62</v>
      </c>
      <c r="N272" s="102">
        <v>54</v>
      </c>
      <c r="O272" s="102">
        <v>0</v>
      </c>
      <c r="P272" s="102">
        <v>85</v>
      </c>
      <c r="Q272" s="104">
        <f>_xlfn.FLOOR.MATH(25+0.4*B272)</f>
        <v>69</v>
      </c>
      <c r="R272" s="102">
        <f>_xlfn.FLOOR.MATH(12+0.1*B272)</f>
        <v>23</v>
      </c>
      <c r="S272" s="102">
        <f>_xlfn.FLOOR.MATH(31+0.35*B272)</f>
        <v>69</v>
      </c>
      <c r="T272" s="105">
        <f>_xlfn.FLOOR.MATH(34+0.52*B272)</f>
        <v>91</v>
      </c>
      <c r="U272" s="102">
        <v>25</v>
      </c>
      <c r="V272" s="102">
        <v>31.5</v>
      </c>
      <c r="W272" s="106" t="s">
        <v>158</v>
      </c>
      <c r="Y272" s="102" t="s">
        <v>127</v>
      </c>
      <c r="Z272" s="102" t="s">
        <v>128</v>
      </c>
      <c r="AA272" s="104" t="s">
        <v>228</v>
      </c>
      <c r="AB272" s="105">
        <v>12</v>
      </c>
      <c r="AC272" s="104">
        <v>3</v>
      </c>
      <c r="AD272" s="123" t="s">
        <v>788</v>
      </c>
      <c r="AE272" s="104">
        <v>30</v>
      </c>
      <c r="AF272" s="105">
        <v>35</v>
      </c>
      <c r="AG272" s="104">
        <v>0.8</v>
      </c>
      <c r="AH272" s="102">
        <v>1.5</v>
      </c>
      <c r="AI272" s="105">
        <v>0.4</v>
      </c>
      <c r="AJ272" s="104">
        <v>10</v>
      </c>
      <c r="AK272" s="102">
        <v>16</v>
      </c>
      <c r="AL272" s="102">
        <v>10</v>
      </c>
      <c r="AM272" s="105">
        <v>0</v>
      </c>
      <c r="AN272" s="104">
        <v>16</v>
      </c>
      <c r="AO272" s="102">
        <v>0</v>
      </c>
      <c r="AP272" s="102">
        <v>15</v>
      </c>
      <c r="AQ272" s="105">
        <v>48</v>
      </c>
      <c r="AU272" s="125" t="str">
        <f>HYPERLINK("http://www.jianrmod.cn/data/shipGetInfo.html?type=0&amp;cid=10030212","详细")</f>
        <v>详细</v>
      </c>
    </row>
    <row r="273" ht="26.4" spans="1:48">
      <c r="A273" s="100">
        <v>10030311</v>
      </c>
      <c r="B273" s="101">
        <v>110</v>
      </c>
      <c r="C273" s="102">
        <v>5</v>
      </c>
      <c r="D273" s="103" t="s">
        <v>789</v>
      </c>
      <c r="F273" s="103" t="s">
        <v>49</v>
      </c>
      <c r="G273" s="103">
        <v>0</v>
      </c>
      <c r="H273" s="103">
        <v>2</v>
      </c>
      <c r="I273" s="104" t="s">
        <v>790</v>
      </c>
      <c r="J273" s="102" t="s">
        <v>781</v>
      </c>
      <c r="K273" s="102">
        <v>12</v>
      </c>
      <c r="L273" s="103">
        <v>0</v>
      </c>
      <c r="M273" s="104">
        <v>30</v>
      </c>
      <c r="N273" s="102">
        <v>15</v>
      </c>
      <c r="O273" s="102">
        <v>0</v>
      </c>
      <c r="P273" s="102">
        <v>39</v>
      </c>
      <c r="Q273" s="104">
        <f>_xlfn.FLOOR.MATH(0+0*B273)</f>
        <v>0</v>
      </c>
      <c r="R273" s="102">
        <f>_xlfn.FLOOR.MATH(6+0.1*B273)</f>
        <v>17</v>
      </c>
      <c r="S273" s="102">
        <f>_xlfn.FLOOR.MATH(33+0.6*B273)</f>
        <v>99</v>
      </c>
      <c r="T273" s="105">
        <f>_xlfn.FLOOR.MATH(30+0.52*B273)</f>
        <v>87</v>
      </c>
      <c r="U273" s="102">
        <v>30</v>
      </c>
      <c r="V273" s="102">
        <v>18</v>
      </c>
      <c r="W273" s="106" t="s">
        <v>115</v>
      </c>
      <c r="Y273" s="102" t="s">
        <v>241</v>
      </c>
      <c r="Z273" s="102" t="s">
        <v>128</v>
      </c>
      <c r="AA273" s="104" t="s">
        <v>791</v>
      </c>
      <c r="AB273" s="105">
        <v>2</v>
      </c>
      <c r="AC273" s="104">
        <v>2</v>
      </c>
      <c r="AD273" s="123" t="s">
        <v>792</v>
      </c>
      <c r="AE273" s="104">
        <v>10</v>
      </c>
      <c r="AF273" s="105">
        <v>10</v>
      </c>
      <c r="AG273" s="104">
        <v>1</v>
      </c>
      <c r="AH273" s="102">
        <v>1</v>
      </c>
      <c r="AI273" s="105">
        <v>0.5</v>
      </c>
      <c r="AJ273" s="104">
        <v>2</v>
      </c>
      <c r="AK273" s="102">
        <v>2</v>
      </c>
      <c r="AL273" s="102">
        <v>2</v>
      </c>
      <c r="AM273" s="105">
        <v>0</v>
      </c>
      <c r="AN273" s="104">
        <v>5</v>
      </c>
      <c r="AO273" s="102">
        <v>0</v>
      </c>
      <c r="AP273" s="102">
        <v>3</v>
      </c>
      <c r="AQ273" s="105">
        <v>0</v>
      </c>
      <c r="AR273" s="108" t="s">
        <v>793</v>
      </c>
      <c r="AU273" s="125"/>
      <c r="AV273" s="112" t="s">
        <v>794</v>
      </c>
    </row>
    <row r="274" spans="1:47">
      <c r="A274" s="100">
        <v>10030412</v>
      </c>
      <c r="B274" s="101">
        <v>110</v>
      </c>
      <c r="C274" s="102">
        <v>3</v>
      </c>
      <c r="D274" s="103" t="s">
        <v>795</v>
      </c>
      <c r="F274" s="103" t="s">
        <v>49</v>
      </c>
      <c r="G274" s="103">
        <v>1</v>
      </c>
      <c r="H274" s="103">
        <v>2</v>
      </c>
      <c r="I274" s="104" t="s">
        <v>330</v>
      </c>
      <c r="J274" s="102" t="s">
        <v>184</v>
      </c>
      <c r="K274" s="102">
        <v>29</v>
      </c>
      <c r="L274" s="103">
        <v>-1</v>
      </c>
      <c r="M274" s="104">
        <v>44</v>
      </c>
      <c r="N274" s="102">
        <v>35</v>
      </c>
      <c r="O274" s="102">
        <v>48</v>
      </c>
      <c r="P274" s="102">
        <v>52</v>
      </c>
      <c r="Q274" s="104">
        <f>_xlfn.FLOOR.MATH(26+0.4*B274)</f>
        <v>70</v>
      </c>
      <c r="R274" s="102">
        <f>_xlfn.FLOOR.MATH(8+0.1*B274)</f>
        <v>19</v>
      </c>
      <c r="S274" s="102">
        <f>_xlfn.FLOOR.MATH(20+0.35*B274)</f>
        <v>58</v>
      </c>
      <c r="T274" s="105">
        <f>_xlfn.FLOOR.MATH(30+0.52*B274)</f>
        <v>87</v>
      </c>
      <c r="U274" s="102">
        <v>23</v>
      </c>
      <c r="V274" s="102">
        <v>25</v>
      </c>
      <c r="W274" s="106" t="s">
        <v>158</v>
      </c>
      <c r="Y274" s="102" t="s">
        <v>127</v>
      </c>
      <c r="Z274" s="102" t="s">
        <v>128</v>
      </c>
      <c r="AA274" s="104" t="s">
        <v>160</v>
      </c>
      <c r="AB274" s="105">
        <v>6</v>
      </c>
      <c r="AC274" s="104">
        <v>3</v>
      </c>
      <c r="AD274" s="123" t="s">
        <v>796</v>
      </c>
      <c r="AE274" s="104">
        <v>20</v>
      </c>
      <c r="AF274" s="105">
        <v>25</v>
      </c>
      <c r="AG274" s="104">
        <v>0.8</v>
      </c>
      <c r="AH274" s="102">
        <v>1.5</v>
      </c>
      <c r="AI274" s="105">
        <v>0.5</v>
      </c>
      <c r="AJ274" s="104">
        <v>10</v>
      </c>
      <c r="AK274" s="102">
        <v>16</v>
      </c>
      <c r="AL274" s="102">
        <v>10</v>
      </c>
      <c r="AM274" s="105">
        <v>0</v>
      </c>
      <c r="AN274" s="104">
        <v>10</v>
      </c>
      <c r="AO274" s="102">
        <v>8</v>
      </c>
      <c r="AP274" s="102">
        <v>8</v>
      </c>
      <c r="AQ274" s="105">
        <v>11</v>
      </c>
      <c r="AU274" s="125" t="str">
        <f>HYPERLINK("http://www.jianrmod.cn/data/shipGetInfo.html?type=0&amp;cid=10030412","详细")</f>
        <v>详细</v>
      </c>
    </row>
    <row r="275" ht="39.6" spans="1:47">
      <c r="A275" s="100">
        <v>10030513</v>
      </c>
      <c r="B275" s="101">
        <v>110</v>
      </c>
      <c r="C275" s="102">
        <v>5</v>
      </c>
      <c r="D275" s="103" t="s">
        <v>797</v>
      </c>
      <c r="F275" s="103" t="s">
        <v>49</v>
      </c>
      <c r="G275" s="103">
        <v>3</v>
      </c>
      <c r="H275" s="103">
        <v>3</v>
      </c>
      <c r="I275" s="104" t="s">
        <v>50</v>
      </c>
      <c r="J275" s="102" t="s">
        <v>61</v>
      </c>
      <c r="K275" s="102">
        <v>74</v>
      </c>
      <c r="L275" s="103">
        <v>2</v>
      </c>
      <c r="M275" s="104">
        <v>95</v>
      </c>
      <c r="N275" s="102">
        <v>95</v>
      </c>
      <c r="O275" s="102">
        <v>0</v>
      </c>
      <c r="P275" s="102">
        <v>85</v>
      </c>
      <c r="Q275" s="104">
        <f>_xlfn.FLOOR.MATH(0+0*B275)</f>
        <v>0</v>
      </c>
      <c r="R275" s="102">
        <f>_xlfn.FLOOR.MATH(15+0.25*B275)</f>
        <v>42</v>
      </c>
      <c r="S275" s="102">
        <f>_xlfn.FLOOR.MATH(26+0.2*B275)</f>
        <v>48</v>
      </c>
      <c r="T275" s="105">
        <f>_xlfn.FLOOR.MATH(40+0.51*B275)</f>
        <v>96</v>
      </c>
      <c r="U275" s="102">
        <v>24</v>
      </c>
      <c r="V275" s="102">
        <v>29</v>
      </c>
      <c r="W275" s="106" t="s">
        <v>52</v>
      </c>
      <c r="Y275" s="102" t="s">
        <v>54</v>
      </c>
      <c r="Z275" s="102" t="s">
        <v>55</v>
      </c>
      <c r="AA275" s="104" t="s">
        <v>75</v>
      </c>
      <c r="AB275" s="105">
        <v>16</v>
      </c>
      <c r="AC275" s="104">
        <v>4</v>
      </c>
      <c r="AD275" s="123" t="s">
        <v>798</v>
      </c>
      <c r="AE275" s="104">
        <v>90</v>
      </c>
      <c r="AF275" s="105">
        <v>140</v>
      </c>
      <c r="AG275" s="104">
        <v>4.2</v>
      </c>
      <c r="AH275" s="102">
        <v>8</v>
      </c>
      <c r="AI275" s="105">
        <v>1</v>
      </c>
      <c r="AJ275" s="104">
        <v>50</v>
      </c>
      <c r="AK275" s="102">
        <v>60</v>
      </c>
      <c r="AL275" s="102">
        <v>60</v>
      </c>
      <c r="AM275" s="105">
        <v>0</v>
      </c>
      <c r="AN275" s="104">
        <v>80</v>
      </c>
      <c r="AO275" s="102">
        <v>0</v>
      </c>
      <c r="AP275" s="102">
        <v>75</v>
      </c>
      <c r="AQ275" s="105">
        <v>44</v>
      </c>
      <c r="AR275" s="108" t="s">
        <v>799</v>
      </c>
      <c r="AT275" s="110">
        <v>0.222222222222222</v>
      </c>
      <c r="AU275" s="125"/>
    </row>
    <row r="276" spans="1:47">
      <c r="A276" s="100">
        <v>10030611</v>
      </c>
      <c r="B276" s="101">
        <v>110</v>
      </c>
      <c r="C276" s="102">
        <v>4</v>
      </c>
      <c r="D276" s="103" t="s">
        <v>800</v>
      </c>
      <c r="F276" s="103" t="s">
        <v>49</v>
      </c>
      <c r="G276" s="103">
        <v>1</v>
      </c>
      <c r="H276" s="103">
        <v>2</v>
      </c>
      <c r="I276" s="104" t="s">
        <v>50</v>
      </c>
      <c r="J276" s="102" t="s">
        <v>246</v>
      </c>
      <c r="K276" s="102">
        <v>18</v>
      </c>
      <c r="L276" s="103">
        <v>2</v>
      </c>
      <c r="M276" s="104">
        <v>30</v>
      </c>
      <c r="N276" s="102">
        <v>23</v>
      </c>
      <c r="O276" s="102">
        <v>73</v>
      </c>
      <c r="P276" s="102">
        <v>63</v>
      </c>
      <c r="Q276" s="104">
        <f>_xlfn.FLOOR.MATH(34+0.3*B276)</f>
        <v>67</v>
      </c>
      <c r="R276" s="102">
        <f>_xlfn.FLOOR.MATH(6+0.1*B276)</f>
        <v>17</v>
      </c>
      <c r="S276" s="102">
        <f>_xlfn.FLOOR.MATH(36+0.4*B276)</f>
        <v>80</v>
      </c>
      <c r="T276" s="105">
        <f>_xlfn.FLOOR.MATH(30+0.52*B276)</f>
        <v>87</v>
      </c>
      <c r="U276" s="102">
        <v>15</v>
      </c>
      <c r="V276" s="102">
        <v>35.8</v>
      </c>
      <c r="W276" s="106" t="s">
        <v>115</v>
      </c>
      <c r="X276" s="106" t="s">
        <v>801</v>
      </c>
      <c r="Y276" s="102" t="s">
        <v>241</v>
      </c>
      <c r="Z276" s="102" t="s">
        <v>128</v>
      </c>
      <c r="AA276" s="104">
        <v>0</v>
      </c>
      <c r="AB276" s="105">
        <v>0</v>
      </c>
      <c r="AC276" s="104">
        <v>2</v>
      </c>
      <c r="AD276" s="123" t="s">
        <v>802</v>
      </c>
      <c r="AE276" s="104">
        <v>10</v>
      </c>
      <c r="AF276" s="105">
        <v>25</v>
      </c>
      <c r="AG276" s="104">
        <v>0.48</v>
      </c>
      <c r="AH276" s="102">
        <v>0.9</v>
      </c>
      <c r="AI276" s="105">
        <v>0.5</v>
      </c>
      <c r="AJ276" s="104">
        <v>4</v>
      </c>
      <c r="AK276" s="102">
        <v>8</v>
      </c>
      <c r="AL276" s="102">
        <v>6</v>
      </c>
      <c r="AM276" s="105">
        <v>0</v>
      </c>
      <c r="AN276" s="104">
        <v>3</v>
      </c>
      <c r="AO276" s="102">
        <v>23</v>
      </c>
      <c r="AP276" s="102">
        <v>8</v>
      </c>
      <c r="AQ276" s="105">
        <v>0</v>
      </c>
      <c r="AU276" s="125" t="str">
        <f>HYPERLINK("http://www.jianrmod.cn/data/shipGetInfo.html?type=0&amp;cid=10030611","详细")</f>
        <v>详细</v>
      </c>
    </row>
    <row r="277" ht="66" spans="1:48">
      <c r="A277" s="100">
        <v>10030711</v>
      </c>
      <c r="B277" s="101">
        <v>110</v>
      </c>
      <c r="C277" s="102">
        <v>5</v>
      </c>
      <c r="D277" s="103" t="s">
        <v>803</v>
      </c>
      <c r="F277" s="103" t="s">
        <v>49</v>
      </c>
      <c r="G277" s="103">
        <v>0</v>
      </c>
      <c r="H277" s="103">
        <v>2</v>
      </c>
      <c r="I277" s="104" t="s">
        <v>86</v>
      </c>
      <c r="J277" s="102" t="s">
        <v>781</v>
      </c>
      <c r="K277" s="102">
        <v>40</v>
      </c>
      <c r="L277" s="103">
        <v>0</v>
      </c>
      <c r="M277" s="104">
        <v>28</v>
      </c>
      <c r="N277" s="102">
        <v>22</v>
      </c>
      <c r="O277" s="102">
        <v>0</v>
      </c>
      <c r="P277" s="102">
        <v>45</v>
      </c>
      <c r="Q277" s="104">
        <f>_xlfn.FLOOR.MATH(0+0*B277)</f>
        <v>0</v>
      </c>
      <c r="R277" s="102">
        <f>_xlfn.FLOOR.MATH(6+0.1*B277)</f>
        <v>17</v>
      </c>
      <c r="S277" s="102">
        <f>_xlfn.FLOOR.MATH(21+0.5*B277)</f>
        <v>76</v>
      </c>
      <c r="T277" s="105">
        <f>_xlfn.FLOOR.MATH(30+0.52*B277)</f>
        <v>87</v>
      </c>
      <c r="U277" s="102">
        <v>25</v>
      </c>
      <c r="V277" s="102">
        <v>16</v>
      </c>
      <c r="W277" s="106" t="s">
        <v>115</v>
      </c>
      <c r="Y277" s="102" t="s">
        <v>241</v>
      </c>
      <c r="Z277" s="102" t="s">
        <v>128</v>
      </c>
      <c r="AA277" s="104">
        <v>0</v>
      </c>
      <c r="AB277" s="105">
        <v>0</v>
      </c>
      <c r="AC277" s="104">
        <v>3</v>
      </c>
      <c r="AD277" s="123" t="s">
        <v>316</v>
      </c>
      <c r="AE277" s="104">
        <v>40</v>
      </c>
      <c r="AF277" s="105">
        <v>20</v>
      </c>
      <c r="AG277" s="104">
        <v>1.28</v>
      </c>
      <c r="AH277" s="102">
        <v>2.4</v>
      </c>
      <c r="AI277" s="105">
        <v>0.5</v>
      </c>
      <c r="AJ277" s="104">
        <v>2</v>
      </c>
      <c r="AK277" s="102">
        <v>2</v>
      </c>
      <c r="AL277" s="102">
        <v>2</v>
      </c>
      <c r="AM277" s="105">
        <v>0</v>
      </c>
      <c r="AN277" s="104">
        <v>4</v>
      </c>
      <c r="AO277" s="102">
        <v>0</v>
      </c>
      <c r="AP277" s="102">
        <v>4</v>
      </c>
      <c r="AQ277" s="105">
        <v>4</v>
      </c>
      <c r="AR277" s="108" t="s">
        <v>804</v>
      </c>
      <c r="AT277" s="110">
        <v>0.0277777777777778</v>
      </c>
      <c r="AU277" s="125"/>
      <c r="AV277" s="112" t="s">
        <v>805</v>
      </c>
    </row>
    <row r="278" spans="1:47">
      <c r="A278" s="100">
        <v>10030812</v>
      </c>
      <c r="B278" s="101">
        <v>110</v>
      </c>
      <c r="C278" s="102">
        <v>4</v>
      </c>
      <c r="D278" s="103" t="s">
        <v>806</v>
      </c>
      <c r="F278" s="103" t="s">
        <v>49</v>
      </c>
      <c r="G278" s="103">
        <v>1</v>
      </c>
      <c r="H278" s="103">
        <v>2</v>
      </c>
      <c r="I278" s="104" t="s">
        <v>619</v>
      </c>
      <c r="J278" s="102" t="s">
        <v>807</v>
      </c>
      <c r="K278" s="102">
        <v>25</v>
      </c>
      <c r="L278" s="103">
        <v>-1</v>
      </c>
      <c r="M278" s="104">
        <v>40</v>
      </c>
      <c r="N278" s="102">
        <v>36</v>
      </c>
      <c r="O278" s="102">
        <v>50</v>
      </c>
      <c r="P278" s="102">
        <v>60</v>
      </c>
      <c r="Q278" s="104">
        <f>_xlfn.FLOOR.MATH(20+0.3*B278)</f>
        <v>53</v>
      </c>
      <c r="R278" s="102">
        <f>_xlfn.FLOOR.MATH(32+0.1*B278)</f>
        <v>43</v>
      </c>
      <c r="S278" s="102">
        <f>_xlfn.FLOOR.MATH(22+0.35*B278)</f>
        <v>60</v>
      </c>
      <c r="T278" s="105">
        <f>_xlfn.FLOOR.MATH(30+0.52*B278)</f>
        <v>87</v>
      </c>
      <c r="U278" s="102">
        <v>16</v>
      </c>
      <c r="V278" s="102">
        <v>27.5</v>
      </c>
      <c r="W278" s="106" t="s">
        <v>158</v>
      </c>
      <c r="Y278" s="102" t="s">
        <v>127</v>
      </c>
      <c r="Z278" s="102" t="s">
        <v>128</v>
      </c>
      <c r="AA278" s="104" t="s">
        <v>808</v>
      </c>
      <c r="AB278" s="105">
        <v>8</v>
      </c>
      <c r="AC278" s="104">
        <v>3</v>
      </c>
      <c r="AD278" s="123" t="s">
        <v>809</v>
      </c>
      <c r="AE278" s="104">
        <v>30</v>
      </c>
      <c r="AF278" s="105">
        <v>80</v>
      </c>
      <c r="AG278" s="104">
        <v>1.28</v>
      </c>
      <c r="AH278" s="102">
        <v>1.5</v>
      </c>
      <c r="AI278" s="105">
        <v>0.5</v>
      </c>
      <c r="AJ278" s="104">
        <v>50</v>
      </c>
      <c r="AK278" s="102">
        <v>40</v>
      </c>
      <c r="AL278" s="102">
        <v>60</v>
      </c>
      <c r="AM278" s="105">
        <v>6</v>
      </c>
      <c r="AN278" s="104">
        <v>15</v>
      </c>
      <c r="AO278" s="102">
        <v>5</v>
      </c>
      <c r="AP278" s="102">
        <v>8</v>
      </c>
      <c r="AQ278" s="105">
        <v>25</v>
      </c>
      <c r="AU278" s="125" t="str">
        <f>HYPERLINK("http://www.jianrmod.cn/data/shipGetInfo.html?type=0&amp;cid=10030812","详细")</f>
        <v>详细</v>
      </c>
    </row>
    <row r="279" ht="26.4" spans="1:48">
      <c r="A279" s="100">
        <v>10030911</v>
      </c>
      <c r="B279" s="101">
        <v>110</v>
      </c>
      <c r="C279" s="102">
        <v>6</v>
      </c>
      <c r="D279" s="103" t="s">
        <v>810</v>
      </c>
      <c r="F279" s="103" t="s">
        <v>49</v>
      </c>
      <c r="G279" s="103">
        <v>0</v>
      </c>
      <c r="H279" s="103">
        <v>2</v>
      </c>
      <c r="I279" s="104" t="s">
        <v>326</v>
      </c>
      <c r="J279" s="102" t="s">
        <v>239</v>
      </c>
      <c r="K279" s="102">
        <v>20</v>
      </c>
      <c r="L279" s="103">
        <v>0</v>
      </c>
      <c r="M279" s="104">
        <v>50</v>
      </c>
      <c r="N279" s="102">
        <v>56</v>
      </c>
      <c r="O279" s="102">
        <v>0</v>
      </c>
      <c r="P279" s="102">
        <v>5</v>
      </c>
      <c r="Q279" s="104">
        <f>_xlfn.FLOOR.MATH(0+0*B279)</f>
        <v>0</v>
      </c>
      <c r="R279" s="102">
        <f>_xlfn.FLOOR.MATH(6+0.1*B279)</f>
        <v>17</v>
      </c>
      <c r="S279" s="102">
        <f>_xlfn.FLOOR.MATH(6+0.3*B279)</f>
        <v>39</v>
      </c>
      <c r="T279" s="105">
        <f>_xlfn.FLOOR.MATH(32+0.5*B279)</f>
        <v>87</v>
      </c>
      <c r="U279" s="102">
        <v>9</v>
      </c>
      <c r="V279" s="102">
        <v>6</v>
      </c>
      <c r="W279" s="106" t="s">
        <v>52</v>
      </c>
      <c r="Y279" s="102" t="s">
        <v>241</v>
      </c>
      <c r="Z279" s="102" t="s">
        <v>128</v>
      </c>
      <c r="AA279" s="104">
        <v>0</v>
      </c>
      <c r="AB279" s="105">
        <v>0</v>
      </c>
      <c r="AC279" s="104">
        <v>2</v>
      </c>
      <c r="AE279" s="104">
        <v>12</v>
      </c>
      <c r="AF279" s="105">
        <v>25</v>
      </c>
      <c r="AG279" s="104">
        <v>0.48</v>
      </c>
      <c r="AH279" s="102">
        <v>1.05</v>
      </c>
      <c r="AI279" s="105">
        <v>0.4</v>
      </c>
      <c r="AJ279" s="104">
        <v>20</v>
      </c>
      <c r="AK279" s="102">
        <v>20</v>
      </c>
      <c r="AL279" s="102">
        <v>30</v>
      </c>
      <c r="AM279" s="105">
        <v>0</v>
      </c>
      <c r="AN279" s="104">
        <v>20</v>
      </c>
      <c r="AO279" s="102">
        <v>0</v>
      </c>
      <c r="AP279" s="102">
        <v>36</v>
      </c>
      <c r="AQ279" s="105">
        <v>0</v>
      </c>
      <c r="AR279" s="108" t="s">
        <v>811</v>
      </c>
      <c r="AT279" s="110">
        <v>0.0416666666666667</v>
      </c>
      <c r="AU279" s="125"/>
      <c r="AV279" s="112" t="s">
        <v>812</v>
      </c>
    </row>
    <row r="280" spans="1:47">
      <c r="A280" s="100">
        <v>10031011</v>
      </c>
      <c r="B280" s="101">
        <v>110</v>
      </c>
      <c r="C280" s="102">
        <v>4</v>
      </c>
      <c r="D280" s="103" t="s">
        <v>813</v>
      </c>
      <c r="F280" s="103" t="s">
        <v>49</v>
      </c>
      <c r="G280" s="103">
        <v>1</v>
      </c>
      <c r="H280" s="103">
        <v>2</v>
      </c>
      <c r="I280" s="104" t="s">
        <v>86</v>
      </c>
      <c r="J280" s="102" t="s">
        <v>246</v>
      </c>
      <c r="K280" s="102">
        <v>16</v>
      </c>
      <c r="L280" s="103">
        <v>0</v>
      </c>
      <c r="M280" s="104">
        <v>29</v>
      </c>
      <c r="N280" s="102">
        <v>22</v>
      </c>
      <c r="O280" s="102">
        <v>74</v>
      </c>
      <c r="P280" s="102">
        <v>39</v>
      </c>
      <c r="Q280" s="104">
        <f>_xlfn.FLOOR.MATH(25+0.3*B280)</f>
        <v>58</v>
      </c>
      <c r="R280" s="102">
        <f>_xlfn.FLOOR.MATH(6+0.1*B280)</f>
        <v>17</v>
      </c>
      <c r="S280" s="102">
        <f>_xlfn.FLOOR.MATH(37+0.4*B280)</f>
        <v>81</v>
      </c>
      <c r="T280" s="105">
        <f>_xlfn.FLOOR.MATH(30+0.52*B280)</f>
        <v>87</v>
      </c>
      <c r="U280" s="102">
        <v>10</v>
      </c>
      <c r="V280" s="102">
        <v>37</v>
      </c>
      <c r="W280" s="106" t="s">
        <v>115</v>
      </c>
      <c r="Y280" s="102" t="s">
        <v>241</v>
      </c>
      <c r="Z280" s="102" t="s">
        <v>128</v>
      </c>
      <c r="AA280" s="104">
        <v>0</v>
      </c>
      <c r="AB280" s="105">
        <v>0</v>
      </c>
      <c r="AC280" s="104">
        <v>2</v>
      </c>
      <c r="AD280" s="123" t="s">
        <v>524</v>
      </c>
      <c r="AE280" s="104">
        <v>15</v>
      </c>
      <c r="AF280" s="105">
        <v>25</v>
      </c>
      <c r="AG280" s="104">
        <v>0.48</v>
      </c>
      <c r="AH280" s="102">
        <v>0.9</v>
      </c>
      <c r="AI280" s="105">
        <v>0.4</v>
      </c>
      <c r="AJ280" s="104">
        <v>4</v>
      </c>
      <c r="AK280" s="102">
        <v>8</v>
      </c>
      <c r="AL280" s="102">
        <v>6</v>
      </c>
      <c r="AM280" s="105">
        <v>0</v>
      </c>
      <c r="AN280" s="104">
        <v>0</v>
      </c>
      <c r="AO280" s="102">
        <v>24</v>
      </c>
      <c r="AP280" s="102">
        <v>7</v>
      </c>
      <c r="AQ280" s="105">
        <v>4</v>
      </c>
      <c r="AU280" s="125" t="str">
        <f>HYPERLINK("http://www.jianrmod.cn/data/shipGetInfo.html?type=0&amp;cid=10031011","详细")</f>
        <v>详细</v>
      </c>
    </row>
    <row r="281" spans="1:47">
      <c r="A281" s="100">
        <v>10031112</v>
      </c>
      <c r="B281" s="101">
        <v>110</v>
      </c>
      <c r="C281" s="102">
        <v>3</v>
      </c>
      <c r="D281" s="103" t="s">
        <v>814</v>
      </c>
      <c r="F281" s="103" t="s">
        <v>49</v>
      </c>
      <c r="G281" s="103">
        <v>2</v>
      </c>
      <c r="H281" s="103">
        <v>2</v>
      </c>
      <c r="I281" s="104" t="s">
        <v>86</v>
      </c>
      <c r="J281" s="102" t="s">
        <v>125</v>
      </c>
      <c r="K281" s="102">
        <v>36</v>
      </c>
      <c r="L281" s="103">
        <v>0</v>
      </c>
      <c r="M281" s="104">
        <v>20</v>
      </c>
      <c r="N281" s="102">
        <v>27</v>
      </c>
      <c r="O281" s="102">
        <v>0</v>
      </c>
      <c r="P281" s="102">
        <v>67</v>
      </c>
      <c r="Q281" s="104">
        <f>_xlfn.FLOOR.MATH(0+0*B281)</f>
        <v>0</v>
      </c>
      <c r="R281" s="102">
        <f>_xlfn.FLOOR.MATH(38+0.25*B281)</f>
        <v>65</v>
      </c>
      <c r="S281" s="102">
        <f>_xlfn.FLOOR.MATH(15+0.2*B281)</f>
        <v>37</v>
      </c>
      <c r="T281" s="105">
        <f>_xlfn.FLOOR.MATH(33+0.51*B281)</f>
        <v>89</v>
      </c>
      <c r="U281" s="102">
        <v>20</v>
      </c>
      <c r="V281" s="102">
        <v>18</v>
      </c>
      <c r="W281" s="106" t="s">
        <v>115</v>
      </c>
      <c r="Y281" s="102" t="s">
        <v>127</v>
      </c>
      <c r="Z281" s="102" t="s">
        <v>128</v>
      </c>
      <c r="AA281" s="104" t="s">
        <v>410</v>
      </c>
      <c r="AB281" s="105">
        <v>28</v>
      </c>
      <c r="AC281" s="104">
        <v>3</v>
      </c>
      <c r="AD281" s="123" t="s">
        <v>411</v>
      </c>
      <c r="AE281" s="104">
        <v>35</v>
      </c>
      <c r="AF281" s="105">
        <v>40</v>
      </c>
      <c r="AG281" s="104">
        <v>1.28</v>
      </c>
      <c r="AH281" s="102">
        <v>2.4</v>
      </c>
      <c r="AI281" s="105">
        <v>0.625</v>
      </c>
      <c r="AJ281" s="104">
        <v>20</v>
      </c>
      <c r="AK281" s="102">
        <v>30</v>
      </c>
      <c r="AL281" s="102">
        <v>50</v>
      </c>
      <c r="AM281" s="105">
        <v>20</v>
      </c>
      <c r="AN281" s="104">
        <v>0</v>
      </c>
      <c r="AO281" s="102">
        <v>0</v>
      </c>
      <c r="AP281" s="102">
        <v>4</v>
      </c>
      <c r="AQ281" s="105">
        <v>43</v>
      </c>
      <c r="AU281" s="125" t="str">
        <f>HYPERLINK("http://www.jianrmod.cn/data/shipGetInfo.html?type=0&amp;cid=10031112","详细")</f>
        <v>详细</v>
      </c>
    </row>
    <row r="282" spans="1:48">
      <c r="A282" s="100">
        <v>10031212</v>
      </c>
      <c r="B282" s="101">
        <v>110</v>
      </c>
      <c r="C282" s="102">
        <v>4</v>
      </c>
      <c r="D282" s="103" t="s">
        <v>815</v>
      </c>
      <c r="F282" s="103" t="s">
        <v>49</v>
      </c>
      <c r="G282" s="103">
        <v>1</v>
      </c>
      <c r="H282" s="103">
        <v>2</v>
      </c>
      <c r="I282" s="104" t="s">
        <v>73</v>
      </c>
      <c r="J282" s="102" t="s">
        <v>184</v>
      </c>
      <c r="K282" s="102">
        <v>35</v>
      </c>
      <c r="L282" s="103">
        <v>1</v>
      </c>
      <c r="M282" s="104">
        <v>50</v>
      </c>
      <c r="N282" s="102">
        <v>46</v>
      </c>
      <c r="O282" s="102">
        <v>60</v>
      </c>
      <c r="P282" s="102">
        <v>54</v>
      </c>
      <c r="Q282" s="104">
        <f>_xlfn.FLOOR.MATH(26+0.4*B282)</f>
        <v>70</v>
      </c>
      <c r="R282" s="102">
        <f>_xlfn.FLOOR.MATH(9+0.1*B282)</f>
        <v>20</v>
      </c>
      <c r="S282" s="102">
        <f>_xlfn.FLOOR.MATH(30+0.35*B282)</f>
        <v>68</v>
      </c>
      <c r="T282" s="105">
        <f>_xlfn.FLOOR.MATH(34+0.52*B282)</f>
        <v>91</v>
      </c>
      <c r="U282" s="102">
        <v>17</v>
      </c>
      <c r="V282" s="102">
        <v>32</v>
      </c>
      <c r="W282" s="106" t="s">
        <v>158</v>
      </c>
      <c r="Y282" s="102" t="s">
        <v>127</v>
      </c>
      <c r="Z282" s="102" t="s">
        <v>128</v>
      </c>
      <c r="AA282" s="104" t="s">
        <v>160</v>
      </c>
      <c r="AB282" s="105">
        <v>6</v>
      </c>
      <c r="AC282" s="104">
        <v>3</v>
      </c>
      <c r="AD282" s="123" t="s">
        <v>710</v>
      </c>
      <c r="AE282" s="104">
        <v>20</v>
      </c>
      <c r="AF282" s="105">
        <v>25</v>
      </c>
      <c r="AG282" s="104">
        <v>0.8</v>
      </c>
      <c r="AH282" s="102">
        <v>1.65</v>
      </c>
      <c r="AI282" s="105">
        <v>0.5</v>
      </c>
      <c r="AJ282" s="104">
        <v>10</v>
      </c>
      <c r="AK282" s="102">
        <v>16</v>
      </c>
      <c r="AL282" s="102">
        <v>10</v>
      </c>
      <c r="AM282" s="105">
        <v>0</v>
      </c>
      <c r="AN282" s="104">
        <v>13</v>
      </c>
      <c r="AO282" s="102">
        <v>20</v>
      </c>
      <c r="AP282" s="102">
        <v>16</v>
      </c>
      <c r="AQ282" s="105">
        <v>12</v>
      </c>
      <c r="AT282" s="110">
        <v>0.0451388888888889</v>
      </c>
      <c r="AU282" s="125"/>
      <c r="AV282" s="112" t="s">
        <v>816</v>
      </c>
    </row>
    <row r="283" spans="1:47">
      <c r="A283" s="100">
        <v>10031312</v>
      </c>
      <c r="B283" s="101">
        <v>110</v>
      </c>
      <c r="C283" s="102">
        <v>3</v>
      </c>
      <c r="D283" s="103" t="s">
        <v>817</v>
      </c>
      <c r="F283" s="103" t="s">
        <v>49</v>
      </c>
      <c r="G283" s="103">
        <v>1</v>
      </c>
      <c r="H283" s="103">
        <v>2</v>
      </c>
      <c r="I283" s="104" t="s">
        <v>50</v>
      </c>
      <c r="J283" s="102" t="s">
        <v>184</v>
      </c>
      <c r="K283" s="102">
        <v>28</v>
      </c>
      <c r="L283" s="103">
        <v>0</v>
      </c>
      <c r="M283" s="104">
        <v>45</v>
      </c>
      <c r="N283" s="102">
        <v>44</v>
      </c>
      <c r="O283" s="102">
        <v>53</v>
      </c>
      <c r="P283" s="102">
        <v>60</v>
      </c>
      <c r="Q283" s="104">
        <f>_xlfn.FLOOR.MATH(28+0.4*B283)</f>
        <v>72</v>
      </c>
      <c r="R283" s="102">
        <f>_xlfn.FLOOR.MATH(10+0.1*B283)</f>
        <v>21</v>
      </c>
      <c r="S283" s="102">
        <f>_xlfn.FLOOR.MATH(30+0.35*B283)</f>
        <v>68</v>
      </c>
      <c r="T283" s="105">
        <f>_xlfn.FLOOR.MATH(33+0.52*B283)</f>
        <v>90</v>
      </c>
      <c r="U283" s="102">
        <v>24</v>
      </c>
      <c r="V283" s="102">
        <v>32.5</v>
      </c>
      <c r="W283" s="106" t="s">
        <v>158</v>
      </c>
      <c r="Y283" s="102" t="s">
        <v>127</v>
      </c>
      <c r="Z283" s="102" t="s">
        <v>128</v>
      </c>
      <c r="AA283" s="104" t="s">
        <v>160</v>
      </c>
      <c r="AB283" s="105">
        <v>6</v>
      </c>
      <c r="AC283" s="104">
        <v>3</v>
      </c>
      <c r="AD283" s="123" t="s">
        <v>213</v>
      </c>
      <c r="AE283" s="104">
        <v>25</v>
      </c>
      <c r="AF283" s="105">
        <v>30</v>
      </c>
      <c r="AG283" s="104">
        <v>0.8</v>
      </c>
      <c r="AH283" s="102">
        <v>1.5</v>
      </c>
      <c r="AI283" s="105">
        <v>0.4</v>
      </c>
      <c r="AJ283" s="104">
        <v>10</v>
      </c>
      <c r="AK283" s="102">
        <v>16</v>
      </c>
      <c r="AL283" s="102">
        <v>10</v>
      </c>
      <c r="AM283" s="105">
        <v>0</v>
      </c>
      <c r="AN283" s="104">
        <v>13</v>
      </c>
      <c r="AO283" s="102">
        <v>13</v>
      </c>
      <c r="AP283" s="102">
        <v>12</v>
      </c>
      <c r="AQ283" s="105">
        <v>15</v>
      </c>
      <c r="AU283" s="125" t="str">
        <f>HYPERLINK("http://www.jianrmod.cn/data/shipGetInfo.html?type=0&amp;cid=10031312","详细")</f>
        <v>详细</v>
      </c>
    </row>
    <row r="284" spans="1:47">
      <c r="A284" s="100">
        <v>10031412</v>
      </c>
      <c r="B284" s="101">
        <v>110</v>
      </c>
      <c r="C284" s="102">
        <v>4</v>
      </c>
      <c r="D284" s="103" t="s">
        <v>818</v>
      </c>
      <c r="F284" s="103" t="s">
        <v>49</v>
      </c>
      <c r="G284" s="103">
        <v>1</v>
      </c>
      <c r="H284" s="103">
        <v>2</v>
      </c>
      <c r="I284" s="104" t="s">
        <v>619</v>
      </c>
      <c r="J284" s="102" t="s">
        <v>184</v>
      </c>
      <c r="K284" s="102">
        <v>29</v>
      </c>
      <c r="L284" s="103">
        <v>-1</v>
      </c>
      <c r="M284" s="104">
        <v>44</v>
      </c>
      <c r="N284" s="102">
        <v>45</v>
      </c>
      <c r="O284" s="102">
        <v>52</v>
      </c>
      <c r="P284" s="102">
        <v>80</v>
      </c>
      <c r="Q284" s="104">
        <f>_xlfn.FLOOR.MATH(24+0.4*B284)</f>
        <v>68</v>
      </c>
      <c r="R284" s="102">
        <f>_xlfn.FLOOR.MATH(10+0.1*B284)</f>
        <v>21</v>
      </c>
      <c r="S284" s="102">
        <f>_xlfn.FLOOR.MATH(35+0.35*B284)</f>
        <v>73</v>
      </c>
      <c r="T284" s="105">
        <f>_xlfn.FLOOR.MATH(34+0.52*B284)</f>
        <v>91</v>
      </c>
      <c r="U284" s="102">
        <v>15</v>
      </c>
      <c r="V284" s="102">
        <v>33</v>
      </c>
      <c r="W284" s="106" t="s">
        <v>158</v>
      </c>
      <c r="Y284" s="102" t="s">
        <v>127</v>
      </c>
      <c r="Z284" s="102" t="s">
        <v>128</v>
      </c>
      <c r="AA284" s="104">
        <v>0</v>
      </c>
      <c r="AB284" s="105">
        <v>0</v>
      </c>
      <c r="AC284" s="104">
        <v>3</v>
      </c>
      <c r="AD284" s="123" t="s">
        <v>819</v>
      </c>
      <c r="AE284" s="104">
        <v>25</v>
      </c>
      <c r="AF284" s="105">
        <v>30</v>
      </c>
      <c r="AG284" s="104">
        <v>0.8</v>
      </c>
      <c r="AH284" s="102">
        <v>1.5</v>
      </c>
      <c r="AI284" s="105">
        <v>0.4</v>
      </c>
      <c r="AJ284" s="104">
        <v>10</v>
      </c>
      <c r="AK284" s="102">
        <v>16</v>
      </c>
      <c r="AL284" s="102">
        <v>10</v>
      </c>
      <c r="AM284" s="105">
        <v>0</v>
      </c>
      <c r="AN284" s="104">
        <v>10</v>
      </c>
      <c r="AO284" s="102">
        <v>12</v>
      </c>
      <c r="AP284" s="102">
        <v>13</v>
      </c>
      <c r="AQ284" s="105">
        <v>39</v>
      </c>
      <c r="AT284" s="110">
        <v>0.0520833333333333</v>
      </c>
      <c r="AU284" s="125"/>
    </row>
    <row r="285" spans="1:47">
      <c r="A285" s="100">
        <v>10031511</v>
      </c>
      <c r="B285" s="101">
        <v>110</v>
      </c>
      <c r="C285" s="102">
        <v>2</v>
      </c>
      <c r="D285" s="103" t="s">
        <v>820</v>
      </c>
      <c r="E285" s="103" t="s">
        <v>821</v>
      </c>
      <c r="F285" s="103" t="s">
        <v>49</v>
      </c>
      <c r="G285" s="103">
        <v>1</v>
      </c>
      <c r="H285" s="103">
        <v>2</v>
      </c>
      <c r="I285" s="104" t="s">
        <v>60</v>
      </c>
      <c r="J285" s="102" t="s">
        <v>246</v>
      </c>
      <c r="K285" s="102">
        <v>19</v>
      </c>
      <c r="L285" s="103">
        <v>1</v>
      </c>
      <c r="M285" s="104">
        <v>33</v>
      </c>
      <c r="N285" s="102">
        <v>22</v>
      </c>
      <c r="O285" s="102">
        <v>68</v>
      </c>
      <c r="P285" s="102">
        <v>58</v>
      </c>
      <c r="Q285" s="104">
        <f>_xlfn.FLOOR.MATH(23+0.3*B285)</f>
        <v>56</v>
      </c>
      <c r="R285" s="102">
        <f>_xlfn.FLOOR.MATH(7+0.1*B285)</f>
        <v>18</v>
      </c>
      <c r="S285" s="102">
        <f>_xlfn.FLOOR.MATH(36+0.4*B285)</f>
        <v>80</v>
      </c>
      <c r="T285" s="105">
        <f>_xlfn.FLOOR.MATH(30+0.52*B285)</f>
        <v>87</v>
      </c>
      <c r="U285" s="102">
        <v>17</v>
      </c>
      <c r="V285" s="102">
        <v>33</v>
      </c>
      <c r="W285" s="106" t="s">
        <v>115</v>
      </c>
      <c r="Y285" s="102" t="s">
        <v>241</v>
      </c>
      <c r="Z285" s="102" t="s">
        <v>128</v>
      </c>
      <c r="AA285" s="104">
        <v>0</v>
      </c>
      <c r="AB285" s="105">
        <v>0</v>
      </c>
      <c r="AC285" s="104">
        <v>2</v>
      </c>
      <c r="AD285" s="123" t="s">
        <v>501</v>
      </c>
      <c r="AE285" s="104">
        <v>15</v>
      </c>
      <c r="AF285" s="105">
        <v>20</v>
      </c>
      <c r="AG285" s="104">
        <v>0.48</v>
      </c>
      <c r="AH285" s="102">
        <v>0.9</v>
      </c>
      <c r="AI285" s="105">
        <v>0.5</v>
      </c>
      <c r="AJ285" s="104">
        <v>2</v>
      </c>
      <c r="AK285" s="102">
        <v>4</v>
      </c>
      <c r="AL285" s="102">
        <v>3</v>
      </c>
      <c r="AM285" s="105">
        <v>0</v>
      </c>
      <c r="AN285" s="104">
        <v>0</v>
      </c>
      <c r="AO285" s="102">
        <v>21</v>
      </c>
      <c r="AP285" s="102">
        <v>7</v>
      </c>
      <c r="AQ285" s="105">
        <v>0</v>
      </c>
      <c r="AU285" s="125" t="str">
        <f>HYPERLINK("http://www.jianrmod.cn/data/shipGetInfo.html?type=0&amp;cid=10031511","详细")</f>
        <v>详细</v>
      </c>
    </row>
    <row r="286" spans="1:47">
      <c r="A286" s="100">
        <v>10031611</v>
      </c>
      <c r="B286" s="101">
        <v>110</v>
      </c>
      <c r="C286" s="102">
        <v>4</v>
      </c>
      <c r="D286" s="103" t="s">
        <v>822</v>
      </c>
      <c r="F286" s="103" t="s">
        <v>49</v>
      </c>
      <c r="G286" s="103">
        <v>1</v>
      </c>
      <c r="H286" s="103">
        <v>2</v>
      </c>
      <c r="I286" s="104" t="s">
        <v>326</v>
      </c>
      <c r="J286" s="102" t="s">
        <v>246</v>
      </c>
      <c r="K286" s="102">
        <v>20</v>
      </c>
      <c r="L286" s="103">
        <v>0</v>
      </c>
      <c r="M286" s="104">
        <v>32</v>
      </c>
      <c r="N286" s="102">
        <v>23</v>
      </c>
      <c r="O286" s="102">
        <v>70</v>
      </c>
      <c r="P286" s="102">
        <v>48</v>
      </c>
      <c r="Q286" s="104">
        <f>_xlfn.FLOOR.MATH(24+0.3*B286)</f>
        <v>57</v>
      </c>
      <c r="R286" s="102">
        <f>_xlfn.FLOOR.MATH(5+0.1*B286)</f>
        <v>16</v>
      </c>
      <c r="S286" s="102">
        <f>_xlfn.FLOOR.MATH(40+0.4*B286)</f>
        <v>84</v>
      </c>
      <c r="T286" s="105">
        <f>_xlfn.FLOOR.MATH(42+0.41*B286)</f>
        <v>87</v>
      </c>
      <c r="U286" s="102">
        <v>19</v>
      </c>
      <c r="V286" s="102">
        <v>41.7</v>
      </c>
      <c r="W286" s="106" t="s">
        <v>115</v>
      </c>
      <c r="X286" s="106" t="s">
        <v>823</v>
      </c>
      <c r="Y286" s="102" t="s">
        <v>241</v>
      </c>
      <c r="Z286" s="102" t="s">
        <v>128</v>
      </c>
      <c r="AA286" s="104">
        <v>0</v>
      </c>
      <c r="AB286" s="105">
        <v>0</v>
      </c>
      <c r="AC286" s="104">
        <v>2</v>
      </c>
      <c r="AD286" s="123" t="s">
        <v>824</v>
      </c>
      <c r="AE286" s="104">
        <v>10</v>
      </c>
      <c r="AF286" s="105">
        <v>15</v>
      </c>
      <c r="AG286" s="104">
        <v>0.48</v>
      </c>
      <c r="AH286" s="102">
        <v>0.9</v>
      </c>
      <c r="AI286" s="105">
        <v>0.5</v>
      </c>
      <c r="AJ286" s="104">
        <v>4</v>
      </c>
      <c r="AK286" s="102">
        <v>8</v>
      </c>
      <c r="AL286" s="102">
        <v>6</v>
      </c>
      <c r="AM286" s="105">
        <v>0</v>
      </c>
      <c r="AN286" s="104">
        <v>0</v>
      </c>
      <c r="AO286" s="102">
        <v>20</v>
      </c>
      <c r="AP286" s="102">
        <v>8</v>
      </c>
      <c r="AQ286" s="105">
        <v>0</v>
      </c>
      <c r="AT286" s="110">
        <v>0.0173611111111111</v>
      </c>
      <c r="AU286" s="125"/>
    </row>
    <row r="287" spans="1:47">
      <c r="A287" s="100">
        <v>10031711</v>
      </c>
      <c r="B287" s="101">
        <v>110</v>
      </c>
      <c r="C287" s="102">
        <v>3</v>
      </c>
      <c r="D287" s="103" t="s">
        <v>825</v>
      </c>
      <c r="F287" s="103" t="s">
        <v>49</v>
      </c>
      <c r="G287" s="103">
        <v>4</v>
      </c>
      <c r="H287" s="103">
        <v>4</v>
      </c>
      <c r="I287" s="104" t="s">
        <v>50</v>
      </c>
      <c r="J287" s="102" t="s">
        <v>566</v>
      </c>
      <c r="K287" s="102">
        <v>12</v>
      </c>
      <c r="L287" s="103">
        <v>0</v>
      </c>
      <c r="M287" s="104">
        <v>50</v>
      </c>
      <c r="N287" s="102">
        <v>25</v>
      </c>
      <c r="O287" s="102">
        <v>58</v>
      </c>
      <c r="P287" s="102">
        <v>0</v>
      </c>
      <c r="Q287" s="104">
        <f>_xlfn.FLOOR.MATH(0+0*B287)</f>
        <v>0</v>
      </c>
      <c r="R287" s="102">
        <f>_xlfn.FLOOR.MATH(10+0.3*B287)</f>
        <v>43</v>
      </c>
      <c r="S287" s="102">
        <f>_xlfn.FLOOR.MATH(15+0.2*B287)</f>
        <v>37</v>
      </c>
      <c r="T287" s="105">
        <f>_xlfn.FLOOR.MATH(30+0.55*B287)</f>
        <v>90</v>
      </c>
      <c r="U287" s="102">
        <v>6</v>
      </c>
      <c r="V287" s="102">
        <v>15</v>
      </c>
      <c r="W287" s="106" t="s">
        <v>115</v>
      </c>
      <c r="Y287" s="102" t="s">
        <v>241</v>
      </c>
      <c r="Z287" s="102" t="s">
        <v>128</v>
      </c>
      <c r="AA287" s="104">
        <v>0</v>
      </c>
      <c r="AB287" s="105">
        <v>0</v>
      </c>
      <c r="AC287" s="104">
        <v>3</v>
      </c>
      <c r="AD287" s="123" t="s">
        <v>567</v>
      </c>
      <c r="AE287" s="104">
        <v>20</v>
      </c>
      <c r="AF287" s="105">
        <v>40</v>
      </c>
      <c r="AG287" s="104">
        <v>1</v>
      </c>
      <c r="AH287" s="102">
        <v>1</v>
      </c>
      <c r="AI287" s="105">
        <v>0.5</v>
      </c>
      <c r="AJ287" s="104">
        <v>4</v>
      </c>
      <c r="AK287" s="102">
        <v>8</v>
      </c>
      <c r="AL287" s="102">
        <v>6</v>
      </c>
      <c r="AM287" s="105">
        <v>0</v>
      </c>
      <c r="AN287" s="104">
        <v>4</v>
      </c>
      <c r="AO287" s="102">
        <v>18</v>
      </c>
      <c r="AP287" s="102">
        <v>10</v>
      </c>
      <c r="AQ287" s="105">
        <v>0</v>
      </c>
      <c r="AU287" s="125" t="str">
        <f>HYPERLINK("http://www.jianrmod.cn/data/shipGetInfo.html?type=0&amp;cid=10031711","详细")</f>
        <v>详细</v>
      </c>
    </row>
    <row r="288" ht="26.4" spans="1:48">
      <c r="A288" s="100">
        <v>10031813</v>
      </c>
      <c r="B288" s="101">
        <v>110</v>
      </c>
      <c r="C288" s="102">
        <v>5</v>
      </c>
      <c r="D288" s="103" t="s">
        <v>826</v>
      </c>
      <c r="F288" s="103" t="s">
        <v>49</v>
      </c>
      <c r="G288" s="103">
        <v>1</v>
      </c>
      <c r="H288" s="103">
        <v>2</v>
      </c>
      <c r="I288" s="104" t="s">
        <v>73</v>
      </c>
      <c r="J288" s="102" t="s">
        <v>51</v>
      </c>
      <c r="K288" s="102">
        <v>59</v>
      </c>
      <c r="L288" s="103">
        <v>1</v>
      </c>
      <c r="M288" s="104">
        <v>73</v>
      </c>
      <c r="N288" s="102">
        <v>60</v>
      </c>
      <c r="O288" s="102">
        <v>0</v>
      </c>
      <c r="P288" s="102">
        <v>40</v>
      </c>
      <c r="Q288" s="104">
        <f>_xlfn.FLOOR.MATH(0+0*B288)</f>
        <v>0</v>
      </c>
      <c r="R288" s="102">
        <f>_xlfn.FLOOR.MATH(10+0.25*B288)</f>
        <v>37</v>
      </c>
      <c r="S288" s="102">
        <f>_xlfn.FLOOR.MATH(27+0.2*B288)</f>
        <v>49</v>
      </c>
      <c r="T288" s="105">
        <f>_xlfn.FLOOR.MATH(40+0.51*B288)</f>
        <v>96</v>
      </c>
      <c r="U288" s="102">
        <v>15</v>
      </c>
      <c r="V288" s="102">
        <v>28.4</v>
      </c>
      <c r="W288" s="106" t="s">
        <v>52</v>
      </c>
      <c r="Y288" s="102" t="s">
        <v>54</v>
      </c>
      <c r="Z288" s="102" t="s">
        <v>55</v>
      </c>
      <c r="AA288" s="104">
        <v>0</v>
      </c>
      <c r="AB288" s="105">
        <v>0</v>
      </c>
      <c r="AC288" s="104">
        <v>4</v>
      </c>
      <c r="AD288" s="123" t="s">
        <v>827</v>
      </c>
      <c r="AE288" s="104">
        <v>55</v>
      </c>
      <c r="AF288" s="105">
        <v>100</v>
      </c>
      <c r="AG288" s="104">
        <v>2.88</v>
      </c>
      <c r="AH288" s="102">
        <v>5.4</v>
      </c>
      <c r="AI288" s="105">
        <v>0.75</v>
      </c>
      <c r="AJ288" s="104">
        <v>40</v>
      </c>
      <c r="AK288" s="102">
        <v>50</v>
      </c>
      <c r="AL288" s="102">
        <v>40</v>
      </c>
      <c r="AM288" s="105">
        <v>0</v>
      </c>
      <c r="AN288" s="104">
        <v>48</v>
      </c>
      <c r="AO288" s="102">
        <v>0</v>
      </c>
      <c r="AP288" s="102">
        <v>48</v>
      </c>
      <c r="AQ288" s="105">
        <v>5</v>
      </c>
      <c r="AT288" s="110">
        <v>0.180555555555556</v>
      </c>
      <c r="AU288" s="125"/>
      <c r="AV288" s="112" t="s">
        <v>828</v>
      </c>
    </row>
    <row r="289" ht="79.2" spans="1:48">
      <c r="A289" s="100">
        <v>10031913</v>
      </c>
      <c r="B289" s="101">
        <v>110</v>
      </c>
      <c r="C289" s="102">
        <v>5</v>
      </c>
      <c r="D289" s="103" t="s">
        <v>829</v>
      </c>
      <c r="F289" s="103" t="s">
        <v>49</v>
      </c>
      <c r="G289" s="103">
        <v>3</v>
      </c>
      <c r="H289" s="103">
        <v>3</v>
      </c>
      <c r="I289" s="104" t="s">
        <v>50</v>
      </c>
      <c r="J289" s="102" t="s">
        <v>380</v>
      </c>
      <c r="K289" s="102">
        <v>66</v>
      </c>
      <c r="L289" s="103">
        <v>2</v>
      </c>
      <c r="M289" s="104">
        <v>40</v>
      </c>
      <c r="N289" s="102">
        <v>86</v>
      </c>
      <c r="O289" s="102">
        <v>0</v>
      </c>
      <c r="P289" s="102">
        <v>88</v>
      </c>
      <c r="Q289" s="104">
        <f>_xlfn.FLOOR.MATH(0+0*B289)</f>
        <v>0</v>
      </c>
      <c r="R289" s="102">
        <f>_xlfn.FLOOR.MATH(40+0.25*B289)</f>
        <v>67</v>
      </c>
      <c r="S289" s="102">
        <f>_xlfn.FLOOR.MATH(34+0.2*B289)</f>
        <v>56</v>
      </c>
      <c r="T289" s="105">
        <f>_xlfn.FLOOR.MATH(32+0.49*B289)</f>
        <v>85</v>
      </c>
      <c r="U289" s="102">
        <v>24</v>
      </c>
      <c r="V289" s="102">
        <v>30.5</v>
      </c>
      <c r="W289" s="106" t="s">
        <v>115</v>
      </c>
      <c r="Y289" s="102" t="s">
        <v>54</v>
      </c>
      <c r="Z289" s="102" t="s">
        <v>55</v>
      </c>
      <c r="AA289" s="104" t="s">
        <v>830</v>
      </c>
      <c r="AB289" s="105">
        <v>66</v>
      </c>
      <c r="AC289" s="104">
        <v>4</v>
      </c>
      <c r="AD289" s="123" t="s">
        <v>831</v>
      </c>
      <c r="AE289" s="104">
        <v>70</v>
      </c>
      <c r="AF289" s="105">
        <v>65</v>
      </c>
      <c r="AG289" s="104">
        <v>2.88</v>
      </c>
      <c r="AH289" s="102">
        <v>5.4</v>
      </c>
      <c r="AI289" s="105">
        <v>1</v>
      </c>
      <c r="AJ289" s="104">
        <v>20</v>
      </c>
      <c r="AK289" s="102">
        <v>20</v>
      </c>
      <c r="AL289" s="102">
        <v>40</v>
      </c>
      <c r="AM289" s="105">
        <v>10</v>
      </c>
      <c r="AN289" s="104">
        <v>3</v>
      </c>
      <c r="AO289" s="102">
        <v>0</v>
      </c>
      <c r="AP289" s="102">
        <v>28</v>
      </c>
      <c r="AQ289" s="105">
        <v>80</v>
      </c>
      <c r="AR289" s="108" t="s">
        <v>832</v>
      </c>
      <c r="AT289" s="110">
        <v>0.177083333333333</v>
      </c>
      <c r="AU289" s="125"/>
      <c r="AV289" s="112" t="s">
        <v>833</v>
      </c>
    </row>
    <row r="290" spans="1:47">
      <c r="A290" s="100">
        <v>10032012</v>
      </c>
      <c r="B290" s="101">
        <v>110</v>
      </c>
      <c r="C290" s="102">
        <v>4</v>
      </c>
      <c r="D290" s="103" t="s">
        <v>834</v>
      </c>
      <c r="F290" s="103" t="s">
        <v>49</v>
      </c>
      <c r="G290" s="103">
        <v>2</v>
      </c>
      <c r="H290" s="103">
        <v>3</v>
      </c>
      <c r="I290" s="104" t="s">
        <v>91</v>
      </c>
      <c r="J290" s="102" t="s">
        <v>125</v>
      </c>
      <c r="K290" s="102">
        <v>60</v>
      </c>
      <c r="L290" s="103">
        <v>0</v>
      </c>
      <c r="M290" s="104">
        <v>20</v>
      </c>
      <c r="N290" s="102">
        <v>43</v>
      </c>
      <c r="O290" s="102">
        <v>0</v>
      </c>
      <c r="P290" s="102">
        <v>60</v>
      </c>
      <c r="Q290" s="104">
        <f>_xlfn.FLOOR.MATH(0+0*B290)</f>
        <v>0</v>
      </c>
      <c r="R290" s="102">
        <f>_xlfn.FLOOR.MATH(35+0.25*B290)</f>
        <v>62</v>
      </c>
      <c r="S290" s="102">
        <f>_xlfn.FLOOR.MATH(30+0.2*B290)</f>
        <v>52</v>
      </c>
      <c r="T290" s="105">
        <f>_xlfn.FLOOR.MATH(34+0.51*B290)</f>
        <v>90</v>
      </c>
      <c r="U290" s="102">
        <v>7</v>
      </c>
      <c r="V290" s="102">
        <v>20</v>
      </c>
      <c r="W290" s="106" t="s">
        <v>115</v>
      </c>
      <c r="Y290" s="102" t="s">
        <v>127</v>
      </c>
      <c r="Z290" s="102" t="s">
        <v>128</v>
      </c>
      <c r="AA290" s="104" t="s">
        <v>835</v>
      </c>
      <c r="AB290" s="105">
        <v>36</v>
      </c>
      <c r="AC290" s="104">
        <v>3</v>
      </c>
      <c r="AD290" s="123" t="s">
        <v>836</v>
      </c>
      <c r="AE290" s="104">
        <v>35</v>
      </c>
      <c r="AF290" s="105">
        <v>40</v>
      </c>
      <c r="AG290" s="104">
        <v>1.28</v>
      </c>
      <c r="AH290" s="102">
        <v>2.4</v>
      </c>
      <c r="AI290" s="105">
        <v>0.75</v>
      </c>
      <c r="AJ290" s="104">
        <v>20</v>
      </c>
      <c r="AK290" s="102">
        <v>30</v>
      </c>
      <c r="AL290" s="102">
        <v>50</v>
      </c>
      <c r="AM290" s="105">
        <v>20</v>
      </c>
      <c r="AN290" s="104">
        <v>0</v>
      </c>
      <c r="AO290" s="102">
        <v>0</v>
      </c>
      <c r="AP290" s="102">
        <v>12</v>
      </c>
      <c r="AQ290" s="105">
        <v>30</v>
      </c>
      <c r="AU290" s="125" t="str">
        <f>HYPERLINK("http://www.jianrmod.cn/data/shipGetInfo.html?type=0&amp;cid=10032012","详细")</f>
        <v>详细</v>
      </c>
    </row>
    <row r="291" ht="26.4" spans="1:48">
      <c r="A291" s="100">
        <v>10032211</v>
      </c>
      <c r="B291" s="101">
        <v>110</v>
      </c>
      <c r="C291" s="102">
        <v>4</v>
      </c>
      <c r="D291" s="103" t="s">
        <v>837</v>
      </c>
      <c r="F291" s="103" t="s">
        <v>49</v>
      </c>
      <c r="G291" s="103">
        <v>1</v>
      </c>
      <c r="H291" s="103">
        <v>2</v>
      </c>
      <c r="I291" s="104" t="s">
        <v>86</v>
      </c>
      <c r="J291" s="102" t="s">
        <v>246</v>
      </c>
      <c r="K291" s="102">
        <v>17</v>
      </c>
      <c r="L291" s="103">
        <v>-1</v>
      </c>
      <c r="M291" s="104">
        <v>28</v>
      </c>
      <c r="N291" s="102">
        <v>22</v>
      </c>
      <c r="O291" s="102">
        <v>70</v>
      </c>
      <c r="P291" s="102">
        <v>54</v>
      </c>
      <c r="Q291" s="104">
        <f>_xlfn.FLOOR.MATH(25+0.3*B291)</f>
        <v>58</v>
      </c>
      <c r="R291" s="102">
        <f>_xlfn.FLOOR.MATH(6+0.1*B291)</f>
        <v>17</v>
      </c>
      <c r="S291" s="102">
        <f>_xlfn.FLOOR.MATH(37+0.4*B291)</f>
        <v>81</v>
      </c>
      <c r="T291" s="105">
        <f>_xlfn.FLOOR.MATH(42+0.41*B291)</f>
        <v>87</v>
      </c>
      <c r="U291" s="102">
        <v>24</v>
      </c>
      <c r="V291" s="102">
        <v>37</v>
      </c>
      <c r="W291" s="106" t="s">
        <v>115</v>
      </c>
      <c r="Y291" s="102" t="s">
        <v>241</v>
      </c>
      <c r="Z291" s="102" t="s">
        <v>128</v>
      </c>
      <c r="AA291" s="104">
        <v>0</v>
      </c>
      <c r="AB291" s="105">
        <v>0</v>
      </c>
      <c r="AC291" s="104">
        <v>2</v>
      </c>
      <c r="AD291" s="123" t="s">
        <v>314</v>
      </c>
      <c r="AE291" s="104">
        <v>15</v>
      </c>
      <c r="AF291" s="105">
        <v>25</v>
      </c>
      <c r="AG291" s="104">
        <v>0.48</v>
      </c>
      <c r="AH291" s="102">
        <v>0.9</v>
      </c>
      <c r="AI291" s="105">
        <v>0.4</v>
      </c>
      <c r="AJ291" s="104">
        <v>4</v>
      </c>
      <c r="AK291" s="102">
        <v>8</v>
      </c>
      <c r="AL291" s="102">
        <v>6</v>
      </c>
      <c r="AM291" s="105">
        <v>0</v>
      </c>
      <c r="AN291" s="104">
        <v>0</v>
      </c>
      <c r="AO291" s="102">
        <v>20</v>
      </c>
      <c r="AP291" s="102">
        <v>7</v>
      </c>
      <c r="AQ291" s="105">
        <v>5</v>
      </c>
      <c r="AR291" s="108" t="s">
        <v>838</v>
      </c>
      <c r="AT291" s="110">
        <v>0.0208333333333333</v>
      </c>
      <c r="AV291" s="112" t="s">
        <v>839</v>
      </c>
    </row>
    <row r="292" spans="1:48">
      <c r="A292" s="100">
        <v>10032311</v>
      </c>
      <c r="B292" s="101">
        <v>110</v>
      </c>
      <c r="C292" s="102">
        <v>5</v>
      </c>
      <c r="D292" s="103" t="s">
        <v>840</v>
      </c>
      <c r="F292" s="103" t="s">
        <v>49</v>
      </c>
      <c r="G292" s="103">
        <v>1</v>
      </c>
      <c r="H292" s="103">
        <v>2</v>
      </c>
      <c r="I292" s="104" t="s">
        <v>326</v>
      </c>
      <c r="J292" s="102" t="s">
        <v>246</v>
      </c>
      <c r="K292" s="102">
        <v>24</v>
      </c>
      <c r="L292" s="103">
        <v>0</v>
      </c>
      <c r="M292" s="104">
        <v>33</v>
      </c>
      <c r="N292" s="102">
        <v>22</v>
      </c>
      <c r="O292" s="102">
        <v>74</v>
      </c>
      <c r="P292" s="102">
        <v>50</v>
      </c>
      <c r="Q292" s="104">
        <f>_xlfn.FLOOR.MATH(18+0.3*B292)</f>
        <v>51</v>
      </c>
      <c r="R292" s="102">
        <f>_xlfn.FLOOR.MATH(5+0.1*B292)</f>
        <v>16</v>
      </c>
      <c r="S292" s="102">
        <f>_xlfn.FLOOR.MATH(45+0.4*B292)</f>
        <v>89</v>
      </c>
      <c r="T292" s="105">
        <f>_xlfn.FLOOR.MATH(32+0.52*B292)</f>
        <v>89</v>
      </c>
      <c r="U292" s="102">
        <v>6</v>
      </c>
      <c r="V292" s="102">
        <v>42.5</v>
      </c>
      <c r="W292" s="106" t="s">
        <v>115</v>
      </c>
      <c r="X292" s="106" t="s">
        <v>841</v>
      </c>
      <c r="Y292" s="102" t="s">
        <v>241</v>
      </c>
      <c r="Z292" s="102" t="s">
        <v>128</v>
      </c>
      <c r="AA292" s="104">
        <v>0</v>
      </c>
      <c r="AB292" s="105">
        <v>0</v>
      </c>
      <c r="AC292" s="104">
        <v>2</v>
      </c>
      <c r="AD292" s="123" t="s">
        <v>842</v>
      </c>
      <c r="AE292" s="104">
        <v>15</v>
      </c>
      <c r="AF292" s="105">
        <v>25</v>
      </c>
      <c r="AG292" s="104">
        <v>0.48</v>
      </c>
      <c r="AH292" s="102">
        <v>0.9</v>
      </c>
      <c r="AI292" s="105">
        <v>0.4</v>
      </c>
      <c r="AJ292" s="104">
        <v>4</v>
      </c>
      <c r="AK292" s="102">
        <v>8</v>
      </c>
      <c r="AL292" s="102">
        <v>6</v>
      </c>
      <c r="AM292" s="105">
        <v>0</v>
      </c>
      <c r="AN292" s="104">
        <v>0</v>
      </c>
      <c r="AO292" s="102">
        <v>24</v>
      </c>
      <c r="AP292" s="102">
        <v>7</v>
      </c>
      <c r="AQ292" s="105">
        <v>0</v>
      </c>
      <c r="AT292" s="110">
        <v>0.0243055555555556</v>
      </c>
      <c r="AU292" s="125"/>
      <c r="AV292" s="112" t="s">
        <v>843</v>
      </c>
    </row>
    <row r="293" spans="1:47">
      <c r="A293" s="100">
        <v>10032412</v>
      </c>
      <c r="B293" s="101">
        <v>110</v>
      </c>
      <c r="C293" s="102">
        <v>3</v>
      </c>
      <c r="D293" s="103" t="s">
        <v>844</v>
      </c>
      <c r="F293" s="103" t="s">
        <v>49</v>
      </c>
      <c r="G293" s="103">
        <v>1</v>
      </c>
      <c r="H293" s="103">
        <v>2</v>
      </c>
      <c r="I293" s="104" t="s">
        <v>86</v>
      </c>
      <c r="J293" s="102" t="s">
        <v>157</v>
      </c>
      <c r="K293" s="102">
        <v>43</v>
      </c>
      <c r="L293" s="103">
        <v>1</v>
      </c>
      <c r="M293" s="104">
        <v>63</v>
      </c>
      <c r="N293" s="102">
        <v>52</v>
      </c>
      <c r="O293" s="102">
        <v>0</v>
      </c>
      <c r="P293" s="102">
        <v>65</v>
      </c>
      <c r="Q293" s="104">
        <f>_xlfn.FLOOR.MATH(0+0*B293)</f>
        <v>0</v>
      </c>
      <c r="R293" s="102">
        <f>_xlfn.FLOOR.MATH(15+0.35*B293)</f>
        <v>53</v>
      </c>
      <c r="S293" s="102">
        <f>_xlfn.FLOOR.MATH(31+0.4*B293)</f>
        <v>75</v>
      </c>
      <c r="T293" s="105">
        <f>_xlfn.FLOOR.MATH(35+0.51*B293)</f>
        <v>91</v>
      </c>
      <c r="U293" s="102">
        <v>18</v>
      </c>
      <c r="V293" s="102">
        <v>32.7</v>
      </c>
      <c r="W293" s="106" t="s">
        <v>158</v>
      </c>
      <c r="Y293" s="102" t="s">
        <v>127</v>
      </c>
      <c r="Z293" s="102" t="s">
        <v>128</v>
      </c>
      <c r="AA293" s="104" t="s">
        <v>160</v>
      </c>
      <c r="AB293" s="105">
        <v>6</v>
      </c>
      <c r="AC293" s="104">
        <v>3</v>
      </c>
      <c r="AD293" s="123" t="s">
        <v>179</v>
      </c>
      <c r="AE293" s="104">
        <v>40</v>
      </c>
      <c r="AF293" s="105">
        <v>70</v>
      </c>
      <c r="AG293" s="104">
        <v>1.28</v>
      </c>
      <c r="AH293" s="102">
        <v>2.4</v>
      </c>
      <c r="AI293" s="105">
        <v>0.625</v>
      </c>
      <c r="AJ293" s="104">
        <v>30</v>
      </c>
      <c r="AK293" s="102">
        <v>40</v>
      </c>
      <c r="AL293" s="102">
        <v>30</v>
      </c>
      <c r="AM293" s="105">
        <v>0</v>
      </c>
      <c r="AN293" s="104">
        <v>38</v>
      </c>
      <c r="AO293" s="102">
        <v>0</v>
      </c>
      <c r="AP293" s="102">
        <v>16</v>
      </c>
      <c r="AQ293" s="105">
        <v>23</v>
      </c>
      <c r="AU293" s="125" t="str">
        <f>HYPERLINK("http://www.jianrmod.cn/data/shipGetInfo.html?type=0&amp;cid=10032412","详细")</f>
        <v>详细</v>
      </c>
    </row>
    <row r="294" ht="39.6" spans="1:47">
      <c r="A294" s="100">
        <v>10032513</v>
      </c>
      <c r="B294" s="101">
        <v>110</v>
      </c>
      <c r="C294" s="102">
        <v>5</v>
      </c>
      <c r="D294" s="103" t="s">
        <v>146</v>
      </c>
      <c r="F294" s="103" t="s">
        <v>49</v>
      </c>
      <c r="G294" s="103">
        <v>3</v>
      </c>
      <c r="H294" s="103">
        <v>5</v>
      </c>
      <c r="I294" s="104" t="s">
        <v>86</v>
      </c>
      <c r="J294" s="102" t="s">
        <v>114</v>
      </c>
      <c r="K294" s="102">
        <v>60</v>
      </c>
      <c r="L294" s="103">
        <v>0</v>
      </c>
      <c r="M294" s="104">
        <v>40</v>
      </c>
      <c r="N294" s="102">
        <v>60</v>
      </c>
      <c r="O294" s="102">
        <v>0</v>
      </c>
      <c r="P294" s="102">
        <v>95</v>
      </c>
      <c r="Q294" s="104">
        <f>_xlfn.FLOOR.MATH(0+0*B294)</f>
        <v>0</v>
      </c>
      <c r="R294" s="102">
        <f>_xlfn.FLOOR.MATH(50+0.25*B294)</f>
        <v>77</v>
      </c>
      <c r="S294" s="102">
        <f>_xlfn.FLOOR.MATH(30+0.2*B294)</f>
        <v>52</v>
      </c>
      <c r="T294" s="105">
        <f>_xlfn.FLOOR.MATH(37+0.54*B294)</f>
        <v>96</v>
      </c>
      <c r="U294" s="102">
        <v>25</v>
      </c>
      <c r="V294" s="102">
        <v>33</v>
      </c>
      <c r="W294" s="106" t="s">
        <v>115</v>
      </c>
      <c r="Y294" s="102" t="s">
        <v>54</v>
      </c>
      <c r="Z294" s="102" t="s">
        <v>55</v>
      </c>
      <c r="AA294" s="104" t="s">
        <v>651</v>
      </c>
      <c r="AB294" s="105">
        <v>90</v>
      </c>
      <c r="AC294" s="104">
        <v>4</v>
      </c>
      <c r="AD294" s="123" t="s">
        <v>652</v>
      </c>
      <c r="AE294" s="104">
        <v>60</v>
      </c>
      <c r="AF294" s="105">
        <v>60</v>
      </c>
      <c r="AG294" s="104">
        <v>2.4</v>
      </c>
      <c r="AH294" s="102">
        <v>4.5</v>
      </c>
      <c r="AI294" s="105">
        <v>0.8</v>
      </c>
      <c r="AJ294" s="104">
        <v>30</v>
      </c>
      <c r="AK294" s="102">
        <v>40</v>
      </c>
      <c r="AL294" s="102">
        <v>60</v>
      </c>
      <c r="AM294" s="105">
        <v>40</v>
      </c>
      <c r="AN294" s="104">
        <v>0</v>
      </c>
      <c r="AO294" s="102">
        <v>0</v>
      </c>
      <c r="AP294" s="102">
        <v>18</v>
      </c>
      <c r="AQ294" s="105">
        <v>100</v>
      </c>
      <c r="AR294" s="108" t="s">
        <v>845</v>
      </c>
      <c r="AT294" s="110">
        <v>0.166666666666667</v>
      </c>
      <c r="AU294" s="125"/>
    </row>
    <row r="295" spans="1:47">
      <c r="A295" s="100">
        <v>10032612</v>
      </c>
      <c r="B295" s="101">
        <v>110</v>
      </c>
      <c r="C295" s="102">
        <v>4</v>
      </c>
      <c r="D295" s="103" t="s">
        <v>846</v>
      </c>
      <c r="F295" s="103" t="s">
        <v>49</v>
      </c>
      <c r="G295" s="103">
        <v>2</v>
      </c>
      <c r="H295" s="103">
        <v>2</v>
      </c>
      <c r="I295" s="104" t="s">
        <v>50</v>
      </c>
      <c r="J295" s="102" t="s">
        <v>157</v>
      </c>
      <c r="K295" s="102">
        <v>50</v>
      </c>
      <c r="L295" s="103">
        <v>2</v>
      </c>
      <c r="M295" s="104">
        <v>60</v>
      </c>
      <c r="N295" s="102">
        <v>43</v>
      </c>
      <c r="O295" s="102">
        <v>53</v>
      </c>
      <c r="P295" s="102">
        <v>63</v>
      </c>
      <c r="Q295" s="104">
        <f>_xlfn.FLOOR.MATH(0+0*B295)</f>
        <v>0</v>
      </c>
      <c r="R295" s="102">
        <f>_xlfn.FLOOR.MATH(20+0.35*B295)</f>
        <v>58</v>
      </c>
      <c r="S295" s="102">
        <f>_xlfn.FLOOR.MATH(30+0.4*B295)</f>
        <v>74</v>
      </c>
      <c r="T295" s="105">
        <f>_xlfn.FLOOR.MATH(36+0.51*B295)</f>
        <v>92</v>
      </c>
      <c r="U295" s="102">
        <v>30</v>
      </c>
      <c r="V295" s="102">
        <v>32.3</v>
      </c>
      <c r="W295" s="106" t="s">
        <v>158</v>
      </c>
      <c r="Y295" s="102" t="s">
        <v>127</v>
      </c>
      <c r="Z295" s="102" t="s">
        <v>128</v>
      </c>
      <c r="AA295" s="104" t="s">
        <v>160</v>
      </c>
      <c r="AB295" s="105">
        <v>6</v>
      </c>
      <c r="AC295" s="104">
        <v>3</v>
      </c>
      <c r="AD295" s="123" t="s">
        <v>847</v>
      </c>
      <c r="AE295" s="104">
        <v>35</v>
      </c>
      <c r="AF295" s="105">
        <v>70</v>
      </c>
      <c r="AG295" s="104">
        <v>1.28</v>
      </c>
      <c r="AH295" s="102">
        <v>2.4</v>
      </c>
      <c r="AI295" s="105">
        <v>0.75</v>
      </c>
      <c r="AJ295" s="104">
        <v>30</v>
      </c>
      <c r="AK295" s="102">
        <v>40</v>
      </c>
      <c r="AL295" s="102">
        <v>30</v>
      </c>
      <c r="AM295" s="105">
        <v>0</v>
      </c>
      <c r="AN295" s="104">
        <v>39</v>
      </c>
      <c r="AO295" s="102">
        <v>9</v>
      </c>
      <c r="AP295" s="102">
        <v>14</v>
      </c>
      <c r="AQ295" s="105">
        <v>17</v>
      </c>
      <c r="AU295" s="125" t="str">
        <f>HYPERLINK("http://www.jianrmod.cn/data/shipGetInfo.html?type=0&amp;cid=10032612","详细")</f>
        <v>详细</v>
      </c>
    </row>
    <row r="296" spans="1:47">
      <c r="A296" s="100">
        <v>10032711</v>
      </c>
      <c r="B296" s="101">
        <v>110</v>
      </c>
      <c r="C296" s="102">
        <v>4</v>
      </c>
      <c r="D296" s="103" t="s">
        <v>848</v>
      </c>
      <c r="F296" s="103" t="s">
        <v>49</v>
      </c>
      <c r="G296" s="103">
        <v>1</v>
      </c>
      <c r="H296" s="103">
        <v>2</v>
      </c>
      <c r="I296" s="104" t="s">
        <v>86</v>
      </c>
      <c r="J296" s="102" t="s">
        <v>246</v>
      </c>
      <c r="K296" s="102">
        <v>16</v>
      </c>
      <c r="L296" s="103">
        <v>0</v>
      </c>
      <c r="M296" s="104">
        <v>29</v>
      </c>
      <c r="N296" s="102">
        <v>21</v>
      </c>
      <c r="O296" s="102">
        <v>77</v>
      </c>
      <c r="P296" s="102">
        <v>40</v>
      </c>
      <c r="Q296" s="104">
        <f>_xlfn.FLOOR.MATH(25+0.3*B296)</f>
        <v>58</v>
      </c>
      <c r="R296" s="102">
        <f>_xlfn.FLOOR.MATH(6+0.1*B296)</f>
        <v>17</v>
      </c>
      <c r="S296" s="102">
        <f>_xlfn.FLOOR.MATH(50+0.4*B296)</f>
        <v>94</v>
      </c>
      <c r="T296" s="105">
        <f>_xlfn.FLOOR.MATH(31+0.52*B296)</f>
        <v>88</v>
      </c>
      <c r="U296" s="102">
        <v>25</v>
      </c>
      <c r="V296" s="102">
        <v>40.7</v>
      </c>
      <c r="W296" s="106" t="s">
        <v>115</v>
      </c>
      <c r="Y296" s="102" t="s">
        <v>241</v>
      </c>
      <c r="Z296" s="102" t="s">
        <v>128</v>
      </c>
      <c r="AA296" s="104">
        <v>0</v>
      </c>
      <c r="AB296" s="105">
        <v>0</v>
      </c>
      <c r="AC296" s="104">
        <v>2</v>
      </c>
      <c r="AD296" s="123" t="s">
        <v>849</v>
      </c>
      <c r="AE296" s="104">
        <v>15</v>
      </c>
      <c r="AF296" s="105">
        <v>25</v>
      </c>
      <c r="AG296" s="104">
        <v>0.48</v>
      </c>
      <c r="AH296" s="102">
        <v>0.9</v>
      </c>
      <c r="AI296" s="105">
        <v>0.4</v>
      </c>
      <c r="AJ296" s="104">
        <v>4</v>
      </c>
      <c r="AK296" s="102">
        <v>8</v>
      </c>
      <c r="AL296" s="102">
        <v>6</v>
      </c>
      <c r="AM296" s="105">
        <v>0</v>
      </c>
      <c r="AN296" s="104">
        <v>0</v>
      </c>
      <c r="AO296" s="102">
        <v>27</v>
      </c>
      <c r="AP296" s="102">
        <v>6</v>
      </c>
      <c r="AQ296" s="105">
        <v>4</v>
      </c>
      <c r="AU296" s="125" t="str">
        <f>HYPERLINK("http://www.jianrmod.cn/data/shipGetInfo.html?type=0&amp;cid=10032711","详细")</f>
        <v>详细</v>
      </c>
    </row>
    <row r="297" spans="1:47">
      <c r="A297" s="100">
        <v>10032812</v>
      </c>
      <c r="B297" s="101">
        <v>110</v>
      </c>
      <c r="C297" s="102">
        <v>3</v>
      </c>
      <c r="D297" s="103" t="s">
        <v>850</v>
      </c>
      <c r="E297" s="103" t="s">
        <v>851</v>
      </c>
      <c r="F297" s="103" t="s">
        <v>49</v>
      </c>
      <c r="G297" s="103">
        <v>3</v>
      </c>
      <c r="H297" s="103">
        <v>3</v>
      </c>
      <c r="I297" s="104" t="s">
        <v>60</v>
      </c>
      <c r="J297" s="102" t="s">
        <v>157</v>
      </c>
      <c r="K297" s="102">
        <v>43</v>
      </c>
      <c r="L297" s="103">
        <v>1</v>
      </c>
      <c r="M297" s="104">
        <v>62</v>
      </c>
      <c r="N297" s="102">
        <v>46</v>
      </c>
      <c r="O297" s="102">
        <v>54</v>
      </c>
      <c r="P297" s="102">
        <v>50</v>
      </c>
      <c r="Q297" s="104">
        <f>_xlfn.FLOOR.MATH(0+0*B297)</f>
        <v>0</v>
      </c>
      <c r="R297" s="102">
        <f>_xlfn.FLOOR.MATH(13+0.35*B297)</f>
        <v>51</v>
      </c>
      <c r="S297" s="102">
        <f>_xlfn.FLOOR.MATH(36+0.4*B297)</f>
        <v>80</v>
      </c>
      <c r="T297" s="105">
        <f>_xlfn.FLOOR.MATH(35+0.51*B297)</f>
        <v>91</v>
      </c>
      <c r="U297" s="102">
        <v>17</v>
      </c>
      <c r="V297" s="102">
        <v>33</v>
      </c>
      <c r="W297" s="106" t="s">
        <v>158</v>
      </c>
      <c r="Y297" s="102" t="s">
        <v>127</v>
      </c>
      <c r="Z297" s="102" t="s">
        <v>128</v>
      </c>
      <c r="AA297" s="104" t="s">
        <v>160</v>
      </c>
      <c r="AB297" s="105">
        <v>6</v>
      </c>
      <c r="AC297" s="104">
        <v>3</v>
      </c>
      <c r="AD297" s="123" t="s">
        <v>161</v>
      </c>
      <c r="AE297" s="104">
        <v>40</v>
      </c>
      <c r="AF297" s="105">
        <v>65</v>
      </c>
      <c r="AG297" s="104">
        <v>1.28</v>
      </c>
      <c r="AH297" s="102">
        <v>2.4</v>
      </c>
      <c r="AI297" s="105">
        <v>0.75</v>
      </c>
      <c r="AJ297" s="104">
        <v>30</v>
      </c>
      <c r="AK297" s="102">
        <v>40</v>
      </c>
      <c r="AL297" s="102">
        <v>30</v>
      </c>
      <c r="AM297" s="105">
        <v>0</v>
      </c>
      <c r="AN297" s="104">
        <v>42</v>
      </c>
      <c r="AO297" s="102">
        <v>13</v>
      </c>
      <c r="AP297" s="102">
        <v>16</v>
      </c>
      <c r="AQ297" s="105">
        <v>10</v>
      </c>
      <c r="AU297" s="125" t="str">
        <f>HYPERLINK("http://www.jianrmod.cn/data/shipGetInfo.html?type=0&amp;cid=10032812","详细")</f>
        <v>详细</v>
      </c>
    </row>
    <row r="298" spans="1:48">
      <c r="A298" s="100">
        <v>10032912</v>
      </c>
      <c r="B298" s="101">
        <v>110</v>
      </c>
      <c r="C298" s="102">
        <v>4</v>
      </c>
      <c r="D298" s="103" t="s">
        <v>852</v>
      </c>
      <c r="F298" s="103" t="s">
        <v>49</v>
      </c>
      <c r="G298" s="103">
        <v>2</v>
      </c>
      <c r="H298" s="103">
        <v>2</v>
      </c>
      <c r="I298" s="104" t="s">
        <v>86</v>
      </c>
      <c r="J298" s="102" t="s">
        <v>157</v>
      </c>
      <c r="K298" s="102">
        <v>45</v>
      </c>
      <c r="L298" s="103">
        <v>-1</v>
      </c>
      <c r="M298" s="104">
        <v>63</v>
      </c>
      <c r="N298" s="102">
        <v>53</v>
      </c>
      <c r="O298" s="102">
        <v>0</v>
      </c>
      <c r="P298" s="102">
        <v>68</v>
      </c>
      <c r="Q298" s="104">
        <f>_xlfn.FLOOR.MATH(0+0*B298)</f>
        <v>0</v>
      </c>
      <c r="R298" s="102">
        <f>_xlfn.FLOOR.MATH(16+0.35*B298)</f>
        <v>54</v>
      </c>
      <c r="S298" s="102">
        <f>_xlfn.FLOOR.MATH(31+0.4*B298)</f>
        <v>75</v>
      </c>
      <c r="T298" s="105">
        <f>_xlfn.FLOOR.MATH(36+0.51*B298)</f>
        <v>92</v>
      </c>
      <c r="U298" s="102">
        <v>25</v>
      </c>
      <c r="V298" s="102">
        <v>32.5</v>
      </c>
      <c r="W298" s="106" t="s">
        <v>158</v>
      </c>
      <c r="Y298" s="102" t="s">
        <v>127</v>
      </c>
      <c r="Z298" s="102" t="s">
        <v>128</v>
      </c>
      <c r="AA298" s="104" t="s">
        <v>160</v>
      </c>
      <c r="AB298" s="105">
        <v>6</v>
      </c>
      <c r="AC298" s="104">
        <v>3</v>
      </c>
      <c r="AD298" s="123" t="s">
        <v>451</v>
      </c>
      <c r="AE298" s="104">
        <v>40</v>
      </c>
      <c r="AF298" s="105">
        <v>70</v>
      </c>
      <c r="AG298" s="104">
        <v>1.28</v>
      </c>
      <c r="AH298" s="102">
        <v>2.4</v>
      </c>
      <c r="AI298" s="105">
        <v>0.625</v>
      </c>
      <c r="AJ298" s="104">
        <v>30</v>
      </c>
      <c r="AK298" s="102">
        <v>40</v>
      </c>
      <c r="AL298" s="102">
        <v>30</v>
      </c>
      <c r="AM298" s="105">
        <v>0</v>
      </c>
      <c r="AN298" s="104">
        <v>38</v>
      </c>
      <c r="AO298" s="102">
        <v>0</v>
      </c>
      <c r="AP298" s="102">
        <v>17</v>
      </c>
      <c r="AQ298" s="105">
        <v>26</v>
      </c>
      <c r="AT298" s="110">
        <v>0.0590277777777778</v>
      </c>
      <c r="AU298" s="125"/>
      <c r="AV298" s="112" t="s">
        <v>843</v>
      </c>
    </row>
    <row r="299" spans="1:47">
      <c r="A299" s="100">
        <v>10033011</v>
      </c>
      <c r="B299" s="101">
        <v>110</v>
      </c>
      <c r="C299" s="102">
        <v>4</v>
      </c>
      <c r="D299" s="103" t="s">
        <v>853</v>
      </c>
      <c r="F299" s="103" t="s">
        <v>49</v>
      </c>
      <c r="G299" s="103">
        <v>1</v>
      </c>
      <c r="H299" s="103">
        <v>2</v>
      </c>
      <c r="I299" s="104" t="s">
        <v>50</v>
      </c>
      <c r="J299" s="102" t="s">
        <v>246</v>
      </c>
      <c r="K299" s="102">
        <v>24</v>
      </c>
      <c r="L299" s="103">
        <v>0</v>
      </c>
      <c r="M299" s="104">
        <v>30</v>
      </c>
      <c r="N299" s="102">
        <v>23</v>
      </c>
      <c r="O299" s="102">
        <v>72</v>
      </c>
      <c r="P299" s="102">
        <v>75</v>
      </c>
      <c r="Q299" s="104">
        <f>_xlfn.FLOOR.MATH(48+0.3*B299)</f>
        <v>81</v>
      </c>
      <c r="R299" s="102">
        <f>_xlfn.FLOOR.MATH(10+0.1*B299)</f>
        <v>21</v>
      </c>
      <c r="S299" s="102">
        <f>_xlfn.FLOOR.MATH(34+0.4*B299)</f>
        <v>78</v>
      </c>
      <c r="T299" s="105">
        <f>_xlfn.FLOOR.MATH(31+0.52*B299)</f>
        <v>88</v>
      </c>
      <c r="U299" s="102">
        <v>12</v>
      </c>
      <c r="V299" s="102">
        <v>30</v>
      </c>
      <c r="W299" s="106" t="s">
        <v>115</v>
      </c>
      <c r="Y299" s="102" t="s">
        <v>241</v>
      </c>
      <c r="Z299" s="102" t="s">
        <v>128</v>
      </c>
      <c r="AA299" s="104">
        <v>0</v>
      </c>
      <c r="AB299" s="105">
        <v>0</v>
      </c>
      <c r="AC299" s="104">
        <v>2</v>
      </c>
      <c r="AD299" s="123" t="s">
        <v>854</v>
      </c>
      <c r="AE299" s="104">
        <v>15</v>
      </c>
      <c r="AF299" s="105">
        <v>25</v>
      </c>
      <c r="AG299" s="104">
        <v>0.48</v>
      </c>
      <c r="AH299" s="102">
        <v>0.9</v>
      </c>
      <c r="AI299" s="105">
        <v>0.4</v>
      </c>
      <c r="AJ299" s="104">
        <v>4</v>
      </c>
      <c r="AK299" s="102">
        <v>8</v>
      </c>
      <c r="AL299" s="102">
        <v>6</v>
      </c>
      <c r="AM299" s="105">
        <v>0</v>
      </c>
      <c r="AN299" s="104">
        <v>3</v>
      </c>
      <c r="AO299" s="102">
        <v>22</v>
      </c>
      <c r="AP299" s="102">
        <v>8</v>
      </c>
      <c r="AQ299" s="105">
        <v>9</v>
      </c>
      <c r="AU299" s="125" t="str">
        <f>HYPERLINK("http://www.jianrmod.cn/data/shipGetInfo.html?type=0&amp;cid=10033011","详细")</f>
        <v>详细</v>
      </c>
    </row>
    <row r="300" ht="66" spans="1:47">
      <c r="A300" s="100">
        <v>10033113</v>
      </c>
      <c r="B300" s="101">
        <v>110</v>
      </c>
      <c r="C300" s="102">
        <v>6</v>
      </c>
      <c r="D300" s="103" t="s">
        <v>855</v>
      </c>
      <c r="F300" s="103" t="s">
        <v>49</v>
      </c>
      <c r="G300" s="103">
        <v>4</v>
      </c>
      <c r="H300" s="103">
        <v>5</v>
      </c>
      <c r="I300" s="104" t="s">
        <v>50</v>
      </c>
      <c r="J300" s="102" t="s">
        <v>51</v>
      </c>
      <c r="K300" s="102">
        <v>80</v>
      </c>
      <c r="L300" s="103">
        <v>0</v>
      </c>
      <c r="M300" s="104">
        <v>118</v>
      </c>
      <c r="N300" s="102">
        <v>83</v>
      </c>
      <c r="O300" s="102">
        <v>38</v>
      </c>
      <c r="P300" s="102">
        <v>50</v>
      </c>
      <c r="Q300" s="104">
        <f>_xlfn.FLOOR.MATH(0+0*B300)</f>
        <v>0</v>
      </c>
      <c r="R300" s="102">
        <f>_xlfn.FLOOR.MATH(15+0.25*B300)</f>
        <v>42</v>
      </c>
      <c r="S300" s="102">
        <f>_xlfn.FLOOR.MATH(29+0.2*B300)</f>
        <v>51</v>
      </c>
      <c r="T300" s="105">
        <f>_xlfn.FLOOR.MATH(40+0.51*B300)</f>
        <v>96</v>
      </c>
      <c r="U300" s="102">
        <v>6</v>
      </c>
      <c r="V300" s="102">
        <v>35</v>
      </c>
      <c r="W300" s="106" t="s">
        <v>52</v>
      </c>
      <c r="Y300" s="102" t="s">
        <v>54</v>
      </c>
      <c r="Z300" s="102" t="s">
        <v>55</v>
      </c>
      <c r="AA300" s="104">
        <v>0</v>
      </c>
      <c r="AB300" s="105">
        <v>0</v>
      </c>
      <c r="AC300" s="104">
        <v>4</v>
      </c>
      <c r="AD300" s="123" t="s">
        <v>856</v>
      </c>
      <c r="AE300" s="104">
        <v>70</v>
      </c>
      <c r="AF300" s="105">
        <v>120</v>
      </c>
      <c r="AG300" s="104">
        <v>2.88</v>
      </c>
      <c r="AH300" s="102">
        <v>5.4</v>
      </c>
      <c r="AI300" s="105">
        <v>0.75</v>
      </c>
      <c r="AJ300" s="104">
        <v>40</v>
      </c>
      <c r="AK300" s="102">
        <v>50</v>
      </c>
      <c r="AL300" s="102">
        <v>40</v>
      </c>
      <c r="AM300" s="105">
        <v>0</v>
      </c>
      <c r="AN300" s="104">
        <v>99</v>
      </c>
      <c r="AO300" s="102">
        <v>0</v>
      </c>
      <c r="AP300" s="102">
        <v>58</v>
      </c>
      <c r="AQ300" s="105">
        <v>10</v>
      </c>
      <c r="AR300" s="108" t="s">
        <v>857</v>
      </c>
      <c r="AT300" s="110">
        <v>0.25</v>
      </c>
      <c r="AU300" s="125"/>
    </row>
    <row r="301" spans="1:47">
      <c r="A301" s="100">
        <v>10033212</v>
      </c>
      <c r="B301" s="101">
        <v>110</v>
      </c>
      <c r="C301" s="102">
        <v>4</v>
      </c>
      <c r="D301" s="103" t="s">
        <v>858</v>
      </c>
      <c r="E301" s="103" t="s">
        <v>859</v>
      </c>
      <c r="F301" s="103" t="s">
        <v>49</v>
      </c>
      <c r="G301" s="103">
        <v>1</v>
      </c>
      <c r="H301" s="103">
        <v>2</v>
      </c>
      <c r="I301" s="104" t="s">
        <v>60</v>
      </c>
      <c r="J301" s="102" t="s">
        <v>125</v>
      </c>
      <c r="K301" s="102">
        <v>40</v>
      </c>
      <c r="L301" s="103">
        <v>0</v>
      </c>
      <c r="M301" s="104">
        <v>20</v>
      </c>
      <c r="N301" s="102">
        <v>28</v>
      </c>
      <c r="O301" s="102">
        <v>0</v>
      </c>
      <c r="P301" s="102">
        <v>55</v>
      </c>
      <c r="Q301" s="104">
        <f>_xlfn.FLOOR.MATH(0+0*B301)</f>
        <v>0</v>
      </c>
      <c r="R301" s="102">
        <f>_xlfn.FLOOR.MATH(36+0.25*B301)</f>
        <v>63</v>
      </c>
      <c r="S301" s="102">
        <f>_xlfn.FLOOR.MATH(16+0.2*B301)</f>
        <v>38</v>
      </c>
      <c r="T301" s="105">
        <f>_xlfn.FLOOR.MATH(34+0.51*B301)</f>
        <v>90</v>
      </c>
      <c r="U301" s="102">
        <v>10</v>
      </c>
      <c r="V301" s="102">
        <v>21</v>
      </c>
      <c r="W301" s="106" t="s">
        <v>115</v>
      </c>
      <c r="Y301" s="102" t="s">
        <v>127</v>
      </c>
      <c r="Z301" s="102" t="s">
        <v>128</v>
      </c>
      <c r="AA301" s="104" t="s">
        <v>860</v>
      </c>
      <c r="AB301" s="105">
        <v>33</v>
      </c>
      <c r="AC301" s="104">
        <v>3</v>
      </c>
      <c r="AD301" s="123" t="s">
        <v>861</v>
      </c>
      <c r="AE301" s="104">
        <v>35</v>
      </c>
      <c r="AF301" s="105">
        <v>40</v>
      </c>
      <c r="AG301" s="104">
        <v>1.28</v>
      </c>
      <c r="AH301" s="102">
        <v>2.4</v>
      </c>
      <c r="AI301" s="105">
        <v>0.75</v>
      </c>
      <c r="AJ301" s="104">
        <v>20</v>
      </c>
      <c r="AK301" s="102">
        <v>30</v>
      </c>
      <c r="AL301" s="102">
        <v>50</v>
      </c>
      <c r="AM301" s="105">
        <v>20</v>
      </c>
      <c r="AN301" s="104">
        <v>0</v>
      </c>
      <c r="AO301" s="102">
        <v>0</v>
      </c>
      <c r="AP301" s="102">
        <v>4</v>
      </c>
      <c r="AQ301" s="105">
        <v>25</v>
      </c>
      <c r="AU301" s="125" t="str">
        <f>HYPERLINK("http://www.jianrmod.cn/data/shipGetInfo.html?type=0&amp;cid=10033212","详细")</f>
        <v>详细</v>
      </c>
    </row>
    <row r="302" spans="1:47">
      <c r="A302" s="100">
        <v>10033312</v>
      </c>
      <c r="B302" s="101">
        <v>110</v>
      </c>
      <c r="C302" s="102">
        <v>5</v>
      </c>
      <c r="D302" s="103" t="s">
        <v>862</v>
      </c>
      <c r="F302" s="103" t="s">
        <v>49</v>
      </c>
      <c r="G302" s="103">
        <v>1</v>
      </c>
      <c r="H302" s="103">
        <v>2</v>
      </c>
      <c r="I302" s="104" t="s">
        <v>330</v>
      </c>
      <c r="J302" s="102" t="s">
        <v>184</v>
      </c>
      <c r="K302" s="102">
        <v>32</v>
      </c>
      <c r="L302" s="103">
        <v>0</v>
      </c>
      <c r="M302" s="104">
        <v>52</v>
      </c>
      <c r="N302" s="102">
        <v>52</v>
      </c>
      <c r="O302" s="102">
        <v>0</v>
      </c>
      <c r="P302" s="102">
        <v>110</v>
      </c>
      <c r="Q302" s="104">
        <f>_xlfn.FLOOR.MATH(42+0.2*B302)</f>
        <v>64</v>
      </c>
      <c r="R302" s="102">
        <f>_xlfn.FLOOR.MATH(20+0.1*B302)</f>
        <v>31</v>
      </c>
      <c r="S302" s="102">
        <f>_xlfn.FLOOR.MATH(32+0.35*B302)</f>
        <v>70</v>
      </c>
      <c r="T302" s="105">
        <f>_xlfn.FLOOR.MATH(33+0.52*B302)</f>
        <v>90</v>
      </c>
      <c r="U302" s="102">
        <v>20</v>
      </c>
      <c r="V302" s="102">
        <v>33.5</v>
      </c>
      <c r="W302" s="106" t="s">
        <v>158</v>
      </c>
      <c r="Y302" s="102" t="s">
        <v>127</v>
      </c>
      <c r="Z302" s="102" t="s">
        <v>128</v>
      </c>
      <c r="AA302" s="104">
        <v>0</v>
      </c>
      <c r="AB302" s="105">
        <v>0</v>
      </c>
      <c r="AC302" s="104">
        <v>3</v>
      </c>
      <c r="AD302" s="123" t="s">
        <v>863</v>
      </c>
      <c r="AE302" s="104">
        <v>20</v>
      </c>
      <c r="AF302" s="105">
        <v>25</v>
      </c>
      <c r="AG302" s="104">
        <v>0.8</v>
      </c>
      <c r="AH302" s="102">
        <v>1.5</v>
      </c>
      <c r="AI302" s="105">
        <v>0.5</v>
      </c>
      <c r="AJ302" s="104">
        <v>10</v>
      </c>
      <c r="AK302" s="102">
        <v>16</v>
      </c>
      <c r="AL302" s="102">
        <v>10</v>
      </c>
      <c r="AM302" s="105">
        <v>0</v>
      </c>
      <c r="AN302" s="104">
        <v>14</v>
      </c>
      <c r="AO302" s="102">
        <v>0</v>
      </c>
      <c r="AP302" s="102">
        <v>16</v>
      </c>
      <c r="AQ302" s="105">
        <v>84</v>
      </c>
      <c r="AT302" s="110">
        <v>0.0729166666666667</v>
      </c>
      <c r="AU302" s="125"/>
    </row>
    <row r="303" spans="1:47">
      <c r="A303" s="100">
        <v>10033411</v>
      </c>
      <c r="B303" s="101">
        <v>110</v>
      </c>
      <c r="C303" s="102">
        <v>4</v>
      </c>
      <c r="D303" s="103" t="s">
        <v>864</v>
      </c>
      <c r="F303" s="103" t="s">
        <v>49</v>
      </c>
      <c r="G303" s="103">
        <v>1</v>
      </c>
      <c r="H303" s="103">
        <v>2</v>
      </c>
      <c r="I303" s="104" t="s">
        <v>326</v>
      </c>
      <c r="J303" s="102" t="s">
        <v>246</v>
      </c>
      <c r="K303" s="102">
        <v>23</v>
      </c>
      <c r="L303" s="103">
        <v>1</v>
      </c>
      <c r="M303" s="104">
        <v>30</v>
      </c>
      <c r="N303" s="102">
        <v>24</v>
      </c>
      <c r="O303" s="102">
        <v>76</v>
      </c>
      <c r="P303" s="102">
        <v>62</v>
      </c>
      <c r="Q303" s="104">
        <f>_xlfn.FLOOR.MATH(30+0.3*B303)</f>
        <v>63</v>
      </c>
      <c r="R303" s="102">
        <f>_xlfn.FLOOR.MATH(7+0.1*B303)</f>
        <v>18</v>
      </c>
      <c r="S303" s="102">
        <f>_xlfn.FLOOR.MATH(36+0.4*B303)</f>
        <v>80</v>
      </c>
      <c r="T303" s="105">
        <f>_xlfn.FLOOR.MATH(30+0.52*B303)</f>
        <v>87</v>
      </c>
      <c r="U303" s="102">
        <v>10</v>
      </c>
      <c r="V303" s="102">
        <v>33.5</v>
      </c>
      <c r="W303" s="106" t="s">
        <v>115</v>
      </c>
      <c r="Y303" s="102" t="s">
        <v>241</v>
      </c>
      <c r="Z303" s="102" t="s">
        <v>128</v>
      </c>
      <c r="AA303" s="104">
        <v>0</v>
      </c>
      <c r="AB303" s="105">
        <v>0</v>
      </c>
      <c r="AC303" s="104">
        <v>2</v>
      </c>
      <c r="AD303" s="123" t="s">
        <v>865</v>
      </c>
      <c r="AE303" s="104">
        <v>15</v>
      </c>
      <c r="AF303" s="105">
        <v>25</v>
      </c>
      <c r="AG303" s="104">
        <v>0.48</v>
      </c>
      <c r="AH303" s="102">
        <v>0.9</v>
      </c>
      <c r="AI303" s="105">
        <v>0.4</v>
      </c>
      <c r="AJ303" s="104">
        <v>4</v>
      </c>
      <c r="AK303" s="102">
        <v>8</v>
      </c>
      <c r="AL303" s="102">
        <v>6</v>
      </c>
      <c r="AM303" s="105">
        <v>0</v>
      </c>
      <c r="AN303" s="104">
        <v>0</v>
      </c>
      <c r="AO303" s="102">
        <v>26</v>
      </c>
      <c r="AP303" s="102">
        <v>9</v>
      </c>
      <c r="AQ303" s="105">
        <v>0</v>
      </c>
      <c r="AU303" s="125" t="str">
        <f>HYPERLINK("http://www.jianrmod.cn/data/shipGetInfo.html?type=0&amp;cid=10033411","详细")</f>
        <v>详细</v>
      </c>
    </row>
    <row r="304" spans="1:47">
      <c r="A304" s="100">
        <v>10033511</v>
      </c>
      <c r="B304" s="101">
        <v>110</v>
      </c>
      <c r="C304" s="102">
        <v>4</v>
      </c>
      <c r="D304" s="103" t="s">
        <v>866</v>
      </c>
      <c r="F304" s="103" t="s">
        <v>49</v>
      </c>
      <c r="G304" s="103">
        <v>1</v>
      </c>
      <c r="H304" s="103">
        <v>2</v>
      </c>
      <c r="I304" s="104" t="s">
        <v>330</v>
      </c>
      <c r="J304" s="102" t="s">
        <v>246</v>
      </c>
      <c r="K304" s="102">
        <v>24</v>
      </c>
      <c r="L304" s="103">
        <v>0</v>
      </c>
      <c r="M304" s="104">
        <v>42</v>
      </c>
      <c r="N304" s="102">
        <v>25</v>
      </c>
      <c r="O304" s="102">
        <v>75</v>
      </c>
      <c r="P304" s="102">
        <v>48</v>
      </c>
      <c r="Q304" s="104">
        <f>_xlfn.FLOOR.MATH(22+0.3*B304)</f>
        <v>55</v>
      </c>
      <c r="R304" s="102">
        <f>_xlfn.FLOOR.MATH(9+0.1*B304)</f>
        <v>20</v>
      </c>
      <c r="S304" s="102">
        <f>_xlfn.FLOOR.MATH(48+0.4*B304)</f>
        <v>92</v>
      </c>
      <c r="T304" s="105">
        <f>_xlfn.FLOOR.MATH(30+0.52*B304)</f>
        <v>87</v>
      </c>
      <c r="U304" s="102">
        <v>10</v>
      </c>
      <c r="V304" s="102">
        <v>42</v>
      </c>
      <c r="W304" s="106" t="s">
        <v>115</v>
      </c>
      <c r="X304" s="106" t="s">
        <v>867</v>
      </c>
      <c r="Y304" s="102" t="s">
        <v>241</v>
      </c>
      <c r="Z304" s="102" t="s">
        <v>128</v>
      </c>
      <c r="AA304" s="104">
        <v>0</v>
      </c>
      <c r="AB304" s="105">
        <v>0</v>
      </c>
      <c r="AC304" s="104">
        <v>2</v>
      </c>
      <c r="AD304" s="123" t="s">
        <v>868</v>
      </c>
      <c r="AE304" s="104">
        <v>10</v>
      </c>
      <c r="AF304" s="105">
        <v>20</v>
      </c>
      <c r="AG304" s="104">
        <v>0.48</v>
      </c>
      <c r="AH304" s="102">
        <v>0.9</v>
      </c>
      <c r="AI304" s="105">
        <v>0.5</v>
      </c>
      <c r="AJ304" s="104">
        <v>4</v>
      </c>
      <c r="AK304" s="102">
        <v>8</v>
      </c>
      <c r="AL304" s="102">
        <v>6</v>
      </c>
      <c r="AM304" s="105">
        <v>0</v>
      </c>
      <c r="AN304" s="104">
        <v>0</v>
      </c>
      <c r="AO304" s="102">
        <v>25</v>
      </c>
      <c r="AP304" s="102">
        <v>10</v>
      </c>
      <c r="AQ304" s="105">
        <v>0</v>
      </c>
      <c r="AT304" s="110">
        <v>0.0347222222222222</v>
      </c>
      <c r="AU304" s="125"/>
    </row>
    <row r="305" spans="1:47">
      <c r="A305" s="100">
        <v>10033611</v>
      </c>
      <c r="B305" s="101">
        <v>110</v>
      </c>
      <c r="C305" s="102">
        <v>3</v>
      </c>
      <c r="D305" s="103" t="s">
        <v>869</v>
      </c>
      <c r="E305" s="103" t="s">
        <v>870</v>
      </c>
      <c r="F305" s="103" t="s">
        <v>49</v>
      </c>
      <c r="G305" s="103">
        <v>1</v>
      </c>
      <c r="H305" s="103">
        <v>2</v>
      </c>
      <c r="I305" s="104" t="s">
        <v>60</v>
      </c>
      <c r="J305" s="102" t="s">
        <v>246</v>
      </c>
      <c r="K305" s="102">
        <v>13</v>
      </c>
      <c r="L305" s="103">
        <v>-1</v>
      </c>
      <c r="M305" s="104">
        <v>26</v>
      </c>
      <c r="N305" s="102">
        <v>19</v>
      </c>
      <c r="O305" s="102">
        <v>66</v>
      </c>
      <c r="P305" s="102">
        <v>52</v>
      </c>
      <c r="Q305" s="104">
        <f>_xlfn.FLOOR.MATH(30+0.3*B305)</f>
        <v>63</v>
      </c>
      <c r="R305" s="102">
        <f>_xlfn.FLOOR.MATH(5+0.1*B305)</f>
        <v>16</v>
      </c>
      <c r="S305" s="102">
        <f>_xlfn.FLOOR.MATH(35+0.4*B305)</f>
        <v>79</v>
      </c>
      <c r="T305" s="105">
        <f>_xlfn.FLOOR.MATH(30+0.52*B305)</f>
        <v>87</v>
      </c>
      <c r="U305" s="102">
        <v>15</v>
      </c>
      <c r="V305" s="102">
        <v>27.8</v>
      </c>
      <c r="W305" s="106" t="s">
        <v>115</v>
      </c>
      <c r="Y305" s="102" t="s">
        <v>241</v>
      </c>
      <c r="Z305" s="102" t="s">
        <v>128</v>
      </c>
      <c r="AA305" s="104">
        <v>0</v>
      </c>
      <c r="AB305" s="105">
        <v>0</v>
      </c>
      <c r="AC305" s="104">
        <v>2</v>
      </c>
      <c r="AD305" s="123" t="s">
        <v>871</v>
      </c>
      <c r="AE305" s="104">
        <v>15</v>
      </c>
      <c r="AF305" s="105">
        <v>20</v>
      </c>
      <c r="AG305" s="104">
        <v>0.48</v>
      </c>
      <c r="AH305" s="102">
        <v>0.9</v>
      </c>
      <c r="AI305" s="105">
        <v>0.5</v>
      </c>
      <c r="AJ305" s="104">
        <v>4</v>
      </c>
      <c r="AK305" s="102">
        <v>8</v>
      </c>
      <c r="AL305" s="102">
        <v>6</v>
      </c>
      <c r="AM305" s="105">
        <v>0</v>
      </c>
      <c r="AN305" s="104">
        <v>0</v>
      </c>
      <c r="AO305" s="102">
        <v>19</v>
      </c>
      <c r="AP305" s="102">
        <v>4</v>
      </c>
      <c r="AQ305" s="105">
        <v>0</v>
      </c>
      <c r="AU305" s="125" t="str">
        <f>HYPERLINK("http://www.jianrmod.cn/data/shipGetInfo.html?type=0&amp;cid=10033611","详细")</f>
        <v>详细</v>
      </c>
    </row>
    <row r="306" spans="1:46">
      <c r="A306" s="100">
        <v>10033712</v>
      </c>
      <c r="B306" s="101">
        <v>110</v>
      </c>
      <c r="C306" s="102">
        <v>5</v>
      </c>
      <c r="D306" s="103" t="s">
        <v>872</v>
      </c>
      <c r="F306" s="103" t="s">
        <v>49</v>
      </c>
      <c r="G306" s="103">
        <v>1</v>
      </c>
      <c r="H306" s="103">
        <v>2</v>
      </c>
      <c r="I306" s="104" t="s">
        <v>91</v>
      </c>
      <c r="J306" s="102" t="s">
        <v>184</v>
      </c>
      <c r="K306" s="102">
        <v>24</v>
      </c>
      <c r="L306" s="103">
        <v>0</v>
      </c>
      <c r="M306" s="104">
        <v>43</v>
      </c>
      <c r="N306" s="102">
        <v>27</v>
      </c>
      <c r="O306" s="102">
        <v>59</v>
      </c>
      <c r="P306" s="102">
        <v>50</v>
      </c>
      <c r="Q306" s="104">
        <f>_xlfn.FLOOR.MATH(24+0.3*B306)</f>
        <v>57</v>
      </c>
      <c r="R306" s="102">
        <f>_xlfn.FLOOR.MATH(10+0.1*B306)</f>
        <v>21</v>
      </c>
      <c r="S306" s="102">
        <f>_xlfn.FLOOR.MATH(47+0.4*B306)</f>
        <v>91</v>
      </c>
      <c r="T306" s="105">
        <f>_xlfn.FLOOR.MATH(34+0.52*B306)</f>
        <v>91</v>
      </c>
      <c r="U306" s="102">
        <v>23</v>
      </c>
      <c r="V306" s="102">
        <v>40</v>
      </c>
      <c r="W306" s="106" t="s">
        <v>158</v>
      </c>
      <c r="Y306" s="102" t="s">
        <v>127</v>
      </c>
      <c r="Z306" s="102" t="s">
        <v>128</v>
      </c>
      <c r="AA306" s="104">
        <v>0</v>
      </c>
      <c r="AB306" s="105">
        <v>0</v>
      </c>
      <c r="AC306" s="104">
        <v>3</v>
      </c>
      <c r="AD306" s="123" t="s">
        <v>873</v>
      </c>
      <c r="AE306" s="104">
        <v>15</v>
      </c>
      <c r="AF306" s="105">
        <v>20</v>
      </c>
      <c r="AG306" s="104">
        <v>0.64</v>
      </c>
      <c r="AH306" s="102">
        <v>1.1</v>
      </c>
      <c r="AI306" s="105">
        <v>0.4</v>
      </c>
      <c r="AJ306" s="104">
        <v>10</v>
      </c>
      <c r="AK306" s="102">
        <v>16</v>
      </c>
      <c r="AL306" s="102">
        <v>10</v>
      </c>
      <c r="AM306" s="105">
        <v>0</v>
      </c>
      <c r="AN306" s="104">
        <v>9</v>
      </c>
      <c r="AO306" s="102">
        <v>24</v>
      </c>
      <c r="AP306" s="102">
        <v>6</v>
      </c>
      <c r="AQ306" s="105">
        <v>10</v>
      </c>
      <c r="AT306" s="110">
        <v>0.0381944444444444</v>
      </c>
    </row>
    <row r="307" ht="52.8" spans="1:48">
      <c r="A307" s="100">
        <v>10033813</v>
      </c>
      <c r="B307" s="101">
        <v>110</v>
      </c>
      <c r="C307" s="102">
        <v>5</v>
      </c>
      <c r="D307" s="103" t="s">
        <v>874</v>
      </c>
      <c r="F307" s="103" t="s">
        <v>49</v>
      </c>
      <c r="G307" s="103">
        <v>2</v>
      </c>
      <c r="H307" s="103">
        <v>3</v>
      </c>
      <c r="I307" s="104" t="s">
        <v>91</v>
      </c>
      <c r="J307" s="102" t="s">
        <v>380</v>
      </c>
      <c r="K307" s="102">
        <v>64</v>
      </c>
      <c r="L307" s="103">
        <v>0</v>
      </c>
      <c r="M307" s="104">
        <v>40</v>
      </c>
      <c r="N307" s="102">
        <v>66</v>
      </c>
      <c r="O307" s="102">
        <v>0</v>
      </c>
      <c r="P307" s="102">
        <v>75</v>
      </c>
      <c r="Q307" s="104">
        <f>_xlfn.FLOOR.MATH(0+0*B307)</f>
        <v>0</v>
      </c>
      <c r="R307" s="102">
        <f>_xlfn.FLOOR.MATH(34+0.25*B307)</f>
        <v>61</v>
      </c>
      <c r="S307" s="102">
        <f>_xlfn.FLOOR.MATH(31+0.2*B307)</f>
        <v>53</v>
      </c>
      <c r="T307" s="105">
        <f>_xlfn.FLOOR.MATH(32+0.49*B307)</f>
        <v>85</v>
      </c>
      <c r="U307" s="102">
        <v>7</v>
      </c>
      <c r="V307" s="102">
        <v>30</v>
      </c>
      <c r="W307" s="106" t="s">
        <v>115</v>
      </c>
      <c r="Y307" s="102" t="s">
        <v>54</v>
      </c>
      <c r="Z307" s="102" t="s">
        <v>55</v>
      </c>
      <c r="AA307" s="104" t="s">
        <v>875</v>
      </c>
      <c r="AB307" s="105">
        <v>66</v>
      </c>
      <c r="AC307" s="104">
        <v>4</v>
      </c>
      <c r="AD307" s="123" t="s">
        <v>836</v>
      </c>
      <c r="AE307" s="104">
        <v>75</v>
      </c>
      <c r="AF307" s="105">
        <v>65</v>
      </c>
      <c r="AG307" s="104">
        <v>3</v>
      </c>
      <c r="AH307" s="102">
        <v>5.2</v>
      </c>
      <c r="AI307" s="105">
        <v>0.95</v>
      </c>
      <c r="AJ307" s="104">
        <v>20</v>
      </c>
      <c r="AK307" s="102">
        <v>20</v>
      </c>
      <c r="AL307" s="102">
        <v>40</v>
      </c>
      <c r="AM307" s="105">
        <v>10</v>
      </c>
      <c r="AN307" s="104">
        <v>0</v>
      </c>
      <c r="AO307" s="102">
        <v>0</v>
      </c>
      <c r="AP307" s="102">
        <v>18</v>
      </c>
      <c r="AQ307" s="105">
        <v>64</v>
      </c>
      <c r="AR307" s="108" t="s">
        <v>876</v>
      </c>
      <c r="AT307" s="110">
        <v>0.174305555555556</v>
      </c>
      <c r="AU307" s="125"/>
      <c r="AV307" s="112" t="s">
        <v>877</v>
      </c>
    </row>
    <row r="308" ht="26.4" spans="1:47">
      <c r="A308" s="100">
        <v>10033913</v>
      </c>
      <c r="B308" s="101">
        <v>110</v>
      </c>
      <c r="C308" s="102">
        <v>5</v>
      </c>
      <c r="D308" s="103" t="s">
        <v>878</v>
      </c>
      <c r="F308" s="103" t="s">
        <v>49</v>
      </c>
      <c r="G308" s="103">
        <v>3</v>
      </c>
      <c r="H308" s="103">
        <v>4</v>
      </c>
      <c r="I308" s="104" t="s">
        <v>91</v>
      </c>
      <c r="J308" s="102" t="s">
        <v>114</v>
      </c>
      <c r="K308" s="102">
        <v>70</v>
      </c>
      <c r="L308" s="103">
        <v>2</v>
      </c>
      <c r="M308" s="104">
        <v>40</v>
      </c>
      <c r="N308" s="102">
        <v>80</v>
      </c>
      <c r="O308" s="102">
        <v>0</v>
      </c>
      <c r="P308" s="102">
        <v>68</v>
      </c>
      <c r="Q308" s="104">
        <f>_xlfn.FLOOR.MATH(0+0*B308)</f>
        <v>0</v>
      </c>
      <c r="R308" s="102">
        <f>_xlfn.FLOOR.MATH(40+0.25*B308)</f>
        <v>67</v>
      </c>
      <c r="S308" s="102">
        <f>_xlfn.FLOOR.MATH(28+0.2*B308)</f>
        <v>50</v>
      </c>
      <c r="T308" s="105">
        <f>_xlfn.FLOOR.MATH(36+0.54*B308)</f>
        <v>95</v>
      </c>
      <c r="U308" s="102">
        <v>7</v>
      </c>
      <c r="V308" s="102">
        <v>31</v>
      </c>
      <c r="W308" s="106" t="s">
        <v>115</v>
      </c>
      <c r="X308" s="106" t="s">
        <v>879</v>
      </c>
      <c r="Y308" s="102" t="s">
        <v>54</v>
      </c>
      <c r="Z308" s="102" t="s">
        <v>55</v>
      </c>
      <c r="AA308" s="104" t="s">
        <v>880</v>
      </c>
      <c r="AB308" s="105">
        <v>75</v>
      </c>
      <c r="AC308" s="104">
        <v>4</v>
      </c>
      <c r="AD308" s="123" t="s">
        <v>836</v>
      </c>
      <c r="AE308" s="104">
        <v>60</v>
      </c>
      <c r="AF308" s="105">
        <v>55</v>
      </c>
      <c r="AG308" s="104">
        <v>2.5</v>
      </c>
      <c r="AH308" s="102">
        <v>4.8</v>
      </c>
      <c r="AI308" s="105">
        <v>1</v>
      </c>
      <c r="AJ308" s="104">
        <v>30</v>
      </c>
      <c r="AK308" s="102">
        <v>40</v>
      </c>
      <c r="AL308" s="102">
        <v>60</v>
      </c>
      <c r="AM308" s="105">
        <v>40</v>
      </c>
      <c r="AN308" s="104">
        <v>0</v>
      </c>
      <c r="AO308" s="102">
        <v>0</v>
      </c>
      <c r="AP308" s="102">
        <v>30</v>
      </c>
      <c r="AQ308" s="105">
        <v>40</v>
      </c>
      <c r="AR308" s="108" t="s">
        <v>881</v>
      </c>
      <c r="AT308" s="110">
        <v>0.177083333333333</v>
      </c>
      <c r="AU308" s="125"/>
    </row>
    <row r="309" spans="1:47">
      <c r="A309" s="100">
        <v>10034012</v>
      </c>
      <c r="B309" s="101">
        <v>110</v>
      </c>
      <c r="C309" s="102">
        <v>4</v>
      </c>
      <c r="D309" s="103" t="s">
        <v>882</v>
      </c>
      <c r="F309" s="103" t="s">
        <v>49</v>
      </c>
      <c r="G309" s="103">
        <v>2</v>
      </c>
      <c r="H309" s="103">
        <v>2</v>
      </c>
      <c r="I309" s="104" t="s">
        <v>91</v>
      </c>
      <c r="J309" s="102" t="s">
        <v>157</v>
      </c>
      <c r="K309" s="102">
        <v>42</v>
      </c>
      <c r="L309" s="103">
        <v>2</v>
      </c>
      <c r="M309" s="104">
        <v>61</v>
      </c>
      <c r="N309" s="102">
        <v>45</v>
      </c>
      <c r="O309" s="102">
        <v>45</v>
      </c>
      <c r="P309" s="102">
        <v>56</v>
      </c>
      <c r="Q309" s="104">
        <f>_xlfn.FLOOR.MATH(0+0*B309)</f>
        <v>0</v>
      </c>
      <c r="R309" s="102">
        <f>_xlfn.FLOOR.MATH(13+0.35*B309)</f>
        <v>51</v>
      </c>
      <c r="S309" s="102">
        <f>_xlfn.FLOOR.MATH(34+0.4*B309)</f>
        <v>78</v>
      </c>
      <c r="T309" s="105">
        <f>_xlfn.FLOOR.MATH(35+0.52*B309)</f>
        <v>92</v>
      </c>
      <c r="U309" s="102">
        <v>15</v>
      </c>
      <c r="V309" s="102">
        <v>35</v>
      </c>
      <c r="W309" s="106" t="s">
        <v>158</v>
      </c>
      <c r="Y309" s="102" t="s">
        <v>127</v>
      </c>
      <c r="Z309" s="102" t="s">
        <v>128</v>
      </c>
      <c r="AA309" s="104" t="s">
        <v>160</v>
      </c>
      <c r="AB309" s="105">
        <v>6</v>
      </c>
      <c r="AC309" s="104">
        <v>3</v>
      </c>
      <c r="AD309" s="123" t="s">
        <v>883</v>
      </c>
      <c r="AE309" s="104">
        <v>35</v>
      </c>
      <c r="AF309" s="105">
        <v>65</v>
      </c>
      <c r="AG309" s="104">
        <v>1.28</v>
      </c>
      <c r="AH309" s="102">
        <v>2.5</v>
      </c>
      <c r="AI309" s="105">
        <v>0.65</v>
      </c>
      <c r="AJ309" s="104">
        <v>30</v>
      </c>
      <c r="AK309" s="102">
        <v>40</v>
      </c>
      <c r="AL309" s="102">
        <v>30</v>
      </c>
      <c r="AM309" s="105">
        <v>0</v>
      </c>
      <c r="AN309" s="104">
        <v>36</v>
      </c>
      <c r="AO309" s="102">
        <v>5</v>
      </c>
      <c r="AP309" s="102">
        <v>15</v>
      </c>
      <c r="AQ309" s="105">
        <v>13</v>
      </c>
      <c r="AT309" s="110">
        <v>0.0659722222222222</v>
      </c>
      <c r="AU309" s="125"/>
    </row>
    <row r="310" spans="1:47">
      <c r="A310" s="100">
        <v>10034112</v>
      </c>
      <c r="B310" s="101">
        <v>110</v>
      </c>
      <c r="C310" s="102">
        <v>4</v>
      </c>
      <c r="D310" s="103" t="s">
        <v>884</v>
      </c>
      <c r="F310" s="103" t="s">
        <v>49</v>
      </c>
      <c r="G310" s="103">
        <v>1</v>
      </c>
      <c r="H310" s="103">
        <v>2</v>
      </c>
      <c r="I310" s="104" t="s">
        <v>885</v>
      </c>
      <c r="J310" s="102" t="s">
        <v>184</v>
      </c>
      <c r="K310" s="102">
        <v>25</v>
      </c>
      <c r="L310" s="103">
        <v>-1</v>
      </c>
      <c r="M310" s="104">
        <v>41</v>
      </c>
      <c r="N310" s="102">
        <v>38</v>
      </c>
      <c r="O310" s="102">
        <v>55</v>
      </c>
      <c r="P310" s="102">
        <v>65</v>
      </c>
      <c r="Q310" s="104">
        <f>_xlfn.FLOOR.MATH(30+0.3*B310)</f>
        <v>63</v>
      </c>
      <c r="R310" s="102">
        <f>_xlfn.FLOOR.MATH(9+0.1*B310)</f>
        <v>20</v>
      </c>
      <c r="S310" s="102">
        <f>_xlfn.FLOOR.MATH(30+0.35*B310)</f>
        <v>68</v>
      </c>
      <c r="T310" s="105">
        <f>_xlfn.FLOOR.MATH(34+0.53*B310)</f>
        <v>92</v>
      </c>
      <c r="U310" s="102">
        <v>15</v>
      </c>
      <c r="V310" s="102">
        <v>29</v>
      </c>
      <c r="W310" s="106" t="s">
        <v>158</v>
      </c>
      <c r="Y310" s="102" t="s">
        <v>127</v>
      </c>
      <c r="Z310" s="102" t="s">
        <v>128</v>
      </c>
      <c r="AA310" s="104">
        <v>0</v>
      </c>
      <c r="AB310" s="105">
        <v>0</v>
      </c>
      <c r="AC310" s="104">
        <v>3</v>
      </c>
      <c r="AD310" s="123" t="s">
        <v>886</v>
      </c>
      <c r="AE310" s="104">
        <v>20</v>
      </c>
      <c r="AF310" s="105">
        <v>30</v>
      </c>
      <c r="AG310" s="104">
        <v>0.8</v>
      </c>
      <c r="AH310" s="102">
        <v>1.4</v>
      </c>
      <c r="AI310" s="105">
        <v>0.475</v>
      </c>
      <c r="AJ310" s="104">
        <v>10</v>
      </c>
      <c r="AK310" s="102">
        <v>16</v>
      </c>
      <c r="AL310" s="102">
        <v>10</v>
      </c>
      <c r="AM310" s="105">
        <v>0</v>
      </c>
      <c r="AN310" s="104">
        <v>8</v>
      </c>
      <c r="AO310" s="102">
        <v>20</v>
      </c>
      <c r="AP310" s="102">
        <v>9</v>
      </c>
      <c r="AQ310" s="105">
        <v>18</v>
      </c>
      <c r="AU310" s="125" t="str">
        <f>HYPERLINK("http://www.jianrmod.cn/data/shipGetInfo.html?type=0&amp;cid=10034112","详细")</f>
        <v>详细</v>
      </c>
    </row>
    <row r="311" spans="1:46">
      <c r="A311" s="100">
        <v>10034211</v>
      </c>
      <c r="B311" s="101">
        <v>110</v>
      </c>
      <c r="C311" s="102">
        <v>4</v>
      </c>
      <c r="D311" s="103" t="s">
        <v>887</v>
      </c>
      <c r="F311" s="103" t="s">
        <v>49</v>
      </c>
      <c r="G311" s="103">
        <v>1</v>
      </c>
      <c r="H311" s="103">
        <v>2</v>
      </c>
      <c r="I311" s="104" t="s">
        <v>86</v>
      </c>
      <c r="J311" s="102" t="s">
        <v>246</v>
      </c>
      <c r="K311" s="102">
        <v>20</v>
      </c>
      <c r="L311" s="103">
        <v>0</v>
      </c>
      <c r="M311" s="104">
        <v>30</v>
      </c>
      <c r="N311" s="102">
        <v>23</v>
      </c>
      <c r="O311" s="102">
        <v>65</v>
      </c>
      <c r="P311" s="102">
        <v>73</v>
      </c>
      <c r="Q311" s="104">
        <f>_xlfn.FLOOR.MATH(55+0.55*B311)</f>
        <v>115</v>
      </c>
      <c r="R311" s="102">
        <f>_xlfn.FLOOR.MATH(10+0.3*B311)</f>
        <v>43</v>
      </c>
      <c r="S311" s="102">
        <f>_xlfn.FLOOR.MATH(32+0.4*B311)</f>
        <v>76</v>
      </c>
      <c r="T311" s="105">
        <f>_xlfn.FLOOR.MATH(30+0.52*B311)</f>
        <v>87</v>
      </c>
      <c r="U311" s="102">
        <v>22</v>
      </c>
      <c r="V311" s="102">
        <v>35</v>
      </c>
      <c r="W311" s="106" t="s">
        <v>115</v>
      </c>
      <c r="X311" s="106" t="s">
        <v>888</v>
      </c>
      <c r="Y311" s="102" t="s">
        <v>241</v>
      </c>
      <c r="Z311" s="102" t="s">
        <v>128</v>
      </c>
      <c r="AA311" s="104">
        <v>0</v>
      </c>
      <c r="AB311" s="105">
        <v>0</v>
      </c>
      <c r="AC311" s="104">
        <v>2</v>
      </c>
      <c r="AD311" s="123" t="s">
        <v>223</v>
      </c>
      <c r="AE311" s="104">
        <v>15</v>
      </c>
      <c r="AF311" s="105">
        <v>25</v>
      </c>
      <c r="AG311" s="104">
        <v>0.48</v>
      </c>
      <c r="AH311" s="102">
        <v>0.8</v>
      </c>
      <c r="AI311" s="105">
        <v>0.45</v>
      </c>
      <c r="AJ311" s="104">
        <v>4</v>
      </c>
      <c r="AK311" s="102">
        <v>8</v>
      </c>
      <c r="AL311" s="102">
        <v>6</v>
      </c>
      <c r="AM311" s="105">
        <v>0</v>
      </c>
      <c r="AN311" s="104">
        <v>0</v>
      </c>
      <c r="AO311" s="102">
        <v>15</v>
      </c>
      <c r="AP311" s="102">
        <v>8</v>
      </c>
      <c r="AQ311" s="105">
        <v>13</v>
      </c>
      <c r="AT311" s="110">
        <v>0.0243055555555556</v>
      </c>
    </row>
    <row r="312" spans="1:48">
      <c r="A312" s="100">
        <v>10034311</v>
      </c>
      <c r="B312" s="101">
        <v>110</v>
      </c>
      <c r="C312" s="102">
        <v>5</v>
      </c>
      <c r="D312" s="103" t="s">
        <v>889</v>
      </c>
      <c r="F312" s="103" t="s">
        <v>49</v>
      </c>
      <c r="G312" s="103">
        <v>2</v>
      </c>
      <c r="H312" s="103">
        <v>4</v>
      </c>
      <c r="I312" s="104" t="s">
        <v>890</v>
      </c>
      <c r="J312" s="102" t="s">
        <v>891</v>
      </c>
      <c r="K312" s="102">
        <v>16</v>
      </c>
      <c r="L312" s="103">
        <v>0</v>
      </c>
      <c r="M312" s="104">
        <v>27</v>
      </c>
      <c r="N312" s="102">
        <v>20</v>
      </c>
      <c r="O312" s="102">
        <v>1</v>
      </c>
      <c r="P312" s="102">
        <v>85</v>
      </c>
      <c r="Q312" s="104">
        <f>_xlfn.FLOOR.MATH(0+0*B312)</f>
        <v>0</v>
      </c>
      <c r="R312" s="102">
        <f>_xlfn.FLOOR.MATH(13+0.3*B312)</f>
        <v>46</v>
      </c>
      <c r="S312" s="102">
        <f>_xlfn.FLOOR.MATH(40+0.4*B312)</f>
        <v>84</v>
      </c>
      <c r="T312" s="105">
        <f>_xlfn.FLOOR.MATH(30+0.52*B312)</f>
        <v>87</v>
      </c>
      <c r="U312" s="102">
        <v>15</v>
      </c>
      <c r="V312" s="102">
        <v>34</v>
      </c>
      <c r="W312" s="106" t="s">
        <v>115</v>
      </c>
      <c r="Y312" s="102" t="s">
        <v>241</v>
      </c>
      <c r="Z312" s="102" t="s">
        <v>55</v>
      </c>
      <c r="AA312" s="104">
        <v>0</v>
      </c>
      <c r="AB312" s="105">
        <v>0</v>
      </c>
      <c r="AC312" s="104">
        <v>3</v>
      </c>
      <c r="AD312" s="123" t="s">
        <v>892</v>
      </c>
      <c r="AE312" s="104">
        <v>30</v>
      </c>
      <c r="AF312" s="105">
        <v>65</v>
      </c>
      <c r="AG312" s="104">
        <v>0.48</v>
      </c>
      <c r="AH312" s="102">
        <v>0.7</v>
      </c>
      <c r="AI312" s="105">
        <v>0.5</v>
      </c>
      <c r="AJ312" s="104">
        <v>8</v>
      </c>
      <c r="AK312" s="102">
        <v>12</v>
      </c>
      <c r="AL312" s="102">
        <v>10</v>
      </c>
      <c r="AM312" s="105">
        <v>16</v>
      </c>
      <c r="AN312" s="104">
        <v>7</v>
      </c>
      <c r="AO312" s="102">
        <v>1</v>
      </c>
      <c r="AP312" s="102">
        <v>5</v>
      </c>
      <c r="AQ312" s="105">
        <v>74</v>
      </c>
      <c r="AT312" s="110">
        <v>0.0416666666666667</v>
      </c>
      <c r="AU312" s="125"/>
      <c r="AV312" s="112" t="s">
        <v>893</v>
      </c>
    </row>
    <row r="313" spans="1:47">
      <c r="A313" s="100">
        <v>10034411</v>
      </c>
      <c r="B313" s="101">
        <v>110</v>
      </c>
      <c r="C313" s="102">
        <v>4</v>
      </c>
      <c r="D313" s="103" t="s">
        <v>894</v>
      </c>
      <c r="F313" s="103" t="s">
        <v>49</v>
      </c>
      <c r="G313" s="103">
        <v>1</v>
      </c>
      <c r="H313" s="103">
        <v>2</v>
      </c>
      <c r="I313" s="104" t="s">
        <v>86</v>
      </c>
      <c r="J313" s="102" t="s">
        <v>246</v>
      </c>
      <c r="K313" s="102">
        <v>17</v>
      </c>
      <c r="L313" s="103">
        <v>-1</v>
      </c>
      <c r="M313" s="104">
        <v>28</v>
      </c>
      <c r="N313" s="102">
        <v>22</v>
      </c>
      <c r="O313" s="102">
        <v>68</v>
      </c>
      <c r="P313" s="102">
        <v>78</v>
      </c>
      <c r="Q313" s="104">
        <f>_xlfn.FLOOR.MATH(40+0.4*B313)</f>
        <v>84</v>
      </c>
      <c r="R313" s="102">
        <f>_xlfn.FLOOR.MATH(10+0.3*B313)</f>
        <v>43</v>
      </c>
      <c r="S313" s="102">
        <f>_xlfn.FLOOR.MATH(37+0.4*B313)</f>
        <v>81</v>
      </c>
      <c r="T313" s="105">
        <f>_xlfn.FLOOR.MATH(30+0.52*B313)</f>
        <v>87</v>
      </c>
      <c r="U313" s="102">
        <v>20</v>
      </c>
      <c r="V313" s="102">
        <v>37</v>
      </c>
      <c r="W313" s="106" t="s">
        <v>115</v>
      </c>
      <c r="X313" s="106" t="s">
        <v>895</v>
      </c>
      <c r="Y313" s="102" t="s">
        <v>241</v>
      </c>
      <c r="Z313" s="102" t="s">
        <v>128</v>
      </c>
      <c r="AA313" s="104">
        <v>0</v>
      </c>
      <c r="AB313" s="105">
        <v>0</v>
      </c>
      <c r="AC313" s="104">
        <v>2</v>
      </c>
      <c r="AD313" s="123" t="s">
        <v>896</v>
      </c>
      <c r="AE313" s="104">
        <v>15</v>
      </c>
      <c r="AF313" s="105">
        <v>25</v>
      </c>
      <c r="AG313" s="104">
        <v>0.48</v>
      </c>
      <c r="AH313" s="102">
        <v>0.8</v>
      </c>
      <c r="AI313" s="105">
        <v>0.45</v>
      </c>
      <c r="AJ313" s="104">
        <v>4</v>
      </c>
      <c r="AK313" s="102">
        <v>8</v>
      </c>
      <c r="AL313" s="102">
        <v>6</v>
      </c>
      <c r="AM313" s="105">
        <v>0</v>
      </c>
      <c r="AN313" s="104">
        <v>0</v>
      </c>
      <c r="AO313" s="102">
        <v>18</v>
      </c>
      <c r="AP313" s="102">
        <v>7</v>
      </c>
      <c r="AQ313" s="105">
        <v>18</v>
      </c>
      <c r="AU313" s="125" t="str">
        <f>HYPERLINK("http://www.jianrmod.cn/data/shipGetInfo.html?type=0&amp;cid=10034411","详细")</f>
        <v>详细</v>
      </c>
    </row>
    <row r="314" ht="79.2" spans="1:48">
      <c r="A314" s="100">
        <v>10034513</v>
      </c>
      <c r="B314" s="101">
        <v>110</v>
      </c>
      <c r="C314" s="102">
        <v>6</v>
      </c>
      <c r="D314" s="103" t="s">
        <v>897</v>
      </c>
      <c r="F314" s="103" t="s">
        <v>49</v>
      </c>
      <c r="G314" s="103">
        <v>5</v>
      </c>
      <c r="H314" s="103">
        <v>5</v>
      </c>
      <c r="I314" s="104" t="s">
        <v>86</v>
      </c>
      <c r="J314" s="102" t="s">
        <v>61</v>
      </c>
      <c r="K314" s="102">
        <v>84</v>
      </c>
      <c r="L314" s="103">
        <v>0</v>
      </c>
      <c r="M314" s="104">
        <v>116</v>
      </c>
      <c r="N314" s="102">
        <v>102</v>
      </c>
      <c r="O314" s="102">
        <v>0</v>
      </c>
      <c r="P314" s="102">
        <v>108</v>
      </c>
      <c r="Q314" s="104">
        <f>_xlfn.FLOOR.MATH(0+0*B314)</f>
        <v>0</v>
      </c>
      <c r="R314" s="102">
        <f>_xlfn.FLOOR.MATH(20+0.25*B314)</f>
        <v>47</v>
      </c>
      <c r="S314" s="102">
        <f>_xlfn.FLOOR.MATH(30+0.2*B314)</f>
        <v>52</v>
      </c>
      <c r="T314" s="105">
        <f>_xlfn.FLOOR.MATH(41+0.56*B314)</f>
        <v>102</v>
      </c>
      <c r="U314" s="102">
        <v>24</v>
      </c>
      <c r="V314" s="102">
        <v>33</v>
      </c>
      <c r="W314" s="106" t="s">
        <v>52</v>
      </c>
      <c r="Y314" s="102" t="s">
        <v>54</v>
      </c>
      <c r="Z314" s="102" t="s">
        <v>55</v>
      </c>
      <c r="AA314" s="104" t="s">
        <v>56</v>
      </c>
      <c r="AB314" s="105">
        <v>12</v>
      </c>
      <c r="AC314" s="104">
        <v>4</v>
      </c>
      <c r="AD314" s="123" t="s">
        <v>599</v>
      </c>
      <c r="AE314" s="104">
        <v>135</v>
      </c>
      <c r="AF314" s="105">
        <v>175</v>
      </c>
      <c r="AG314" s="104">
        <v>4.8</v>
      </c>
      <c r="AH314" s="102">
        <v>9</v>
      </c>
      <c r="AI314" s="105">
        <v>0.8</v>
      </c>
      <c r="AJ314" s="104">
        <v>50</v>
      </c>
      <c r="AK314" s="102">
        <v>60</v>
      </c>
      <c r="AL314" s="102">
        <v>60</v>
      </c>
      <c r="AM314" s="105">
        <v>0</v>
      </c>
      <c r="AN314" s="104">
        <v>91</v>
      </c>
      <c r="AO314" s="102">
        <v>0</v>
      </c>
      <c r="AP314" s="102">
        <v>82</v>
      </c>
      <c r="AQ314" s="105">
        <v>86</v>
      </c>
      <c r="AR314" s="108" t="s">
        <v>898</v>
      </c>
      <c r="AT314" s="110">
        <v>0.260416666666667</v>
      </c>
      <c r="AU314" s="125"/>
      <c r="AV314" s="112" t="s">
        <v>899</v>
      </c>
    </row>
    <row r="315" spans="1:47">
      <c r="A315" s="100">
        <v>10034612</v>
      </c>
      <c r="B315" s="101">
        <v>110</v>
      </c>
      <c r="C315" s="102">
        <v>4</v>
      </c>
      <c r="D315" s="103" t="s">
        <v>900</v>
      </c>
      <c r="F315" s="103" t="s">
        <v>49</v>
      </c>
      <c r="G315" s="103">
        <v>1</v>
      </c>
      <c r="H315" s="103">
        <v>2</v>
      </c>
      <c r="I315" s="104" t="s">
        <v>50</v>
      </c>
      <c r="J315" s="102" t="s">
        <v>184</v>
      </c>
      <c r="K315" s="102">
        <v>35</v>
      </c>
      <c r="L315" s="103">
        <v>1</v>
      </c>
      <c r="M315" s="104">
        <v>55</v>
      </c>
      <c r="N315" s="102">
        <v>50</v>
      </c>
      <c r="O315" s="102">
        <v>50</v>
      </c>
      <c r="P315" s="102">
        <v>75</v>
      </c>
      <c r="Q315" s="104">
        <f>_xlfn.FLOOR.MATH(20+0.4*B315)</f>
        <v>64</v>
      </c>
      <c r="R315" s="102">
        <f>_xlfn.FLOOR.MATH(10+0.1*B315)</f>
        <v>21</v>
      </c>
      <c r="S315" s="102">
        <f>_xlfn.FLOOR.MATH(32+0.33*B315)</f>
        <v>68</v>
      </c>
      <c r="T315" s="105">
        <f>_xlfn.FLOOR.MATH(35+0.52*B315)</f>
        <v>92</v>
      </c>
      <c r="U315" s="102">
        <v>25</v>
      </c>
      <c r="V315" s="102">
        <v>33</v>
      </c>
      <c r="W315" s="106" t="s">
        <v>158</v>
      </c>
      <c r="Y315" s="102" t="s">
        <v>127</v>
      </c>
      <c r="Z315" s="102" t="s">
        <v>128</v>
      </c>
      <c r="AA315" s="104" t="s">
        <v>160</v>
      </c>
      <c r="AB315" s="105">
        <v>6</v>
      </c>
      <c r="AC315" s="104">
        <v>3</v>
      </c>
      <c r="AD315" s="123" t="s">
        <v>476</v>
      </c>
      <c r="AE315" s="104">
        <v>20</v>
      </c>
      <c r="AF315" s="105">
        <v>30</v>
      </c>
      <c r="AG315" s="104">
        <v>0.8</v>
      </c>
      <c r="AH315" s="102">
        <v>1.5</v>
      </c>
      <c r="AI315" s="105">
        <v>0.5</v>
      </c>
      <c r="AJ315" s="104">
        <v>10</v>
      </c>
      <c r="AK315" s="102">
        <v>16</v>
      </c>
      <c r="AL315" s="102">
        <v>10</v>
      </c>
      <c r="AM315" s="105">
        <v>0</v>
      </c>
      <c r="AN315" s="104">
        <v>19</v>
      </c>
      <c r="AO315" s="102">
        <v>10</v>
      </c>
      <c r="AP315" s="102">
        <v>15</v>
      </c>
      <c r="AQ315" s="105">
        <v>32</v>
      </c>
      <c r="AU315" s="125" t="str">
        <f>HYPERLINK("http://www.jianrmod.cn/data/shipGetInfo.html?type=0&amp;cid=10034612","详细")</f>
        <v>详细</v>
      </c>
    </row>
    <row r="316" spans="1:48">
      <c r="A316" s="100">
        <v>10034712</v>
      </c>
      <c r="B316" s="101">
        <v>110</v>
      </c>
      <c r="C316" s="102">
        <v>5</v>
      </c>
      <c r="D316" s="103" t="s">
        <v>901</v>
      </c>
      <c r="F316" s="103" t="s">
        <v>49</v>
      </c>
      <c r="G316" s="103">
        <v>1</v>
      </c>
      <c r="H316" s="103">
        <v>2</v>
      </c>
      <c r="I316" s="104" t="s">
        <v>86</v>
      </c>
      <c r="J316" s="102" t="s">
        <v>184</v>
      </c>
      <c r="K316" s="102">
        <v>36</v>
      </c>
      <c r="L316" s="103">
        <v>0</v>
      </c>
      <c r="M316" s="104">
        <v>61</v>
      </c>
      <c r="N316" s="102">
        <v>55</v>
      </c>
      <c r="O316" s="102">
        <v>0</v>
      </c>
      <c r="P316" s="102">
        <v>105</v>
      </c>
      <c r="Q316" s="104">
        <f>_xlfn.FLOOR.MATH(30+0.4*B316)</f>
        <v>74</v>
      </c>
      <c r="R316" s="102">
        <f>_xlfn.FLOOR.MATH(12+0.1*B316)</f>
        <v>23</v>
      </c>
      <c r="S316" s="102">
        <f>_xlfn.FLOOR.MATH(31+0.35*B316)</f>
        <v>69</v>
      </c>
      <c r="T316" s="105">
        <f>_xlfn.FLOOR.MATH(34+0.52*B316)</f>
        <v>91</v>
      </c>
      <c r="U316" s="102">
        <v>22</v>
      </c>
      <c r="V316" s="102">
        <v>32.5</v>
      </c>
      <c r="W316" s="106" t="s">
        <v>158</v>
      </c>
      <c r="Y316" s="102" t="s">
        <v>127</v>
      </c>
      <c r="Z316" s="102" t="s">
        <v>128</v>
      </c>
      <c r="AA316" s="104" t="s">
        <v>173</v>
      </c>
      <c r="AB316" s="105">
        <v>9</v>
      </c>
      <c r="AC316" s="104">
        <v>3</v>
      </c>
      <c r="AD316" s="123" t="s">
        <v>229</v>
      </c>
      <c r="AE316" s="104">
        <v>25</v>
      </c>
      <c r="AF316" s="105">
        <v>30</v>
      </c>
      <c r="AG316" s="104">
        <v>0.8</v>
      </c>
      <c r="AH316" s="102">
        <v>1.5</v>
      </c>
      <c r="AI316" s="105">
        <v>0.4</v>
      </c>
      <c r="AJ316" s="104">
        <v>10</v>
      </c>
      <c r="AK316" s="102">
        <v>16</v>
      </c>
      <c r="AL316" s="102">
        <v>10</v>
      </c>
      <c r="AM316" s="105">
        <v>0</v>
      </c>
      <c r="AN316" s="104">
        <v>16</v>
      </c>
      <c r="AO316" s="102">
        <v>0</v>
      </c>
      <c r="AP316" s="102">
        <v>15</v>
      </c>
      <c r="AQ316" s="105">
        <v>79</v>
      </c>
      <c r="AT316" s="110">
        <v>0.0541666666666667</v>
      </c>
      <c r="AU316" s="125"/>
      <c r="AV316" s="112" t="s">
        <v>902</v>
      </c>
    </row>
    <row r="317" spans="1:47">
      <c r="A317" s="100">
        <v>10034812</v>
      </c>
      <c r="B317" s="101">
        <v>110</v>
      </c>
      <c r="C317" s="102">
        <v>5</v>
      </c>
      <c r="D317" s="103" t="s">
        <v>903</v>
      </c>
      <c r="F317" s="103" t="s">
        <v>49</v>
      </c>
      <c r="G317" s="103">
        <v>1</v>
      </c>
      <c r="H317" s="103">
        <v>2</v>
      </c>
      <c r="I317" s="104" t="s">
        <v>86</v>
      </c>
      <c r="J317" s="102" t="s">
        <v>184</v>
      </c>
      <c r="K317" s="102">
        <v>36</v>
      </c>
      <c r="L317" s="103">
        <v>0</v>
      </c>
      <c r="M317" s="104">
        <v>61</v>
      </c>
      <c r="N317" s="102">
        <v>55</v>
      </c>
      <c r="O317" s="102">
        <v>0</v>
      </c>
      <c r="P317" s="102">
        <v>105</v>
      </c>
      <c r="Q317" s="104">
        <f>_xlfn.FLOOR.MATH(30+0.4*B317)</f>
        <v>74</v>
      </c>
      <c r="R317" s="102">
        <f>_xlfn.FLOOR.MATH(12+0.1*B317)</f>
        <v>23</v>
      </c>
      <c r="S317" s="102">
        <f>_xlfn.FLOOR.MATH(31+0.35*B317)</f>
        <v>69</v>
      </c>
      <c r="T317" s="105">
        <f>_xlfn.FLOOR.MATH(34+0.52*B317)</f>
        <v>91</v>
      </c>
      <c r="U317" s="102">
        <v>21</v>
      </c>
      <c r="V317" s="102">
        <v>32.5</v>
      </c>
      <c r="W317" s="106" t="s">
        <v>158</v>
      </c>
      <c r="Y317" s="102" t="s">
        <v>127</v>
      </c>
      <c r="Z317" s="102" t="s">
        <v>128</v>
      </c>
      <c r="AA317" s="104" t="s">
        <v>173</v>
      </c>
      <c r="AB317" s="105">
        <v>9</v>
      </c>
      <c r="AC317" s="104">
        <v>3</v>
      </c>
      <c r="AD317" s="123" t="s">
        <v>229</v>
      </c>
      <c r="AE317" s="104">
        <v>25</v>
      </c>
      <c r="AF317" s="105">
        <v>30</v>
      </c>
      <c r="AG317" s="104">
        <v>0.8</v>
      </c>
      <c r="AH317" s="102">
        <v>1.5</v>
      </c>
      <c r="AI317" s="105">
        <v>0.4</v>
      </c>
      <c r="AJ317" s="104">
        <v>10</v>
      </c>
      <c r="AK317" s="102">
        <v>16</v>
      </c>
      <c r="AL317" s="102">
        <v>10</v>
      </c>
      <c r="AM317" s="105">
        <v>0</v>
      </c>
      <c r="AN317" s="104">
        <v>16</v>
      </c>
      <c r="AO317" s="102">
        <v>0</v>
      </c>
      <c r="AP317" s="102">
        <v>15</v>
      </c>
      <c r="AQ317" s="105">
        <v>79</v>
      </c>
      <c r="AT317" s="110">
        <v>0.0541666666666667</v>
      </c>
      <c r="AU317" s="125" t="str">
        <f>HYPERLINK("http://www.jianrmod.cn/data/shipGetInfo.html?type=0&amp;cid=10034812","详细")</f>
        <v>详细</v>
      </c>
    </row>
    <row r="318" spans="1:47">
      <c r="A318" s="100">
        <v>10034911</v>
      </c>
      <c r="B318" s="101">
        <v>110</v>
      </c>
      <c r="C318" s="102">
        <v>4</v>
      </c>
      <c r="D318" s="103" t="s">
        <v>904</v>
      </c>
      <c r="E318" s="103" t="s">
        <v>905</v>
      </c>
      <c r="F318" s="103" t="s">
        <v>49</v>
      </c>
      <c r="G318" s="103">
        <v>1</v>
      </c>
      <c r="H318" s="103">
        <v>2</v>
      </c>
      <c r="I318" s="104" t="s">
        <v>60</v>
      </c>
      <c r="J318" s="102" t="s">
        <v>246</v>
      </c>
      <c r="K318" s="102">
        <v>19</v>
      </c>
      <c r="L318" s="103">
        <v>1</v>
      </c>
      <c r="M318" s="104">
        <v>33</v>
      </c>
      <c r="N318" s="102">
        <v>22</v>
      </c>
      <c r="O318" s="102">
        <v>68</v>
      </c>
      <c r="P318" s="102">
        <v>60</v>
      </c>
      <c r="Q318" s="104">
        <f>_xlfn.FLOOR.MATH(30+0.3*B318)</f>
        <v>63</v>
      </c>
      <c r="R318" s="102">
        <f>_xlfn.FLOOR.MATH(7+0.1*B318)</f>
        <v>18</v>
      </c>
      <c r="S318" s="102">
        <f>_xlfn.FLOOR.MATH(36+0.4*B318)</f>
        <v>80</v>
      </c>
      <c r="T318" s="105">
        <f>_xlfn.FLOOR.MATH(30+0.52*B318)</f>
        <v>87</v>
      </c>
      <c r="U318" s="102">
        <v>13</v>
      </c>
      <c r="V318" s="102">
        <v>33</v>
      </c>
      <c r="W318" s="106" t="s">
        <v>115</v>
      </c>
      <c r="Y318" s="102" t="s">
        <v>241</v>
      </c>
      <c r="Z318" s="102" t="s">
        <v>128</v>
      </c>
      <c r="AA318" s="104">
        <v>0</v>
      </c>
      <c r="AB318" s="105">
        <v>0</v>
      </c>
      <c r="AC318" s="104">
        <v>2</v>
      </c>
      <c r="AD318" s="123" t="s">
        <v>501</v>
      </c>
      <c r="AE318" s="104">
        <v>15</v>
      </c>
      <c r="AF318" s="105">
        <v>20</v>
      </c>
      <c r="AG318" s="104">
        <v>0.48</v>
      </c>
      <c r="AH318" s="102">
        <v>0.9</v>
      </c>
      <c r="AI318" s="105">
        <v>0.5</v>
      </c>
      <c r="AJ318" s="104">
        <v>4</v>
      </c>
      <c r="AK318" s="102">
        <v>8</v>
      </c>
      <c r="AL318" s="102">
        <v>6</v>
      </c>
      <c r="AM318" s="105">
        <v>0</v>
      </c>
      <c r="AN318" s="104">
        <v>0</v>
      </c>
      <c r="AO318" s="102">
        <v>21</v>
      </c>
      <c r="AP318" s="102">
        <v>7</v>
      </c>
      <c r="AQ318" s="105">
        <v>0</v>
      </c>
      <c r="AU318" s="125" t="str">
        <f>HYPERLINK("http://www.jianrmod.cn/data/shipGetInfo.html?type=0&amp;cid=10034911","详细")</f>
        <v>详细</v>
      </c>
    </row>
    <row r="319" ht="26.4" spans="1:48">
      <c r="A319" s="100">
        <v>10035011</v>
      </c>
      <c r="B319" s="101">
        <v>110</v>
      </c>
      <c r="C319" s="102">
        <v>4</v>
      </c>
      <c r="D319" s="103" t="s">
        <v>906</v>
      </c>
      <c r="F319" s="103" t="s">
        <v>49</v>
      </c>
      <c r="G319" s="103">
        <v>1</v>
      </c>
      <c r="H319" s="103">
        <v>2</v>
      </c>
      <c r="I319" s="104" t="s">
        <v>86</v>
      </c>
      <c r="J319" s="102" t="s">
        <v>246</v>
      </c>
      <c r="K319" s="102">
        <v>18</v>
      </c>
      <c r="L319" s="103">
        <v>2</v>
      </c>
      <c r="M319" s="104">
        <v>40</v>
      </c>
      <c r="N319" s="102">
        <v>23</v>
      </c>
      <c r="O319" s="102">
        <v>74</v>
      </c>
      <c r="P319" s="102">
        <v>45</v>
      </c>
      <c r="Q319" s="104">
        <f>_xlfn.FLOOR.MATH(25+0.3*B319)</f>
        <v>58</v>
      </c>
      <c r="R319" s="102">
        <f>_xlfn.FLOOR.MATH(6+0.1*B319)</f>
        <v>17</v>
      </c>
      <c r="S319" s="102">
        <f>_xlfn.FLOOR.MATH(37+0.4*B319)</f>
        <v>81</v>
      </c>
      <c r="T319" s="105">
        <f>_xlfn.FLOOR.MATH(30+0.52*B319)</f>
        <v>87</v>
      </c>
      <c r="U319" s="102">
        <v>17</v>
      </c>
      <c r="V319" s="102">
        <v>38.5</v>
      </c>
      <c r="W319" s="106" t="s">
        <v>115</v>
      </c>
      <c r="Y319" s="102" t="s">
        <v>241</v>
      </c>
      <c r="Z319" s="102" t="s">
        <v>128</v>
      </c>
      <c r="AA319" s="104">
        <v>0</v>
      </c>
      <c r="AB319" s="105">
        <v>0</v>
      </c>
      <c r="AC319" s="104">
        <v>2</v>
      </c>
      <c r="AD319" s="123" t="s">
        <v>541</v>
      </c>
      <c r="AE319" s="104">
        <v>15</v>
      </c>
      <c r="AF319" s="105">
        <v>25</v>
      </c>
      <c r="AG319" s="104">
        <v>0.48</v>
      </c>
      <c r="AH319" s="102">
        <v>0.9</v>
      </c>
      <c r="AI319" s="105">
        <v>0.4</v>
      </c>
      <c r="AJ319" s="104">
        <v>4</v>
      </c>
      <c r="AK319" s="102">
        <v>8</v>
      </c>
      <c r="AL319" s="102">
        <v>6</v>
      </c>
      <c r="AM319" s="105">
        <v>0</v>
      </c>
      <c r="AN319" s="104">
        <v>0</v>
      </c>
      <c r="AO319" s="102">
        <v>24</v>
      </c>
      <c r="AP319" s="102">
        <v>8</v>
      </c>
      <c r="AQ319" s="105">
        <v>4</v>
      </c>
      <c r="AT319" s="110">
        <v>0.0173611111111111</v>
      </c>
      <c r="AV319" s="112" t="s">
        <v>907</v>
      </c>
    </row>
    <row r="320" spans="1:47">
      <c r="A320" s="100">
        <v>10035111</v>
      </c>
      <c r="B320" s="101">
        <v>110</v>
      </c>
      <c r="C320" s="102">
        <v>4</v>
      </c>
      <c r="D320" s="103" t="s">
        <v>908</v>
      </c>
      <c r="F320" s="103" t="s">
        <v>49</v>
      </c>
      <c r="G320" s="103">
        <v>6</v>
      </c>
      <c r="H320" s="103">
        <v>6</v>
      </c>
      <c r="I320" s="104" t="s">
        <v>73</v>
      </c>
      <c r="J320" s="102" t="s">
        <v>560</v>
      </c>
      <c r="K320" s="102">
        <v>8</v>
      </c>
      <c r="L320" s="103">
        <v>0</v>
      </c>
      <c r="M320" s="104">
        <v>22</v>
      </c>
      <c r="N320" s="102">
        <v>20</v>
      </c>
      <c r="O320" s="102">
        <v>62</v>
      </c>
      <c r="P320" s="102">
        <v>0</v>
      </c>
      <c r="Q320" s="104">
        <f>_xlfn.FLOOR.MATH(0+0*B320)</f>
        <v>0</v>
      </c>
      <c r="R320" s="102">
        <f>_xlfn.FLOOR.MATH(10+0.15*B320)</f>
        <v>26</v>
      </c>
      <c r="S320" s="102">
        <f>_xlfn.FLOOR.MATH(28+0.3*B320)</f>
        <v>61</v>
      </c>
      <c r="T320" s="105">
        <f>_xlfn.FLOOR.MATH(31+0.59*B320)</f>
        <v>95</v>
      </c>
      <c r="U320" s="102">
        <v>10</v>
      </c>
      <c r="V320" s="102">
        <v>25</v>
      </c>
      <c r="W320" s="106" t="s">
        <v>115</v>
      </c>
      <c r="X320" s="106" t="s">
        <v>909</v>
      </c>
      <c r="Y320" s="102" t="s">
        <v>241</v>
      </c>
      <c r="Z320" s="102" t="s">
        <v>128</v>
      </c>
      <c r="AA320" s="104">
        <v>0</v>
      </c>
      <c r="AB320" s="105">
        <v>0</v>
      </c>
      <c r="AC320" s="104">
        <v>2</v>
      </c>
      <c r="AD320" s="123" t="s">
        <v>570</v>
      </c>
      <c r="AE320" s="104">
        <v>10</v>
      </c>
      <c r="AF320" s="105">
        <v>15</v>
      </c>
      <c r="AG320" s="104">
        <v>0.5</v>
      </c>
      <c r="AH320" s="102">
        <v>0.4</v>
      </c>
      <c r="AI320" s="105">
        <v>0.15</v>
      </c>
      <c r="AJ320" s="104">
        <v>10</v>
      </c>
      <c r="AK320" s="102">
        <v>10</v>
      </c>
      <c r="AL320" s="102">
        <v>20</v>
      </c>
      <c r="AM320" s="105">
        <v>0</v>
      </c>
      <c r="AN320" s="104">
        <v>0</v>
      </c>
      <c r="AO320" s="102">
        <v>12</v>
      </c>
      <c r="AP320" s="102">
        <v>7</v>
      </c>
      <c r="AQ320" s="105">
        <v>0</v>
      </c>
      <c r="AT320" s="110">
        <v>0.00416666666666667</v>
      </c>
      <c r="AU320" s="125"/>
    </row>
    <row r="321" ht="66" spans="1:47">
      <c r="A321" s="100">
        <v>10035212</v>
      </c>
      <c r="B321" s="101">
        <v>110</v>
      </c>
      <c r="C321" s="102">
        <v>6</v>
      </c>
      <c r="D321" s="103" t="s">
        <v>910</v>
      </c>
      <c r="F321" s="103" t="s">
        <v>49</v>
      </c>
      <c r="G321" s="103">
        <v>3</v>
      </c>
      <c r="H321" s="103">
        <v>3</v>
      </c>
      <c r="I321" s="104" t="s">
        <v>326</v>
      </c>
      <c r="J321" s="102" t="s">
        <v>157</v>
      </c>
      <c r="K321" s="102">
        <v>56</v>
      </c>
      <c r="L321" s="103">
        <v>0</v>
      </c>
      <c r="M321" s="104">
        <v>76</v>
      </c>
      <c r="N321" s="102">
        <v>70</v>
      </c>
      <c r="O321" s="102">
        <v>0</v>
      </c>
      <c r="P321" s="102">
        <v>98</v>
      </c>
      <c r="Q321" s="104">
        <f>_xlfn.FLOOR.MATH(0+0*B321)</f>
        <v>0</v>
      </c>
      <c r="R321" s="102">
        <f>_xlfn.FLOOR.MATH(18+0.25*B321)</f>
        <v>45</v>
      </c>
      <c r="S321" s="102">
        <f>_xlfn.FLOOR.MATH(32+0.3*B321)</f>
        <v>65</v>
      </c>
      <c r="T321" s="105">
        <f>_xlfn.FLOOR.MATH(40+0.51*B321)</f>
        <v>96</v>
      </c>
      <c r="U321" s="102">
        <v>7</v>
      </c>
      <c r="V321" s="102">
        <v>34.5</v>
      </c>
      <c r="W321" s="106" t="s">
        <v>52</v>
      </c>
      <c r="Y321" s="102" t="s">
        <v>127</v>
      </c>
      <c r="Z321" s="102" t="s">
        <v>128</v>
      </c>
      <c r="AA321" s="104">
        <v>0</v>
      </c>
      <c r="AB321" s="105">
        <v>0</v>
      </c>
      <c r="AC321" s="104">
        <v>3</v>
      </c>
      <c r="AD321" s="123" t="s">
        <v>911</v>
      </c>
      <c r="AE321" s="104">
        <v>65</v>
      </c>
      <c r="AF321" s="105">
        <v>100</v>
      </c>
      <c r="AG321" s="104">
        <v>2.4</v>
      </c>
      <c r="AH321" s="102">
        <v>3.8</v>
      </c>
      <c r="AI321" s="105">
        <v>0.8</v>
      </c>
      <c r="AJ321" s="104">
        <v>30</v>
      </c>
      <c r="AK321" s="102">
        <v>40</v>
      </c>
      <c r="AL321" s="102">
        <v>30</v>
      </c>
      <c r="AM321" s="105">
        <v>0</v>
      </c>
      <c r="AN321" s="104">
        <v>51</v>
      </c>
      <c r="AO321" s="102">
        <v>0</v>
      </c>
      <c r="AP321" s="102">
        <v>25</v>
      </c>
      <c r="AQ321" s="105">
        <v>66</v>
      </c>
      <c r="AR321" s="108" t="s">
        <v>912</v>
      </c>
      <c r="AT321" s="110">
        <v>0.0833333333333333</v>
      </c>
      <c r="AU321" s="125"/>
    </row>
    <row r="322" spans="1:47">
      <c r="A322" s="100">
        <v>10035312</v>
      </c>
      <c r="B322" s="101">
        <v>110</v>
      </c>
      <c r="C322" s="102">
        <v>4</v>
      </c>
      <c r="D322" s="103" t="s">
        <v>913</v>
      </c>
      <c r="F322" s="103" t="s">
        <v>49</v>
      </c>
      <c r="G322" s="103">
        <v>2</v>
      </c>
      <c r="H322" s="103">
        <v>2</v>
      </c>
      <c r="I322" s="104" t="s">
        <v>326</v>
      </c>
      <c r="J322" s="102" t="s">
        <v>184</v>
      </c>
      <c r="K322" s="102">
        <v>36</v>
      </c>
      <c r="L322" s="103">
        <v>0</v>
      </c>
      <c r="M322" s="104">
        <v>61</v>
      </c>
      <c r="N322" s="102">
        <v>48</v>
      </c>
      <c r="O322" s="102">
        <v>56</v>
      </c>
      <c r="P322" s="102">
        <v>83</v>
      </c>
      <c r="Q322" s="104">
        <f>_xlfn.FLOOR.MATH(30+0.4*B322)</f>
        <v>74</v>
      </c>
      <c r="R322" s="102">
        <f>_xlfn.FLOOR.MATH(20+0.15*B322)</f>
        <v>36</v>
      </c>
      <c r="S322" s="102">
        <f>_xlfn.FLOOR.MATH(33+0.3*B322)</f>
        <v>66</v>
      </c>
      <c r="T322" s="105">
        <f>_xlfn.FLOOR.MATH(36+0.51*B322)</f>
        <v>92</v>
      </c>
      <c r="U322" s="102">
        <v>18</v>
      </c>
      <c r="V322" s="102">
        <v>33</v>
      </c>
      <c r="W322" s="106" t="s">
        <v>158</v>
      </c>
      <c r="Y322" s="102" t="s">
        <v>127</v>
      </c>
      <c r="Z322" s="102" t="s">
        <v>128</v>
      </c>
      <c r="AA322" s="104">
        <v>0</v>
      </c>
      <c r="AB322" s="105">
        <v>0</v>
      </c>
      <c r="AC322" s="104">
        <v>3</v>
      </c>
      <c r="AD322" s="123" t="s">
        <v>914</v>
      </c>
      <c r="AE322" s="104">
        <v>25</v>
      </c>
      <c r="AF322" s="105">
        <v>35</v>
      </c>
      <c r="AG322" s="104">
        <v>0.8</v>
      </c>
      <c r="AH322" s="102">
        <v>1.5</v>
      </c>
      <c r="AI322" s="105">
        <v>0.5</v>
      </c>
      <c r="AJ322" s="104">
        <v>10</v>
      </c>
      <c r="AK322" s="102">
        <v>16</v>
      </c>
      <c r="AL322" s="102">
        <v>10</v>
      </c>
      <c r="AM322" s="105">
        <v>0</v>
      </c>
      <c r="AN322" s="104">
        <v>16</v>
      </c>
      <c r="AO322" s="102">
        <v>16</v>
      </c>
      <c r="AP322" s="102">
        <v>14</v>
      </c>
      <c r="AQ322" s="105">
        <v>44</v>
      </c>
      <c r="AT322" s="110">
        <v>0.0590277777777778</v>
      </c>
      <c r="AU322" s="125"/>
    </row>
    <row r="323" ht="26.4" spans="1:48">
      <c r="A323" s="100">
        <v>10035412</v>
      </c>
      <c r="B323" s="101">
        <v>110</v>
      </c>
      <c r="C323" s="102">
        <v>4</v>
      </c>
      <c r="D323" s="103" t="s">
        <v>915</v>
      </c>
      <c r="F323" s="103" t="s">
        <v>49</v>
      </c>
      <c r="G323" s="103">
        <v>1</v>
      </c>
      <c r="H323" s="103">
        <v>2</v>
      </c>
      <c r="I323" s="104" t="s">
        <v>91</v>
      </c>
      <c r="J323" s="102" t="s">
        <v>184</v>
      </c>
      <c r="K323" s="102">
        <v>28</v>
      </c>
      <c r="L323" s="103">
        <v>0</v>
      </c>
      <c r="M323" s="104">
        <v>45</v>
      </c>
      <c r="N323" s="102">
        <v>32</v>
      </c>
      <c r="O323" s="102">
        <v>50</v>
      </c>
      <c r="P323" s="102">
        <v>53</v>
      </c>
      <c r="Q323" s="104">
        <f>_xlfn.FLOOR.MATH(25+0.3*B323)</f>
        <v>58</v>
      </c>
      <c r="R323" s="102">
        <f>_xlfn.FLOOR.MATH(12+0.16*B323)</f>
        <v>29</v>
      </c>
      <c r="S323" s="102">
        <f>_xlfn.FLOOR.MATH(40+0.3*B323)</f>
        <v>73</v>
      </c>
      <c r="T323" s="105">
        <f>_xlfn.FLOOR.MATH(33+0.52*B323)</f>
        <v>90</v>
      </c>
      <c r="U323" s="102">
        <v>10</v>
      </c>
      <c r="V323" s="102">
        <v>40</v>
      </c>
      <c r="W323" s="106" t="s">
        <v>158</v>
      </c>
      <c r="Y323" s="102" t="s">
        <v>127</v>
      </c>
      <c r="Z323" s="102" t="s">
        <v>128</v>
      </c>
      <c r="AA323" s="104" t="s">
        <v>160</v>
      </c>
      <c r="AB323" s="105">
        <v>6</v>
      </c>
      <c r="AC323" s="104">
        <v>3</v>
      </c>
      <c r="AD323" s="123" t="s">
        <v>916</v>
      </c>
      <c r="AE323" s="104">
        <v>25</v>
      </c>
      <c r="AF323" s="105">
        <v>25</v>
      </c>
      <c r="AG323" s="104">
        <v>0.9</v>
      </c>
      <c r="AH323" s="102">
        <v>1.7</v>
      </c>
      <c r="AI323" s="105">
        <v>0.6</v>
      </c>
      <c r="AJ323" s="104">
        <v>10</v>
      </c>
      <c r="AK323" s="102">
        <v>16</v>
      </c>
      <c r="AL323" s="102">
        <v>10</v>
      </c>
      <c r="AM323" s="105">
        <v>0</v>
      </c>
      <c r="AN323" s="104">
        <v>10</v>
      </c>
      <c r="AO323" s="102">
        <v>10</v>
      </c>
      <c r="AP323" s="102">
        <v>6</v>
      </c>
      <c r="AQ323" s="105">
        <v>12</v>
      </c>
      <c r="AT323" s="110">
        <v>0.0451388888888889</v>
      </c>
      <c r="AV323" s="112" t="s">
        <v>917</v>
      </c>
    </row>
    <row r="324" ht="26.4" spans="1:48">
      <c r="A324" s="100">
        <v>10035513</v>
      </c>
      <c r="B324" s="101">
        <v>110</v>
      </c>
      <c r="C324" s="102">
        <v>5</v>
      </c>
      <c r="D324" s="103" t="s">
        <v>918</v>
      </c>
      <c r="F324" s="103" t="s">
        <v>49</v>
      </c>
      <c r="G324" s="103">
        <v>1</v>
      </c>
      <c r="H324" s="103">
        <v>2</v>
      </c>
      <c r="I324" s="104" t="s">
        <v>919</v>
      </c>
      <c r="J324" s="102" t="s">
        <v>61</v>
      </c>
      <c r="K324" s="102">
        <v>53</v>
      </c>
      <c r="L324" s="103">
        <v>-1</v>
      </c>
      <c r="M324" s="104">
        <v>77</v>
      </c>
      <c r="N324" s="102">
        <v>82</v>
      </c>
      <c r="O324" s="102">
        <v>0</v>
      </c>
      <c r="P324" s="102">
        <v>42</v>
      </c>
      <c r="Q324" s="104">
        <f>_xlfn.FLOOR.MATH(0+0*B324)</f>
        <v>0</v>
      </c>
      <c r="R324" s="102">
        <f>_xlfn.FLOOR.MATH(10+0.25*B324)</f>
        <v>37</v>
      </c>
      <c r="S324" s="102">
        <f>_xlfn.FLOOR.MATH(22+0.2*B324)</f>
        <v>44</v>
      </c>
      <c r="T324" s="105">
        <f>_xlfn.FLOOR.MATH(39+0.5*B324)</f>
        <v>94</v>
      </c>
      <c r="U324" s="102">
        <v>10</v>
      </c>
      <c r="V324" s="102">
        <v>21</v>
      </c>
      <c r="W324" s="106" t="s">
        <v>52</v>
      </c>
      <c r="Y324" s="102" t="s">
        <v>54</v>
      </c>
      <c r="Z324" s="102" t="s">
        <v>55</v>
      </c>
      <c r="AA324" s="104">
        <v>0</v>
      </c>
      <c r="AB324" s="105">
        <v>0</v>
      </c>
      <c r="AC324" s="104">
        <v>4</v>
      </c>
      <c r="AD324" s="123" t="s">
        <v>920</v>
      </c>
      <c r="AE324" s="104">
        <v>70</v>
      </c>
      <c r="AF324" s="105">
        <v>110</v>
      </c>
      <c r="AG324" s="104">
        <v>2.25</v>
      </c>
      <c r="AH324" s="102">
        <v>4.55</v>
      </c>
      <c r="AI324" s="105">
        <v>1</v>
      </c>
      <c r="AJ324" s="104">
        <v>50</v>
      </c>
      <c r="AK324" s="102">
        <v>60</v>
      </c>
      <c r="AL324" s="102">
        <v>60</v>
      </c>
      <c r="AM324" s="105">
        <v>0</v>
      </c>
      <c r="AN324" s="104">
        <v>57</v>
      </c>
      <c r="AO324" s="102">
        <v>0</v>
      </c>
      <c r="AP324" s="102">
        <v>62</v>
      </c>
      <c r="AQ324" s="105">
        <v>6</v>
      </c>
      <c r="AT324" s="110">
        <v>0.180555555555556</v>
      </c>
      <c r="AU324" s="125"/>
      <c r="AV324" s="112" t="s">
        <v>921</v>
      </c>
    </row>
    <row r="325" spans="1:47">
      <c r="A325" s="100">
        <v>10035612</v>
      </c>
      <c r="B325" s="101">
        <v>110</v>
      </c>
      <c r="C325" s="102">
        <v>3</v>
      </c>
      <c r="D325" s="103" t="s">
        <v>922</v>
      </c>
      <c r="F325" s="103" t="s">
        <v>49</v>
      </c>
      <c r="G325" s="103">
        <v>1</v>
      </c>
      <c r="H325" s="103">
        <v>2</v>
      </c>
      <c r="I325" s="104" t="s">
        <v>777</v>
      </c>
      <c r="J325" s="102" t="s">
        <v>184</v>
      </c>
      <c r="K325" s="102">
        <v>22</v>
      </c>
      <c r="L325" s="103">
        <v>2</v>
      </c>
      <c r="M325" s="104">
        <v>38</v>
      </c>
      <c r="N325" s="102">
        <v>36</v>
      </c>
      <c r="O325" s="102">
        <v>50</v>
      </c>
      <c r="P325" s="102">
        <v>46</v>
      </c>
      <c r="Q325" s="104">
        <f>_xlfn.FLOOR.MATH(25+0.4*B325)</f>
        <v>69</v>
      </c>
      <c r="R325" s="102">
        <f>_xlfn.FLOOR.MATH(7+0.1*B325)</f>
        <v>18</v>
      </c>
      <c r="S325" s="102">
        <f>_xlfn.FLOOR.MATH(17+0.35*B325)</f>
        <v>55</v>
      </c>
      <c r="T325" s="105">
        <f>_xlfn.FLOOR.MATH(33+0.52*B325)</f>
        <v>90</v>
      </c>
      <c r="U325" s="102">
        <v>11</v>
      </c>
      <c r="V325" s="102">
        <v>21</v>
      </c>
      <c r="W325" s="106" t="s">
        <v>158</v>
      </c>
      <c r="Y325" s="102" t="s">
        <v>127</v>
      </c>
      <c r="Z325" s="102" t="s">
        <v>128</v>
      </c>
      <c r="AA325" s="104">
        <v>0</v>
      </c>
      <c r="AB325" s="105">
        <v>0</v>
      </c>
      <c r="AC325" s="104">
        <v>3</v>
      </c>
      <c r="AD325" s="123"/>
      <c r="AE325" s="104">
        <v>15</v>
      </c>
      <c r="AF325" s="105">
        <v>20</v>
      </c>
      <c r="AG325" s="104">
        <v>0.64</v>
      </c>
      <c r="AH325" s="102">
        <v>1.2</v>
      </c>
      <c r="AI325" s="105">
        <v>0.5</v>
      </c>
      <c r="AJ325" s="104">
        <v>10</v>
      </c>
      <c r="AK325" s="102">
        <v>16</v>
      </c>
      <c r="AL325" s="102">
        <v>10</v>
      </c>
      <c r="AM325" s="105">
        <v>0</v>
      </c>
      <c r="AN325" s="104">
        <v>7</v>
      </c>
      <c r="AO325" s="102">
        <v>10</v>
      </c>
      <c r="AP325" s="102">
        <v>8</v>
      </c>
      <c r="AQ325" s="105">
        <v>8</v>
      </c>
      <c r="AU325" s="125" t="str">
        <f>HYPERLINK("http://www.jianrmod.cn/data/shipGetInfo.html?type=0&amp;cid=10035612","详细")</f>
        <v>详细</v>
      </c>
    </row>
    <row r="326" ht="52.8" spans="1:48">
      <c r="A326" s="100">
        <v>10035712</v>
      </c>
      <c r="B326" s="101">
        <v>110</v>
      </c>
      <c r="C326" s="102">
        <v>3</v>
      </c>
      <c r="D326" s="103" t="s">
        <v>923</v>
      </c>
      <c r="E326" s="103" t="s">
        <v>924</v>
      </c>
      <c r="F326" s="103" t="s">
        <v>49</v>
      </c>
      <c r="G326" s="103">
        <v>3</v>
      </c>
      <c r="H326" s="103">
        <v>2</v>
      </c>
      <c r="I326" s="104" t="s">
        <v>60</v>
      </c>
      <c r="J326" s="102" t="s">
        <v>157</v>
      </c>
      <c r="K326" s="102">
        <v>43</v>
      </c>
      <c r="L326" s="103">
        <v>1</v>
      </c>
      <c r="M326" s="104">
        <v>62</v>
      </c>
      <c r="N326" s="102">
        <v>46</v>
      </c>
      <c r="O326" s="102">
        <v>54</v>
      </c>
      <c r="P326" s="102">
        <v>53</v>
      </c>
      <c r="Q326" s="104">
        <f>_xlfn.FLOOR.MATH(0+0*B326)</f>
        <v>0</v>
      </c>
      <c r="R326" s="102">
        <f>_xlfn.FLOOR.MATH(13+0.35*B326)</f>
        <v>51</v>
      </c>
      <c r="S326" s="102">
        <f>_xlfn.FLOOR.MATH(36+0.4*B326)</f>
        <v>80</v>
      </c>
      <c r="T326" s="105">
        <f>_xlfn.FLOOR.MATH(35+0.51*B326)</f>
        <v>91</v>
      </c>
      <c r="U326" s="102">
        <v>16</v>
      </c>
      <c r="V326" s="102">
        <v>33</v>
      </c>
      <c r="W326" s="106" t="s">
        <v>158</v>
      </c>
      <c r="Y326" s="102" t="s">
        <v>127</v>
      </c>
      <c r="Z326" s="102" t="s">
        <v>128</v>
      </c>
      <c r="AA326" s="104" t="s">
        <v>160</v>
      </c>
      <c r="AB326" s="105">
        <v>6</v>
      </c>
      <c r="AC326" s="104">
        <v>3</v>
      </c>
      <c r="AD326" s="123" t="s">
        <v>161</v>
      </c>
      <c r="AE326" s="104">
        <v>40</v>
      </c>
      <c r="AF326" s="105">
        <v>65</v>
      </c>
      <c r="AG326" s="104">
        <v>1.28</v>
      </c>
      <c r="AH326" s="102">
        <v>2.4</v>
      </c>
      <c r="AI326" s="105">
        <v>0.75</v>
      </c>
      <c r="AJ326" s="104">
        <v>30</v>
      </c>
      <c r="AK326" s="102">
        <v>40</v>
      </c>
      <c r="AL326" s="102">
        <v>30</v>
      </c>
      <c r="AM326" s="105">
        <v>0</v>
      </c>
      <c r="AN326" s="104">
        <v>42</v>
      </c>
      <c r="AO326" s="102">
        <v>13</v>
      </c>
      <c r="AP326" s="102">
        <v>16</v>
      </c>
      <c r="AQ326" s="105">
        <v>12</v>
      </c>
      <c r="AR326" s="108" t="s">
        <v>925</v>
      </c>
      <c r="AT326" s="110">
        <v>0.0520833333333333</v>
      </c>
      <c r="AV326" s="112" t="s">
        <v>926</v>
      </c>
    </row>
    <row r="327" spans="1:46">
      <c r="A327" s="100">
        <v>10035811</v>
      </c>
      <c r="B327" s="101">
        <v>110</v>
      </c>
      <c r="C327" s="102">
        <v>4</v>
      </c>
      <c r="D327" s="103" t="s">
        <v>927</v>
      </c>
      <c r="E327" s="103" t="s">
        <v>928</v>
      </c>
      <c r="F327" s="103" t="s">
        <v>49</v>
      </c>
      <c r="G327" s="103">
        <v>1</v>
      </c>
      <c r="H327" s="103">
        <v>2</v>
      </c>
      <c r="I327" s="104" t="s">
        <v>60</v>
      </c>
      <c r="J327" s="102" t="s">
        <v>246</v>
      </c>
      <c r="K327" s="102">
        <v>16</v>
      </c>
      <c r="L327" s="103">
        <v>0</v>
      </c>
      <c r="M327" s="104">
        <v>32</v>
      </c>
      <c r="N327" s="102">
        <v>22</v>
      </c>
      <c r="O327" s="102">
        <v>78</v>
      </c>
      <c r="P327" s="102">
        <v>41</v>
      </c>
      <c r="Q327" s="104">
        <f>_xlfn.FLOOR.MATH(21+0.3*B327)</f>
        <v>54</v>
      </c>
      <c r="R327" s="102">
        <f>_xlfn.FLOOR.MATH(7+0.1*B327)</f>
        <v>18</v>
      </c>
      <c r="S327" s="102">
        <f>_xlfn.FLOOR.MATH(38+0.4*B327)</f>
        <v>82</v>
      </c>
      <c r="T327" s="105">
        <f>_xlfn.FLOOR.MATH(31+0.52*B327)</f>
        <v>88</v>
      </c>
      <c r="U327" s="102">
        <v>16</v>
      </c>
      <c r="V327" s="102">
        <v>35</v>
      </c>
      <c r="W327" s="106" t="s">
        <v>115</v>
      </c>
      <c r="Y327" s="102" t="s">
        <v>241</v>
      </c>
      <c r="Z327" s="102" t="s">
        <v>128</v>
      </c>
      <c r="AA327" s="104">
        <v>0</v>
      </c>
      <c r="AB327" s="105">
        <v>0</v>
      </c>
      <c r="AC327" s="104">
        <v>2</v>
      </c>
      <c r="AD327" s="123" t="s">
        <v>916</v>
      </c>
      <c r="AE327" s="104">
        <v>15</v>
      </c>
      <c r="AF327" s="105">
        <v>20</v>
      </c>
      <c r="AG327" s="104">
        <v>0.48</v>
      </c>
      <c r="AH327" s="102">
        <v>0.9</v>
      </c>
      <c r="AI327" s="105">
        <v>0.5</v>
      </c>
      <c r="AJ327" s="104">
        <v>4</v>
      </c>
      <c r="AK327" s="102">
        <v>8</v>
      </c>
      <c r="AL327" s="102">
        <v>6</v>
      </c>
      <c r="AM327" s="105">
        <v>0</v>
      </c>
      <c r="AN327" s="104">
        <v>0</v>
      </c>
      <c r="AO327" s="102">
        <v>31</v>
      </c>
      <c r="AP327" s="102">
        <v>7</v>
      </c>
      <c r="AQ327" s="105">
        <v>0</v>
      </c>
      <c r="AT327" s="110">
        <v>0.0138888888888889</v>
      </c>
    </row>
    <row r="328" spans="1:43">
      <c r="A328" s="100">
        <v>10035911</v>
      </c>
      <c r="B328" s="101">
        <v>110</v>
      </c>
      <c r="C328" s="102">
        <v>3</v>
      </c>
      <c r="D328" s="103" t="s">
        <v>929</v>
      </c>
      <c r="F328" s="103" t="s">
        <v>49</v>
      </c>
      <c r="G328" s="103">
        <v>5</v>
      </c>
      <c r="H328" s="103">
        <v>5</v>
      </c>
      <c r="I328" s="104" t="s">
        <v>60</v>
      </c>
      <c r="J328" s="102" t="s">
        <v>560</v>
      </c>
      <c r="K328" s="102">
        <v>12</v>
      </c>
      <c r="L328" s="103">
        <v>0</v>
      </c>
      <c r="M328" s="104">
        <v>23</v>
      </c>
      <c r="N328" s="102">
        <v>26</v>
      </c>
      <c r="O328" s="102">
        <v>69</v>
      </c>
      <c r="P328" s="102">
        <v>0</v>
      </c>
      <c r="Q328" s="104">
        <f>_xlfn.FLOOR.MATH(0+0*B328)</f>
        <v>0</v>
      </c>
      <c r="R328" s="102">
        <f>_xlfn.FLOOR.MATH(6+0.1*B328)</f>
        <v>17</v>
      </c>
      <c r="S328" s="102">
        <f>_xlfn.FLOOR.MATH(17+0.2*B328)</f>
        <v>39</v>
      </c>
      <c r="T328" s="105">
        <f>_xlfn.FLOOR.MATH(31+0.55*B328)</f>
        <v>91</v>
      </c>
      <c r="U328" s="102">
        <v>9</v>
      </c>
      <c r="V328" s="102">
        <v>18.9</v>
      </c>
      <c r="W328" s="106" t="s">
        <v>115</v>
      </c>
      <c r="Y328" s="102" t="s">
        <v>241</v>
      </c>
      <c r="Z328" s="102" t="s">
        <v>128</v>
      </c>
      <c r="AA328" s="104">
        <v>0</v>
      </c>
      <c r="AB328" s="105">
        <v>0</v>
      </c>
      <c r="AC328" s="104">
        <v>2</v>
      </c>
      <c r="AD328" s="123" t="s">
        <v>930</v>
      </c>
      <c r="AE328" s="104">
        <v>15</v>
      </c>
      <c r="AF328" s="105">
        <v>20</v>
      </c>
      <c r="AG328" s="104">
        <v>0.6</v>
      </c>
      <c r="AH328" s="102">
        <v>0.5</v>
      </c>
      <c r="AI328" s="105">
        <v>0.3</v>
      </c>
      <c r="AJ328" s="104">
        <v>10</v>
      </c>
      <c r="AK328" s="102">
        <v>10</v>
      </c>
      <c r="AL328" s="102">
        <v>20</v>
      </c>
      <c r="AM328" s="105">
        <v>0</v>
      </c>
      <c r="AN328" s="104">
        <v>0</v>
      </c>
      <c r="AO328" s="102">
        <v>27</v>
      </c>
      <c r="AP328" s="102">
        <v>11</v>
      </c>
      <c r="AQ328" s="105">
        <v>0</v>
      </c>
    </row>
    <row r="329" spans="1:46">
      <c r="A329" s="100">
        <v>10036012</v>
      </c>
      <c r="B329" s="101">
        <v>110</v>
      </c>
      <c r="C329" s="102">
        <v>5</v>
      </c>
      <c r="D329" s="103" t="s">
        <v>931</v>
      </c>
      <c r="F329" s="103" t="s">
        <v>49</v>
      </c>
      <c r="G329" s="103">
        <v>1</v>
      </c>
      <c r="H329" s="103">
        <v>2</v>
      </c>
      <c r="I329" s="104" t="s">
        <v>50</v>
      </c>
      <c r="J329" s="102" t="s">
        <v>184</v>
      </c>
      <c r="K329" s="102">
        <v>36</v>
      </c>
      <c r="L329" s="103">
        <v>0</v>
      </c>
      <c r="M329" s="104">
        <v>53</v>
      </c>
      <c r="N329" s="102">
        <v>50</v>
      </c>
      <c r="O329" s="102">
        <v>0</v>
      </c>
      <c r="P329" s="102">
        <v>104</v>
      </c>
      <c r="Q329" s="104">
        <f>_xlfn.FLOOR.MATH(40+0.2*B329)</f>
        <v>62</v>
      </c>
      <c r="R329" s="102">
        <f>_xlfn.FLOOR.MATH(15+0.1*B329)</f>
        <v>26</v>
      </c>
      <c r="S329" s="102">
        <f>_xlfn.FLOOR.MATH(33+0.33*B329)</f>
        <v>69</v>
      </c>
      <c r="T329" s="105">
        <f>_xlfn.FLOOR.MATH(37+0.52*B329)</f>
        <v>94</v>
      </c>
      <c r="U329" s="102">
        <v>16</v>
      </c>
      <c r="V329" s="102">
        <v>31.5</v>
      </c>
      <c r="W329" s="106" t="s">
        <v>158</v>
      </c>
      <c r="Y329" s="102" t="s">
        <v>127</v>
      </c>
      <c r="Z329" s="102" t="s">
        <v>128</v>
      </c>
      <c r="AA329" s="104">
        <v>0</v>
      </c>
      <c r="AB329" s="105">
        <v>0</v>
      </c>
      <c r="AC329" s="104">
        <v>3</v>
      </c>
      <c r="AD329" s="123" t="s">
        <v>932</v>
      </c>
      <c r="AE329" s="104">
        <v>20</v>
      </c>
      <c r="AF329" s="105">
        <v>35</v>
      </c>
      <c r="AG329" s="104">
        <v>0.9</v>
      </c>
      <c r="AH329" s="102">
        <v>1.5</v>
      </c>
      <c r="AI329" s="105">
        <v>0.5</v>
      </c>
      <c r="AJ329" s="104">
        <v>10</v>
      </c>
      <c r="AK329" s="102">
        <v>16</v>
      </c>
      <c r="AL329" s="102">
        <v>10</v>
      </c>
      <c r="AM329" s="105">
        <v>0</v>
      </c>
      <c r="AN329" s="104">
        <v>18</v>
      </c>
      <c r="AO329" s="102">
        <v>0</v>
      </c>
      <c r="AP329" s="102">
        <v>15</v>
      </c>
      <c r="AQ329" s="105">
        <v>75</v>
      </c>
      <c r="AT329" s="110">
        <v>0.0590277777777778</v>
      </c>
    </row>
    <row r="330" spans="1:46">
      <c r="A330" s="100">
        <v>10036111</v>
      </c>
      <c r="B330" s="101">
        <v>110</v>
      </c>
      <c r="C330" s="102">
        <v>3</v>
      </c>
      <c r="D330" s="103" t="s">
        <v>933</v>
      </c>
      <c r="F330" s="103" t="s">
        <v>49</v>
      </c>
      <c r="G330" s="103">
        <v>4</v>
      </c>
      <c r="H330" s="103">
        <v>5</v>
      </c>
      <c r="I330" s="104" t="s">
        <v>50</v>
      </c>
      <c r="J330" s="102" t="s">
        <v>560</v>
      </c>
      <c r="K330" s="102">
        <v>23</v>
      </c>
      <c r="L330" s="103">
        <v>1</v>
      </c>
      <c r="M330" s="104">
        <v>25</v>
      </c>
      <c r="N330" s="102">
        <v>27</v>
      </c>
      <c r="O330" s="102">
        <v>70</v>
      </c>
      <c r="P330" s="102">
        <v>0</v>
      </c>
      <c r="Q330" s="104">
        <f>_xlfn.FLOOR.MATH(0+0*B330)</f>
        <v>0</v>
      </c>
      <c r="R330" s="102">
        <f>_xlfn.FLOOR.MATH(7+0.1*B330)</f>
        <v>18</v>
      </c>
      <c r="S330" s="102">
        <f>_xlfn.FLOOR.MATH(15+0.2*B330)</f>
        <v>37</v>
      </c>
      <c r="T330" s="105">
        <f>_xlfn.FLOOR.MATH(31+0.55*B330)</f>
        <v>91</v>
      </c>
      <c r="U330" s="102">
        <v>9</v>
      </c>
      <c r="V330" s="102">
        <v>24</v>
      </c>
      <c r="W330" s="106" t="s">
        <v>115</v>
      </c>
      <c r="Y330" s="102" t="s">
        <v>241</v>
      </c>
      <c r="Z330" s="102" t="s">
        <v>128</v>
      </c>
      <c r="AA330" s="104">
        <v>0</v>
      </c>
      <c r="AB330" s="105">
        <v>0</v>
      </c>
      <c r="AC330" s="104">
        <v>2</v>
      </c>
      <c r="AD330" s="123"/>
      <c r="AE330" s="104">
        <v>20</v>
      </c>
      <c r="AF330" s="105">
        <v>20</v>
      </c>
      <c r="AG330" s="104">
        <v>0.8</v>
      </c>
      <c r="AH330" s="102">
        <v>0.8</v>
      </c>
      <c r="AI330" s="105">
        <v>0.45</v>
      </c>
      <c r="AJ330" s="104">
        <v>10</v>
      </c>
      <c r="AK330" s="102">
        <v>10</v>
      </c>
      <c r="AL330" s="102">
        <v>20</v>
      </c>
      <c r="AM330" s="105">
        <v>0</v>
      </c>
      <c r="AN330" s="104">
        <v>2</v>
      </c>
      <c r="AO330" s="102">
        <v>20</v>
      </c>
      <c r="AP330" s="102">
        <v>12</v>
      </c>
      <c r="AQ330" s="105">
        <v>0</v>
      </c>
      <c r="AT330" s="110">
        <v>0.00694444444444444</v>
      </c>
    </row>
    <row r="331" ht="39.6" spans="1:46">
      <c r="A331" s="100">
        <v>10036213</v>
      </c>
      <c r="B331" s="101">
        <v>110</v>
      </c>
      <c r="C331" s="102">
        <v>4</v>
      </c>
      <c r="D331" s="103" t="s">
        <v>934</v>
      </c>
      <c r="F331" s="103" t="s">
        <v>49</v>
      </c>
      <c r="G331" s="103">
        <v>4</v>
      </c>
      <c r="H331" s="103">
        <v>5</v>
      </c>
      <c r="I331" s="104" t="s">
        <v>86</v>
      </c>
      <c r="J331" s="102" t="s">
        <v>51</v>
      </c>
      <c r="K331" s="102">
        <v>76</v>
      </c>
      <c r="L331" s="103">
        <v>0</v>
      </c>
      <c r="M331" s="104">
        <v>107</v>
      </c>
      <c r="N331" s="102">
        <v>71</v>
      </c>
      <c r="O331" s="102">
        <v>42</v>
      </c>
      <c r="P331" s="102">
        <v>66</v>
      </c>
      <c r="Q331" s="104">
        <f>_xlfn.FLOOR.MATH(0+0*B331)</f>
        <v>0</v>
      </c>
      <c r="R331" s="102">
        <f>_xlfn.FLOOR.MATH(12+0.25*B331)</f>
        <v>39</v>
      </c>
      <c r="S331" s="102">
        <f>_xlfn.FLOOR.MATH(28+0.3*B331)</f>
        <v>61</v>
      </c>
      <c r="T331" s="105">
        <f>_xlfn.FLOOR.MATH(40+0.5*B331)</f>
        <v>95</v>
      </c>
      <c r="U331" s="102">
        <v>7</v>
      </c>
      <c r="V331" s="102">
        <v>33</v>
      </c>
      <c r="W331" s="106" t="s">
        <v>52</v>
      </c>
      <c r="X331" s="106" t="s">
        <v>935</v>
      </c>
      <c r="Y331" s="102" t="s">
        <v>54</v>
      </c>
      <c r="Z331" s="102" t="s">
        <v>55</v>
      </c>
      <c r="AA331" s="104" t="s">
        <v>160</v>
      </c>
      <c r="AB331" s="105">
        <v>6</v>
      </c>
      <c r="AC331" s="104">
        <v>4</v>
      </c>
      <c r="AD331" s="123" t="s">
        <v>360</v>
      </c>
      <c r="AE331" s="104">
        <v>75</v>
      </c>
      <c r="AF331" s="105">
        <v>120</v>
      </c>
      <c r="AG331" s="104">
        <v>2.8</v>
      </c>
      <c r="AH331" s="102">
        <v>5.3</v>
      </c>
      <c r="AI331" s="105">
        <v>0.75</v>
      </c>
      <c r="AJ331" s="104">
        <v>40</v>
      </c>
      <c r="AK331" s="102">
        <v>50</v>
      </c>
      <c r="AL331" s="102">
        <v>40</v>
      </c>
      <c r="AM331" s="105">
        <v>0</v>
      </c>
      <c r="AN331" s="104">
        <v>82</v>
      </c>
      <c r="AO331" s="102">
        <v>0</v>
      </c>
      <c r="AP331" s="102">
        <v>56</v>
      </c>
      <c r="AQ331" s="105">
        <v>23</v>
      </c>
      <c r="AR331" s="108" t="s">
        <v>936</v>
      </c>
      <c r="AT331" s="110">
        <v>0.190972222222222</v>
      </c>
    </row>
    <row r="332" spans="1:48">
      <c r="A332" s="100">
        <v>10036311</v>
      </c>
      <c r="B332" s="101">
        <v>110</v>
      </c>
      <c r="C332" s="102">
        <v>4</v>
      </c>
      <c r="D332" s="103" t="s">
        <v>937</v>
      </c>
      <c r="F332" s="103" t="s">
        <v>49</v>
      </c>
      <c r="G332" s="103">
        <v>2</v>
      </c>
      <c r="H332" s="103">
        <v>4</v>
      </c>
      <c r="I332" s="104" t="s">
        <v>326</v>
      </c>
      <c r="J332" s="102" t="s">
        <v>891</v>
      </c>
      <c r="K332" s="102">
        <v>26</v>
      </c>
      <c r="L332" s="103">
        <v>2</v>
      </c>
      <c r="M332" s="104">
        <v>36</v>
      </c>
      <c r="N332" s="102">
        <v>27</v>
      </c>
      <c r="O332" s="102">
        <v>1</v>
      </c>
      <c r="P332" s="102">
        <v>76</v>
      </c>
      <c r="Q332" s="104">
        <f>_xlfn.FLOOR.MATH(0+0*B332)</f>
        <v>0</v>
      </c>
      <c r="R332" s="102">
        <f>_xlfn.FLOOR.MATH(10+0.25*B332)</f>
        <v>37</v>
      </c>
      <c r="S332" s="102">
        <f>_xlfn.FLOOR.MATH(34+0.35*B332)</f>
        <v>72</v>
      </c>
      <c r="T332" s="105">
        <f>_xlfn.FLOOR.MATH(38+0.54*B332)</f>
        <v>97</v>
      </c>
      <c r="U332" s="102">
        <v>12</v>
      </c>
      <c r="V332" s="102">
        <v>34.5</v>
      </c>
      <c r="W332" s="106" t="s">
        <v>115</v>
      </c>
      <c r="Y332" s="102" t="s">
        <v>241</v>
      </c>
      <c r="Z332" s="102" t="s">
        <v>55</v>
      </c>
      <c r="AA332" s="104">
        <v>0</v>
      </c>
      <c r="AB332" s="105">
        <v>0</v>
      </c>
      <c r="AC332" s="104">
        <v>3</v>
      </c>
      <c r="AD332" s="123" t="s">
        <v>938</v>
      </c>
      <c r="AE332" s="104">
        <v>25</v>
      </c>
      <c r="AF332" s="105">
        <v>50</v>
      </c>
      <c r="AG332" s="104">
        <v>0.48</v>
      </c>
      <c r="AH332" s="102">
        <v>1.2</v>
      </c>
      <c r="AI332" s="105">
        <v>0.65</v>
      </c>
      <c r="AJ332" s="104">
        <v>8</v>
      </c>
      <c r="AK332" s="102">
        <v>12</v>
      </c>
      <c r="AL332" s="102">
        <v>10</v>
      </c>
      <c r="AM332" s="105">
        <v>16</v>
      </c>
      <c r="AN332" s="104">
        <v>8</v>
      </c>
      <c r="AO332" s="102">
        <v>1</v>
      </c>
      <c r="AP332" s="102">
        <v>12</v>
      </c>
      <c r="AQ332" s="105">
        <v>56</v>
      </c>
      <c r="AT332" s="110">
        <v>0.0368055555555556</v>
      </c>
      <c r="AU332" s="125"/>
      <c r="AV332" s="127"/>
    </row>
    <row r="333" spans="1:47">
      <c r="A333" s="100">
        <v>10036412</v>
      </c>
      <c r="B333" s="101">
        <v>110</v>
      </c>
      <c r="C333" s="102">
        <v>3</v>
      </c>
      <c r="D333" s="103" t="s">
        <v>939</v>
      </c>
      <c r="F333" s="103" t="s">
        <v>49</v>
      </c>
      <c r="G333" s="103">
        <v>1</v>
      </c>
      <c r="H333" s="103">
        <v>2</v>
      </c>
      <c r="I333" s="104" t="s">
        <v>940</v>
      </c>
      <c r="J333" s="102" t="s">
        <v>157</v>
      </c>
      <c r="K333" s="102">
        <v>48</v>
      </c>
      <c r="L333" s="103">
        <v>0</v>
      </c>
      <c r="M333" s="104">
        <v>54</v>
      </c>
      <c r="N333" s="102">
        <v>43</v>
      </c>
      <c r="O333" s="102">
        <v>57</v>
      </c>
      <c r="P333" s="102">
        <v>61</v>
      </c>
      <c r="Q333" s="104">
        <f>_xlfn.FLOOR.MATH(0+0*B333)</f>
        <v>0</v>
      </c>
      <c r="R333" s="102">
        <f>_xlfn.FLOOR.MATH(11+0.1*B333)</f>
        <v>22</v>
      </c>
      <c r="S333" s="102">
        <f>_xlfn.FLOOR.MATH(30+0.4*B333)</f>
        <v>74</v>
      </c>
      <c r="T333" s="105">
        <f>_xlfn.FLOOR.MATH(35+0.51*B333)</f>
        <v>91</v>
      </c>
      <c r="U333" s="102">
        <v>21</v>
      </c>
      <c r="V333" s="102">
        <v>33</v>
      </c>
      <c r="W333" s="106" t="s">
        <v>158</v>
      </c>
      <c r="Y333" s="102" t="s">
        <v>127</v>
      </c>
      <c r="Z333" s="102" t="s">
        <v>128</v>
      </c>
      <c r="AA333" s="104">
        <v>0</v>
      </c>
      <c r="AB333" s="105">
        <v>0</v>
      </c>
      <c r="AC333" s="104">
        <v>3</v>
      </c>
      <c r="AD333" s="123" t="s">
        <v>440</v>
      </c>
      <c r="AE333" s="104">
        <v>35</v>
      </c>
      <c r="AF333" s="105">
        <v>65</v>
      </c>
      <c r="AG333" s="104">
        <v>1.28</v>
      </c>
      <c r="AH333" s="102">
        <v>2.4</v>
      </c>
      <c r="AI333" s="105">
        <v>0.75</v>
      </c>
      <c r="AJ333" s="104">
        <v>30</v>
      </c>
      <c r="AK333" s="102">
        <v>40</v>
      </c>
      <c r="AL333" s="102">
        <v>30</v>
      </c>
      <c r="AM333" s="105">
        <v>0</v>
      </c>
      <c r="AN333" s="104">
        <v>34</v>
      </c>
      <c r="AO333" s="102">
        <v>11</v>
      </c>
      <c r="AP333" s="102">
        <v>15</v>
      </c>
      <c r="AQ333" s="105">
        <v>16</v>
      </c>
      <c r="AU333" s="125" t="str">
        <f>HYPERLINK("http://www.jianrmod.cn/data/shipGetInfo.html?type=0&amp;cid=10036412","详细")</f>
        <v>详细</v>
      </c>
    </row>
    <row r="334" spans="1:47">
      <c r="A334" s="100">
        <v>10036512</v>
      </c>
      <c r="B334" s="101">
        <v>110</v>
      </c>
      <c r="C334" s="102">
        <v>3</v>
      </c>
      <c r="D334" s="103" t="s">
        <v>941</v>
      </c>
      <c r="F334" s="103" t="s">
        <v>49</v>
      </c>
      <c r="G334" s="103">
        <v>2</v>
      </c>
      <c r="H334" s="103">
        <v>2</v>
      </c>
      <c r="I334" s="104" t="s">
        <v>940</v>
      </c>
      <c r="J334" s="102" t="s">
        <v>184</v>
      </c>
      <c r="K334" s="102">
        <v>25</v>
      </c>
      <c r="L334" s="103">
        <v>-1</v>
      </c>
      <c r="M334" s="104">
        <v>45</v>
      </c>
      <c r="N334" s="102">
        <v>32</v>
      </c>
      <c r="O334" s="102">
        <v>52</v>
      </c>
      <c r="P334" s="102">
        <v>70</v>
      </c>
      <c r="Q334" s="104">
        <f>_xlfn.FLOOR.MATH(18+0.4*B334)</f>
        <v>62</v>
      </c>
      <c r="R334" s="102">
        <f>_xlfn.FLOOR.MATH(9+0.1*B334)</f>
        <v>20</v>
      </c>
      <c r="S334" s="102">
        <f>_xlfn.FLOOR.MATH(31+0.35*B334)</f>
        <v>69</v>
      </c>
      <c r="T334" s="105">
        <f>_xlfn.FLOOR.MATH(30+0.52*B334)</f>
        <v>87</v>
      </c>
      <c r="U334" s="102">
        <v>20</v>
      </c>
      <c r="V334" s="102">
        <v>29</v>
      </c>
      <c r="W334" s="106" t="s">
        <v>158</v>
      </c>
      <c r="Y334" s="102" t="s">
        <v>127</v>
      </c>
      <c r="Z334" s="102" t="s">
        <v>128</v>
      </c>
      <c r="AA334" s="104">
        <v>0</v>
      </c>
      <c r="AB334" s="105">
        <v>0</v>
      </c>
      <c r="AC334" s="104">
        <v>3</v>
      </c>
      <c r="AD334" s="123"/>
      <c r="AE334" s="104">
        <v>20</v>
      </c>
      <c r="AF334" s="105">
        <v>30</v>
      </c>
      <c r="AG334" s="104">
        <v>0.9</v>
      </c>
      <c r="AH334" s="102">
        <v>1.6</v>
      </c>
      <c r="AI334" s="105">
        <v>0.5</v>
      </c>
      <c r="AJ334" s="104">
        <v>10</v>
      </c>
      <c r="AK334" s="102">
        <v>16</v>
      </c>
      <c r="AL334" s="102">
        <v>10</v>
      </c>
      <c r="AM334" s="105">
        <v>0</v>
      </c>
      <c r="AN334" s="104">
        <v>8</v>
      </c>
      <c r="AO334" s="102">
        <v>12</v>
      </c>
      <c r="AP334" s="102">
        <v>9</v>
      </c>
      <c r="AQ334" s="105">
        <v>24</v>
      </c>
      <c r="AU334" s="125" t="str">
        <f>HYPERLINK("http://www.jianrmod.cn/data/shipGetInfo.html?type=0&amp;cid=10036512","详细")</f>
        <v>详细</v>
      </c>
    </row>
    <row r="335" ht="52.8" spans="1:48">
      <c r="A335" s="100">
        <v>10036611</v>
      </c>
      <c r="B335" s="101">
        <v>110</v>
      </c>
      <c r="C335" s="102">
        <v>5</v>
      </c>
      <c r="D335" s="103" t="s">
        <v>942</v>
      </c>
      <c r="F335" s="103" t="s">
        <v>49</v>
      </c>
      <c r="G335" s="103">
        <v>4</v>
      </c>
      <c r="H335" s="103">
        <v>4</v>
      </c>
      <c r="I335" s="104" t="s">
        <v>86</v>
      </c>
      <c r="J335" s="102" t="s">
        <v>560</v>
      </c>
      <c r="K335" s="102">
        <v>24</v>
      </c>
      <c r="L335" s="103">
        <v>0</v>
      </c>
      <c r="M335" s="104">
        <v>28</v>
      </c>
      <c r="N335" s="102">
        <v>28</v>
      </c>
      <c r="O335" s="102">
        <v>73</v>
      </c>
      <c r="P335" s="102">
        <v>0</v>
      </c>
      <c r="Q335" s="104">
        <f>_xlfn.FLOOR.MATH(0+0*B335)</f>
        <v>0</v>
      </c>
      <c r="R335" s="102">
        <f>_xlfn.FLOOR.MATH(15+0.3*B335)</f>
        <v>48</v>
      </c>
      <c r="S335" s="102">
        <f>_xlfn.FLOOR.MATH(16+0.2*B335)</f>
        <v>38</v>
      </c>
      <c r="T335" s="105">
        <f>_xlfn.FLOOR.MATH(32+0.59*B335)</f>
        <v>96</v>
      </c>
      <c r="U335" s="102">
        <v>24</v>
      </c>
      <c r="V335" s="102">
        <v>17.4</v>
      </c>
      <c r="W335" s="106" t="s">
        <v>115</v>
      </c>
      <c r="Y335" s="102" t="s">
        <v>241</v>
      </c>
      <c r="Z335" s="102" t="s">
        <v>128</v>
      </c>
      <c r="AA335" s="104">
        <v>0</v>
      </c>
      <c r="AB335" s="105">
        <v>0</v>
      </c>
      <c r="AC335" s="104">
        <v>2</v>
      </c>
      <c r="AD335" s="123" t="s">
        <v>562</v>
      </c>
      <c r="AE335" s="104">
        <v>20</v>
      </c>
      <c r="AF335" s="105">
        <v>20</v>
      </c>
      <c r="AG335" s="104">
        <v>0.75</v>
      </c>
      <c r="AH335" s="102">
        <v>0.7</v>
      </c>
      <c r="AI335" s="105">
        <v>0.4</v>
      </c>
      <c r="AJ335" s="104">
        <v>10</v>
      </c>
      <c r="AK335" s="102">
        <v>10</v>
      </c>
      <c r="AL335" s="102">
        <v>20</v>
      </c>
      <c r="AM335" s="105">
        <v>0</v>
      </c>
      <c r="AN335" s="104">
        <v>0</v>
      </c>
      <c r="AO335" s="102">
        <v>23</v>
      </c>
      <c r="AP335" s="102">
        <v>13</v>
      </c>
      <c r="AQ335" s="105">
        <v>0</v>
      </c>
      <c r="AR335" s="108" t="s">
        <v>943</v>
      </c>
      <c r="AV335" s="112" t="s">
        <v>944</v>
      </c>
    </row>
    <row r="336" ht="79.2" spans="1:48">
      <c r="A336" s="100">
        <v>10036713</v>
      </c>
      <c r="B336" s="101">
        <v>110</v>
      </c>
      <c r="C336" s="102">
        <v>6</v>
      </c>
      <c r="D336" s="103" t="s">
        <v>945</v>
      </c>
      <c r="F336" s="103" t="s">
        <v>49</v>
      </c>
      <c r="G336" s="103">
        <v>6</v>
      </c>
      <c r="H336" s="103">
        <v>6</v>
      </c>
      <c r="I336" s="104" t="s">
        <v>73</v>
      </c>
      <c r="J336" s="102" t="s">
        <v>61</v>
      </c>
      <c r="K336" s="102">
        <v>108</v>
      </c>
      <c r="L336" s="103">
        <v>0</v>
      </c>
      <c r="M336" s="104">
        <v>117</v>
      </c>
      <c r="N336" s="102">
        <v>102</v>
      </c>
      <c r="O336" s="102">
        <v>0</v>
      </c>
      <c r="P336" s="102">
        <v>70</v>
      </c>
      <c r="Q336" s="104">
        <f>_xlfn.FLOOR.MATH(0+0*B336)</f>
        <v>0</v>
      </c>
      <c r="R336" s="102">
        <f>_xlfn.FLOOR.MATH(17+0.25*B336)</f>
        <v>44</v>
      </c>
      <c r="S336" s="102">
        <f>_xlfn.FLOOR.MATH(23+0.2*B336)</f>
        <v>45</v>
      </c>
      <c r="T336" s="105">
        <f>_xlfn.FLOOR.MATH(41+0.51*B336)</f>
        <v>97</v>
      </c>
      <c r="U336" s="102">
        <v>5</v>
      </c>
      <c r="V336" s="102">
        <v>30.1</v>
      </c>
      <c r="W336" s="106" t="s">
        <v>52</v>
      </c>
      <c r="Y336" s="102" t="s">
        <v>54</v>
      </c>
      <c r="Z336" s="102" t="s">
        <v>55</v>
      </c>
      <c r="AA336" s="104" t="s">
        <v>75</v>
      </c>
      <c r="AB336" s="105">
        <v>16</v>
      </c>
      <c r="AC336" s="104">
        <v>4</v>
      </c>
      <c r="AD336" s="123" t="s">
        <v>946</v>
      </c>
      <c r="AE336" s="104">
        <v>135</v>
      </c>
      <c r="AF336" s="105">
        <v>165</v>
      </c>
      <c r="AG336" s="104">
        <v>4.8</v>
      </c>
      <c r="AH336" s="102">
        <v>9.9</v>
      </c>
      <c r="AI336" s="105">
        <v>1.175</v>
      </c>
      <c r="AJ336" s="104">
        <v>50</v>
      </c>
      <c r="AK336" s="102">
        <v>60</v>
      </c>
      <c r="AL336" s="102">
        <v>60</v>
      </c>
      <c r="AM336" s="105">
        <v>0</v>
      </c>
      <c r="AN336" s="104">
        <v>92</v>
      </c>
      <c r="AO336" s="102">
        <v>0</v>
      </c>
      <c r="AP336" s="102">
        <v>86</v>
      </c>
      <c r="AQ336" s="105">
        <v>24</v>
      </c>
      <c r="AR336" s="108" t="s">
        <v>947</v>
      </c>
      <c r="AT336" s="110">
        <v>0.263888888888889</v>
      </c>
      <c r="AV336" s="112" t="s">
        <v>948</v>
      </c>
    </row>
    <row r="337" ht="26.4" spans="1:48">
      <c r="A337" s="100">
        <v>10036813</v>
      </c>
      <c r="B337" s="101">
        <v>110</v>
      </c>
      <c r="C337" s="102">
        <v>5</v>
      </c>
      <c r="D337" s="103" t="s">
        <v>949</v>
      </c>
      <c r="F337" s="103" t="s">
        <v>49</v>
      </c>
      <c r="G337" s="103">
        <v>2</v>
      </c>
      <c r="H337" s="103">
        <v>2</v>
      </c>
      <c r="I337" s="104" t="s">
        <v>73</v>
      </c>
      <c r="J337" s="102" t="s">
        <v>51</v>
      </c>
      <c r="K337" s="102">
        <v>60</v>
      </c>
      <c r="L337" s="103">
        <v>0</v>
      </c>
      <c r="M337" s="104">
        <v>73</v>
      </c>
      <c r="N337" s="102">
        <v>65</v>
      </c>
      <c r="O337" s="102">
        <v>0</v>
      </c>
      <c r="P337" s="102">
        <v>40</v>
      </c>
      <c r="Q337" s="104">
        <f>_xlfn.FLOOR.MATH(0+0*B337)</f>
        <v>0</v>
      </c>
      <c r="R337" s="102">
        <f>_xlfn.FLOOR.MATH(10+0.25*B337)</f>
        <v>37</v>
      </c>
      <c r="S337" s="102">
        <f>_xlfn.FLOOR.MATH(27+0.2*B337)</f>
        <v>49</v>
      </c>
      <c r="T337" s="105">
        <f>_xlfn.FLOOR.MATH(40+0.51*B337)</f>
        <v>96</v>
      </c>
      <c r="U337" s="102">
        <v>18</v>
      </c>
      <c r="V337" s="102">
        <v>29</v>
      </c>
      <c r="W337" s="106" t="s">
        <v>52</v>
      </c>
      <c r="Y337" s="102" t="s">
        <v>54</v>
      </c>
      <c r="Z337" s="102" t="s">
        <v>55</v>
      </c>
      <c r="AA337" s="104">
        <v>0</v>
      </c>
      <c r="AB337" s="105">
        <v>0</v>
      </c>
      <c r="AC337" s="104">
        <v>4</v>
      </c>
      <c r="AD337" s="123" t="s">
        <v>827</v>
      </c>
      <c r="AE337" s="104">
        <v>55</v>
      </c>
      <c r="AF337" s="105">
        <v>100</v>
      </c>
      <c r="AG337" s="104">
        <v>2.88</v>
      </c>
      <c r="AH337" s="102">
        <v>5.4</v>
      </c>
      <c r="AI337" s="105">
        <v>0.75</v>
      </c>
      <c r="AJ337" s="104">
        <v>40</v>
      </c>
      <c r="AK337" s="102">
        <v>50</v>
      </c>
      <c r="AL337" s="102">
        <v>40</v>
      </c>
      <c r="AM337" s="105">
        <v>0</v>
      </c>
      <c r="AN337" s="104">
        <v>48</v>
      </c>
      <c r="AO337" s="102">
        <v>0</v>
      </c>
      <c r="AP337" s="102">
        <v>53</v>
      </c>
      <c r="AQ337" s="105">
        <v>5</v>
      </c>
      <c r="AT337" s="110">
        <v>0.1875</v>
      </c>
      <c r="AU337" s="125"/>
      <c r="AV337" s="112" t="s">
        <v>950</v>
      </c>
    </row>
    <row r="338" spans="1:46">
      <c r="A338" s="100">
        <v>10036911</v>
      </c>
      <c r="B338" s="101">
        <v>110</v>
      </c>
      <c r="C338" s="102">
        <v>4</v>
      </c>
      <c r="D338" s="103" t="s">
        <v>951</v>
      </c>
      <c r="F338" s="103" t="s">
        <v>49</v>
      </c>
      <c r="G338" s="103">
        <v>1</v>
      </c>
      <c r="H338" s="103">
        <v>2</v>
      </c>
      <c r="I338" s="104" t="s">
        <v>50</v>
      </c>
      <c r="J338" s="102" t="s">
        <v>239</v>
      </c>
      <c r="K338" s="102">
        <v>26</v>
      </c>
      <c r="L338" s="103">
        <v>2</v>
      </c>
      <c r="M338" s="104">
        <v>58</v>
      </c>
      <c r="N338" s="102">
        <v>55</v>
      </c>
      <c r="O338" s="102">
        <v>0</v>
      </c>
      <c r="P338" s="102">
        <v>42</v>
      </c>
      <c r="Q338" s="104">
        <f>_xlfn.FLOOR.MATH(0+0*B338)</f>
        <v>0</v>
      </c>
      <c r="R338" s="102">
        <f>_xlfn.FLOOR.MATH(9+0.1*B338)</f>
        <v>20</v>
      </c>
      <c r="S338" s="102">
        <f>_xlfn.FLOOR.MATH(8+0.3*B338)</f>
        <v>41</v>
      </c>
      <c r="T338" s="105">
        <f>_xlfn.FLOOR.MATH(33+0.5*B338)</f>
        <v>88</v>
      </c>
      <c r="U338" s="102">
        <v>15</v>
      </c>
      <c r="V338" s="102">
        <v>7</v>
      </c>
      <c r="W338" s="106" t="s">
        <v>52</v>
      </c>
      <c r="Y338" s="102" t="s">
        <v>241</v>
      </c>
      <c r="Z338" s="102" t="s">
        <v>128</v>
      </c>
      <c r="AA338" s="104">
        <v>0</v>
      </c>
      <c r="AB338" s="105">
        <v>0</v>
      </c>
      <c r="AC338" s="104">
        <v>2</v>
      </c>
      <c r="AD338" s="123" t="s">
        <v>482</v>
      </c>
      <c r="AE338" s="104">
        <v>15</v>
      </c>
      <c r="AF338" s="105">
        <v>35</v>
      </c>
      <c r="AG338" s="104">
        <v>0.65</v>
      </c>
      <c r="AH338" s="102">
        <v>1.25</v>
      </c>
      <c r="AI338" s="105">
        <v>0.5</v>
      </c>
      <c r="AJ338" s="104">
        <v>20</v>
      </c>
      <c r="AK338" s="102">
        <v>20</v>
      </c>
      <c r="AL338" s="102">
        <v>30</v>
      </c>
      <c r="AM338" s="105">
        <v>0</v>
      </c>
      <c r="AN338" s="104">
        <v>32</v>
      </c>
      <c r="AO338" s="102">
        <v>0</v>
      </c>
      <c r="AP338" s="102">
        <v>35</v>
      </c>
      <c r="AQ338" s="105">
        <v>0</v>
      </c>
      <c r="AT338" s="110">
        <v>0.0243055555555556</v>
      </c>
    </row>
    <row r="339" ht="39.6" spans="1:46">
      <c r="A339" s="100">
        <v>10037013</v>
      </c>
      <c r="B339" s="101">
        <v>110</v>
      </c>
      <c r="C339" s="102">
        <v>5</v>
      </c>
      <c r="D339" s="103" t="s">
        <v>952</v>
      </c>
      <c r="F339" s="103" t="s">
        <v>49</v>
      </c>
      <c r="G339" s="103">
        <v>3</v>
      </c>
      <c r="H339" s="103">
        <v>3</v>
      </c>
      <c r="I339" s="104" t="s">
        <v>50</v>
      </c>
      <c r="J339" s="102" t="s">
        <v>380</v>
      </c>
      <c r="K339" s="102">
        <v>66</v>
      </c>
      <c r="L339" s="103">
        <v>2</v>
      </c>
      <c r="M339" s="104">
        <v>40</v>
      </c>
      <c r="N339" s="102">
        <v>93</v>
      </c>
      <c r="O339" s="102">
        <v>0</v>
      </c>
      <c r="P339" s="102">
        <v>83</v>
      </c>
      <c r="Q339" s="104">
        <f>_xlfn.FLOOR.MATH(0+0*B339)</f>
        <v>0</v>
      </c>
      <c r="R339" s="102">
        <f>_xlfn.FLOOR.MATH(43+0.27*B339)</f>
        <v>72</v>
      </c>
      <c r="S339" s="102">
        <f>_xlfn.FLOOR.MATH(33+0.2*B339)</f>
        <v>55</v>
      </c>
      <c r="T339" s="105">
        <f>_xlfn.FLOOR.MATH(32+0.5*B339)</f>
        <v>87</v>
      </c>
      <c r="U339" s="102">
        <v>19</v>
      </c>
      <c r="V339" s="102">
        <v>30.5</v>
      </c>
      <c r="W339" s="106" t="s">
        <v>115</v>
      </c>
      <c r="Y339" s="102" t="s">
        <v>54</v>
      </c>
      <c r="Z339" s="102" t="s">
        <v>55</v>
      </c>
      <c r="AA339" s="104" t="s">
        <v>953</v>
      </c>
      <c r="AB339" s="105">
        <v>57</v>
      </c>
      <c r="AC339" s="104">
        <v>4</v>
      </c>
      <c r="AD339" s="123" t="s">
        <v>391</v>
      </c>
      <c r="AE339" s="104">
        <v>70</v>
      </c>
      <c r="AF339" s="105">
        <v>65</v>
      </c>
      <c r="AG339" s="104">
        <v>2.88</v>
      </c>
      <c r="AH339" s="102">
        <v>5.5</v>
      </c>
      <c r="AI339" s="105">
        <v>0.975</v>
      </c>
      <c r="AJ339" s="104">
        <v>20</v>
      </c>
      <c r="AK339" s="102">
        <v>20</v>
      </c>
      <c r="AL339" s="102">
        <v>40</v>
      </c>
      <c r="AM339" s="105">
        <v>10</v>
      </c>
      <c r="AN339" s="104">
        <v>3</v>
      </c>
      <c r="AO339" s="102">
        <v>0</v>
      </c>
      <c r="AP339" s="102">
        <v>32</v>
      </c>
      <c r="AQ339" s="105">
        <v>70</v>
      </c>
      <c r="AR339" s="108" t="s">
        <v>954</v>
      </c>
      <c r="AT339" s="110">
        <v>0.173611111111111</v>
      </c>
    </row>
    <row r="340" spans="1:46">
      <c r="A340" s="100">
        <v>10037112</v>
      </c>
      <c r="B340" s="101">
        <v>110</v>
      </c>
      <c r="C340" s="102">
        <v>6</v>
      </c>
      <c r="D340" s="103" t="s">
        <v>955</v>
      </c>
      <c r="F340" s="103" t="s">
        <v>49</v>
      </c>
      <c r="G340" s="103">
        <v>1</v>
      </c>
      <c r="H340" s="103">
        <v>2</v>
      </c>
      <c r="I340" s="104" t="s">
        <v>50</v>
      </c>
      <c r="J340" s="102" t="s">
        <v>184</v>
      </c>
      <c r="K340" s="102">
        <v>40</v>
      </c>
      <c r="L340" s="103">
        <v>0</v>
      </c>
      <c r="M340" s="104">
        <v>70</v>
      </c>
      <c r="N340" s="102">
        <v>50</v>
      </c>
      <c r="O340" s="102">
        <v>60</v>
      </c>
      <c r="P340" s="102">
        <v>110</v>
      </c>
      <c r="Q340" s="104">
        <f>_xlfn.FLOOR.MATH(36+0.2*B340)</f>
        <v>58</v>
      </c>
      <c r="R340" s="102">
        <f>_xlfn.FLOOR.MATH(15+0.1*B340)</f>
        <v>26</v>
      </c>
      <c r="S340" s="102">
        <f>_xlfn.FLOOR.MATH(32+0.33*B340)</f>
        <v>68</v>
      </c>
      <c r="T340" s="105">
        <f>_xlfn.FLOOR.MATH(37+0.52*B340)</f>
        <v>94</v>
      </c>
      <c r="U340" s="102">
        <v>6</v>
      </c>
      <c r="V340" s="102">
        <v>33</v>
      </c>
      <c r="W340" s="106" t="s">
        <v>158</v>
      </c>
      <c r="Y340" s="102" t="s">
        <v>127</v>
      </c>
      <c r="Z340" s="102" t="s">
        <v>128</v>
      </c>
      <c r="AA340" s="104">
        <v>0</v>
      </c>
      <c r="AB340" s="105">
        <v>0</v>
      </c>
      <c r="AC340" s="104">
        <v>3</v>
      </c>
      <c r="AD340" s="123" t="s">
        <v>956</v>
      </c>
      <c r="AE340" s="104">
        <v>25</v>
      </c>
      <c r="AF340" s="105">
        <v>35</v>
      </c>
      <c r="AG340" s="104">
        <v>0.95</v>
      </c>
      <c r="AH340" s="102">
        <v>1.6</v>
      </c>
      <c r="AI340" s="105">
        <v>0.5</v>
      </c>
      <c r="AJ340" s="104">
        <v>10</v>
      </c>
      <c r="AK340" s="102">
        <v>16</v>
      </c>
      <c r="AL340" s="102">
        <v>10</v>
      </c>
      <c r="AM340" s="105">
        <v>0</v>
      </c>
      <c r="AN340" s="104">
        <v>24</v>
      </c>
      <c r="AO340" s="102">
        <v>20</v>
      </c>
      <c r="AP340" s="102">
        <v>15</v>
      </c>
      <c r="AQ340" s="105">
        <v>84</v>
      </c>
      <c r="AT340" s="110">
        <v>0.0590277777777778</v>
      </c>
    </row>
    <row r="341" spans="1:47">
      <c r="A341" s="100">
        <v>10037211</v>
      </c>
      <c r="B341" s="101">
        <v>110</v>
      </c>
      <c r="C341" s="102">
        <v>4</v>
      </c>
      <c r="D341" s="103" t="s">
        <v>957</v>
      </c>
      <c r="E341" s="103" t="s">
        <v>958</v>
      </c>
      <c r="F341" s="103" t="s">
        <v>49</v>
      </c>
      <c r="G341" s="103">
        <v>1</v>
      </c>
      <c r="H341" s="103">
        <v>2</v>
      </c>
      <c r="I341" s="104" t="s">
        <v>60</v>
      </c>
      <c r="J341" s="102" t="s">
        <v>246</v>
      </c>
      <c r="K341" s="102">
        <v>20</v>
      </c>
      <c r="L341" s="103">
        <v>0</v>
      </c>
      <c r="M341" s="104">
        <v>33</v>
      </c>
      <c r="N341" s="102">
        <v>23</v>
      </c>
      <c r="O341" s="102">
        <v>76</v>
      </c>
      <c r="P341" s="102">
        <v>62</v>
      </c>
      <c r="Q341" s="104">
        <f>_xlfn.FLOOR.MATH(32+0.3*B341)</f>
        <v>65</v>
      </c>
      <c r="R341" s="102">
        <f>_xlfn.FLOOR.MATH(7+0.1*B341)</f>
        <v>18</v>
      </c>
      <c r="S341" s="102">
        <f>_xlfn.FLOOR.MATH(36+0.4*B341)</f>
        <v>80</v>
      </c>
      <c r="T341" s="105">
        <f>_xlfn.FLOOR.MATH(30+0.52*B341)</f>
        <v>87</v>
      </c>
      <c r="U341" s="102">
        <v>6</v>
      </c>
      <c r="V341" s="102">
        <v>36.7</v>
      </c>
      <c r="W341" s="106" t="s">
        <v>115</v>
      </c>
      <c r="X341" s="106" t="s">
        <v>959</v>
      </c>
      <c r="Y341" s="102" t="s">
        <v>241</v>
      </c>
      <c r="Z341" s="102" t="s">
        <v>128</v>
      </c>
      <c r="AA341" s="104">
        <v>0</v>
      </c>
      <c r="AB341" s="105">
        <v>0</v>
      </c>
      <c r="AC341" s="104">
        <v>2</v>
      </c>
      <c r="AD341" s="123" t="s">
        <v>960</v>
      </c>
      <c r="AE341" s="104">
        <v>15</v>
      </c>
      <c r="AF341" s="105">
        <v>20</v>
      </c>
      <c r="AG341" s="104">
        <v>0.49</v>
      </c>
      <c r="AH341" s="102">
        <v>0.9</v>
      </c>
      <c r="AI341" s="105">
        <v>0.5</v>
      </c>
      <c r="AJ341" s="104">
        <v>4</v>
      </c>
      <c r="AK341" s="102">
        <v>8</v>
      </c>
      <c r="AL341" s="102">
        <v>6</v>
      </c>
      <c r="AM341" s="105">
        <v>0</v>
      </c>
      <c r="AN341" s="104">
        <v>0</v>
      </c>
      <c r="AO341" s="102">
        <v>29</v>
      </c>
      <c r="AP341" s="102">
        <v>8</v>
      </c>
      <c r="AQ341" s="105">
        <v>0</v>
      </c>
      <c r="AT341" s="110">
        <v>0.0208333333333333</v>
      </c>
      <c r="AU341" s="125"/>
    </row>
    <row r="342" spans="1:46">
      <c r="A342" s="100">
        <v>10037311</v>
      </c>
      <c r="B342" s="101">
        <v>110</v>
      </c>
      <c r="C342" s="102">
        <v>4</v>
      </c>
      <c r="D342" s="103" t="s">
        <v>961</v>
      </c>
      <c r="F342" s="103" t="s">
        <v>49</v>
      </c>
      <c r="G342" s="103">
        <v>4</v>
      </c>
      <c r="H342" s="103">
        <v>4</v>
      </c>
      <c r="I342" s="104" t="s">
        <v>91</v>
      </c>
      <c r="J342" s="102" t="s">
        <v>560</v>
      </c>
      <c r="K342" s="102">
        <v>12</v>
      </c>
      <c r="L342" s="103">
        <v>0</v>
      </c>
      <c r="M342" s="104">
        <v>24</v>
      </c>
      <c r="N342" s="102">
        <v>25</v>
      </c>
      <c r="O342" s="102">
        <v>73</v>
      </c>
      <c r="P342" s="102">
        <v>0</v>
      </c>
      <c r="Q342" s="104">
        <f>_xlfn.FLOOR.MATH(0+0*B342)</f>
        <v>0</v>
      </c>
      <c r="R342" s="102">
        <f>_xlfn.FLOOR.MATH(11+0.3*B342)</f>
        <v>44</v>
      </c>
      <c r="S342" s="102">
        <f>_xlfn.FLOOR.MATH(17+0.2*B342)</f>
        <v>39</v>
      </c>
      <c r="T342" s="105">
        <f>_xlfn.FLOOR.MATH(32+0.58*B342)</f>
        <v>95</v>
      </c>
      <c r="U342" s="102">
        <v>16</v>
      </c>
      <c r="V342" s="102">
        <v>18</v>
      </c>
      <c r="W342" s="106" t="s">
        <v>115</v>
      </c>
      <c r="Y342" s="102" t="s">
        <v>241</v>
      </c>
      <c r="Z342" s="102" t="s">
        <v>128</v>
      </c>
      <c r="AA342" s="104">
        <v>0</v>
      </c>
      <c r="AB342" s="105">
        <v>0</v>
      </c>
      <c r="AC342" s="104">
        <v>2</v>
      </c>
      <c r="AD342" s="123"/>
      <c r="AE342" s="104">
        <v>15</v>
      </c>
      <c r="AF342" s="105">
        <v>20</v>
      </c>
      <c r="AG342" s="104">
        <v>0.5</v>
      </c>
      <c r="AH342" s="102">
        <v>0.5</v>
      </c>
      <c r="AI342" s="105">
        <v>0.325</v>
      </c>
      <c r="AJ342" s="104">
        <v>10</v>
      </c>
      <c r="AK342" s="102">
        <v>10</v>
      </c>
      <c r="AL342" s="102">
        <v>20</v>
      </c>
      <c r="AM342" s="105">
        <v>0</v>
      </c>
      <c r="AN342" s="104">
        <v>0</v>
      </c>
      <c r="AO342" s="102">
        <v>23</v>
      </c>
      <c r="AP342" s="102">
        <v>10</v>
      </c>
      <c r="AQ342" s="105">
        <v>0</v>
      </c>
      <c r="AT342" s="110">
        <v>0.0104166666666667</v>
      </c>
    </row>
    <row r="343" ht="92.4" spans="1:48">
      <c r="A343" s="100">
        <v>10037413</v>
      </c>
      <c r="B343" s="101">
        <v>110</v>
      </c>
      <c r="C343" s="102">
        <v>5</v>
      </c>
      <c r="D343" s="103" t="s">
        <v>962</v>
      </c>
      <c r="F343" s="103" t="s">
        <v>49</v>
      </c>
      <c r="G343" s="103">
        <v>5</v>
      </c>
      <c r="H343" s="103">
        <v>4</v>
      </c>
      <c r="I343" s="104" t="s">
        <v>86</v>
      </c>
      <c r="J343" s="102" t="s">
        <v>114</v>
      </c>
      <c r="K343" s="102">
        <v>60</v>
      </c>
      <c r="L343" s="103">
        <v>0</v>
      </c>
      <c r="M343" s="104">
        <v>40</v>
      </c>
      <c r="N343" s="102">
        <v>60</v>
      </c>
      <c r="O343" s="102">
        <v>0</v>
      </c>
      <c r="P343" s="102">
        <v>99</v>
      </c>
      <c r="Q343" s="104">
        <f>_xlfn.FLOOR.MATH(0+0*B343)</f>
        <v>0</v>
      </c>
      <c r="R343" s="102">
        <f>_xlfn.FLOOR.MATH(50+0.25*B343)</f>
        <v>77</v>
      </c>
      <c r="S343" s="102">
        <f>_xlfn.FLOOR.MATH(30+0.2*B343)</f>
        <v>52</v>
      </c>
      <c r="T343" s="105">
        <f>_xlfn.FLOOR.MATH(37+0.54*B343)</f>
        <v>96</v>
      </c>
      <c r="U343" s="102">
        <v>22</v>
      </c>
      <c r="V343" s="102">
        <v>33</v>
      </c>
      <c r="W343" s="106" t="s">
        <v>115</v>
      </c>
      <c r="Y343" s="102" t="s">
        <v>54</v>
      </c>
      <c r="Z343" s="102" t="s">
        <v>55</v>
      </c>
      <c r="AA343" s="104" t="s">
        <v>963</v>
      </c>
      <c r="AB343" s="105">
        <v>92</v>
      </c>
      <c r="AC343" s="104">
        <v>4</v>
      </c>
      <c r="AD343" s="123" t="s">
        <v>964</v>
      </c>
      <c r="AE343" s="104">
        <v>60</v>
      </c>
      <c r="AF343" s="105">
        <v>65</v>
      </c>
      <c r="AG343" s="104">
        <v>2.4</v>
      </c>
      <c r="AH343" s="102">
        <v>4.6</v>
      </c>
      <c r="AI343" s="105">
        <v>0.8</v>
      </c>
      <c r="AJ343" s="104">
        <v>30</v>
      </c>
      <c r="AK343" s="102">
        <v>40</v>
      </c>
      <c r="AL343" s="102">
        <v>60</v>
      </c>
      <c r="AM343" s="105">
        <v>40</v>
      </c>
      <c r="AN343" s="104">
        <v>0</v>
      </c>
      <c r="AO343" s="102">
        <v>0</v>
      </c>
      <c r="AP343" s="102">
        <v>18</v>
      </c>
      <c r="AQ343" s="105">
        <v>109</v>
      </c>
      <c r="AR343" s="108" t="s">
        <v>965</v>
      </c>
      <c r="AT343" s="110">
        <v>0.166666666666667</v>
      </c>
      <c r="AV343" s="112" t="s">
        <v>966</v>
      </c>
    </row>
    <row r="344" ht="26.4" spans="1:48">
      <c r="A344" s="100">
        <v>10037512</v>
      </c>
      <c r="B344" s="101">
        <v>110</v>
      </c>
      <c r="C344" s="102">
        <v>3</v>
      </c>
      <c r="D344" s="103" t="s">
        <v>967</v>
      </c>
      <c r="F344" s="103" t="s">
        <v>49</v>
      </c>
      <c r="G344" s="103">
        <v>1</v>
      </c>
      <c r="H344" s="103">
        <v>2</v>
      </c>
      <c r="I344" s="104" t="s">
        <v>86</v>
      </c>
      <c r="J344" s="102" t="s">
        <v>125</v>
      </c>
      <c r="K344" s="102">
        <v>36</v>
      </c>
      <c r="L344" s="103">
        <v>0</v>
      </c>
      <c r="M344" s="104">
        <v>20</v>
      </c>
      <c r="N344" s="102">
        <v>40</v>
      </c>
      <c r="O344" s="102">
        <v>0</v>
      </c>
      <c r="P344" s="102">
        <v>66</v>
      </c>
      <c r="Q344" s="104">
        <f>_xlfn.FLOOR.MATH(0+0*B344)</f>
        <v>0</v>
      </c>
      <c r="R344" s="102">
        <f>_xlfn.FLOOR.MATH(39+0.25*B344)</f>
        <v>66</v>
      </c>
      <c r="S344" s="102">
        <f>_xlfn.FLOOR.MATH(32+0.2*B344)</f>
        <v>54</v>
      </c>
      <c r="T344" s="105">
        <f>_xlfn.FLOOR.MATH(33+0.51*B344)</f>
        <v>89</v>
      </c>
      <c r="U344" s="102">
        <v>20</v>
      </c>
      <c r="V344" s="102">
        <v>31.5</v>
      </c>
      <c r="W344" s="106" t="s">
        <v>115</v>
      </c>
      <c r="Y344" s="102" t="s">
        <v>127</v>
      </c>
      <c r="Z344" s="102" t="s">
        <v>128</v>
      </c>
      <c r="AA344" s="104" t="s">
        <v>968</v>
      </c>
      <c r="AB344" s="105">
        <v>37</v>
      </c>
      <c r="AC344" s="104">
        <v>3</v>
      </c>
      <c r="AD344" s="123" t="s">
        <v>969</v>
      </c>
      <c r="AE344" s="104">
        <v>35</v>
      </c>
      <c r="AF344" s="105">
        <v>40</v>
      </c>
      <c r="AG344" s="104">
        <v>1.28</v>
      </c>
      <c r="AH344" s="102">
        <v>2.4</v>
      </c>
      <c r="AI344" s="105">
        <v>0.625</v>
      </c>
      <c r="AJ344" s="104">
        <v>20</v>
      </c>
      <c r="AK344" s="102">
        <v>30</v>
      </c>
      <c r="AL344" s="102">
        <v>50</v>
      </c>
      <c r="AM344" s="105">
        <v>20</v>
      </c>
      <c r="AN344" s="104">
        <v>0</v>
      </c>
      <c r="AO344" s="102">
        <v>0</v>
      </c>
      <c r="AP344" s="102">
        <v>10</v>
      </c>
      <c r="AQ344" s="105">
        <v>51</v>
      </c>
      <c r="AT344" s="110">
        <v>0.0833333333333333</v>
      </c>
      <c r="AU344" s="125"/>
      <c r="AV344" s="112" t="s">
        <v>970</v>
      </c>
    </row>
    <row r="345" spans="1:47">
      <c r="A345" s="100">
        <v>10037612</v>
      </c>
      <c r="B345" s="101">
        <v>110</v>
      </c>
      <c r="C345" s="102">
        <v>3</v>
      </c>
      <c r="D345" s="103" t="s">
        <v>971</v>
      </c>
      <c r="F345" s="103" t="s">
        <v>49</v>
      </c>
      <c r="G345" s="103">
        <v>1</v>
      </c>
      <c r="H345" s="103">
        <v>2</v>
      </c>
      <c r="I345" s="104" t="s">
        <v>330</v>
      </c>
      <c r="J345" s="102" t="s">
        <v>157</v>
      </c>
      <c r="K345" s="102">
        <v>50</v>
      </c>
      <c r="L345" s="103">
        <v>2</v>
      </c>
      <c r="M345" s="104">
        <v>53</v>
      </c>
      <c r="N345" s="102">
        <v>65</v>
      </c>
      <c r="O345" s="102">
        <v>0</v>
      </c>
      <c r="P345" s="102">
        <v>40</v>
      </c>
      <c r="Q345" s="104">
        <f>_xlfn.FLOOR.MATH(0+0*B345)</f>
        <v>0</v>
      </c>
      <c r="R345" s="102">
        <f>_xlfn.FLOOR.MATH(10+0.1*B345)</f>
        <v>21</v>
      </c>
      <c r="S345" s="102">
        <f>_xlfn.FLOOR.MATH(26+0.3*B345)</f>
        <v>59</v>
      </c>
      <c r="T345" s="105">
        <f>_xlfn.FLOOR.MATH(34+0.5*B345)</f>
        <v>89</v>
      </c>
      <c r="U345" s="102">
        <v>10</v>
      </c>
      <c r="V345" s="102">
        <v>23</v>
      </c>
      <c r="W345" s="106" t="s">
        <v>158</v>
      </c>
      <c r="Y345" s="102" t="s">
        <v>127</v>
      </c>
      <c r="Z345" s="102" t="s">
        <v>128</v>
      </c>
      <c r="AA345" s="104">
        <v>0</v>
      </c>
      <c r="AB345" s="105">
        <v>0</v>
      </c>
      <c r="AC345" s="104">
        <v>3</v>
      </c>
      <c r="AD345" s="123" t="s">
        <v>696</v>
      </c>
      <c r="AE345" s="104">
        <v>40</v>
      </c>
      <c r="AF345" s="105">
        <v>70</v>
      </c>
      <c r="AG345" s="104">
        <v>1.28</v>
      </c>
      <c r="AH345" s="102">
        <v>2.5</v>
      </c>
      <c r="AI345" s="105">
        <v>0.775</v>
      </c>
      <c r="AJ345" s="104">
        <v>30</v>
      </c>
      <c r="AK345" s="102">
        <v>40</v>
      </c>
      <c r="AL345" s="102">
        <v>30</v>
      </c>
      <c r="AM345" s="105">
        <v>0</v>
      </c>
      <c r="AN345" s="104">
        <v>28</v>
      </c>
      <c r="AO345" s="102">
        <v>0</v>
      </c>
      <c r="AP345" s="102">
        <v>23</v>
      </c>
      <c r="AQ345" s="105">
        <v>5</v>
      </c>
      <c r="AU345" s="125" t="str">
        <f>HYPERLINK("http://www.jianrmod.cn/data/shipGetInfo.html?type=0&amp;cid=10037612","详细")</f>
        <v>详细</v>
      </c>
    </row>
    <row r="346" ht="39.6" spans="1:48">
      <c r="A346" s="100">
        <v>10037712</v>
      </c>
      <c r="B346" s="101">
        <v>110</v>
      </c>
      <c r="C346" s="102">
        <v>4</v>
      </c>
      <c r="D346" s="103" t="s">
        <v>972</v>
      </c>
      <c r="E346" s="103" t="s">
        <v>973</v>
      </c>
      <c r="F346" s="103" t="s">
        <v>49</v>
      </c>
      <c r="G346" s="103">
        <v>1</v>
      </c>
      <c r="H346" s="103">
        <v>2</v>
      </c>
      <c r="I346" s="104" t="s">
        <v>60</v>
      </c>
      <c r="J346" s="102" t="s">
        <v>974</v>
      </c>
      <c r="K346" s="102">
        <v>24</v>
      </c>
      <c r="L346" s="103">
        <v>0</v>
      </c>
      <c r="M346" s="104">
        <v>35</v>
      </c>
      <c r="N346" s="102">
        <v>29</v>
      </c>
      <c r="O346" s="102">
        <v>95</v>
      </c>
      <c r="P346" s="102">
        <v>48</v>
      </c>
      <c r="Q346" s="104">
        <f>_xlfn.FLOOR.MATH(10+0.15*B346)</f>
        <v>26</v>
      </c>
      <c r="R346" s="102">
        <f>_xlfn.FLOOR.MATH(10+0.1*B346)</f>
        <v>21</v>
      </c>
      <c r="S346" s="102">
        <f>_xlfn.FLOOR.MATH(40+0.35*B346)</f>
        <v>78</v>
      </c>
      <c r="T346" s="105">
        <f>_xlfn.FLOOR.MATH(34+0.52*B346)</f>
        <v>91</v>
      </c>
      <c r="U346" s="102">
        <v>14</v>
      </c>
      <c r="V346" s="102">
        <v>36</v>
      </c>
      <c r="W346" s="106" t="s">
        <v>158</v>
      </c>
      <c r="Y346" s="102" t="s">
        <v>127</v>
      </c>
      <c r="Z346" s="102" t="s">
        <v>128</v>
      </c>
      <c r="AA346" s="104">
        <v>0</v>
      </c>
      <c r="AB346" s="105">
        <v>0</v>
      </c>
      <c r="AC346" s="104">
        <v>3</v>
      </c>
      <c r="AD346" s="123" t="s">
        <v>975</v>
      </c>
      <c r="AE346" s="104">
        <v>25</v>
      </c>
      <c r="AF346" s="105">
        <v>75</v>
      </c>
      <c r="AG346" s="104">
        <v>0.8</v>
      </c>
      <c r="AH346" s="102">
        <v>1.5</v>
      </c>
      <c r="AI346" s="105">
        <v>0.65</v>
      </c>
      <c r="AJ346" s="104">
        <v>40</v>
      </c>
      <c r="AK346" s="102">
        <v>36</v>
      </c>
      <c r="AL346" s="102">
        <v>50</v>
      </c>
      <c r="AM346" s="105">
        <v>0</v>
      </c>
      <c r="AN346" s="104">
        <v>10</v>
      </c>
      <c r="AO346" s="102">
        <v>78</v>
      </c>
      <c r="AP346" s="102">
        <v>5</v>
      </c>
      <c r="AQ346" s="105">
        <v>0</v>
      </c>
      <c r="AR346" s="108" t="s">
        <v>976</v>
      </c>
      <c r="AT346" s="110">
        <v>0.0451388888888889</v>
      </c>
      <c r="AU346" s="125"/>
      <c r="AV346" s="112" t="s">
        <v>977</v>
      </c>
    </row>
    <row r="347" spans="1:47">
      <c r="A347" s="100">
        <v>10037811</v>
      </c>
      <c r="B347" s="101">
        <v>110</v>
      </c>
      <c r="C347" s="102">
        <v>4</v>
      </c>
      <c r="D347" s="103" t="s">
        <v>978</v>
      </c>
      <c r="F347" s="103" t="s">
        <v>49</v>
      </c>
      <c r="G347" s="103">
        <v>1</v>
      </c>
      <c r="H347" s="103">
        <v>2</v>
      </c>
      <c r="I347" s="104" t="s">
        <v>979</v>
      </c>
      <c r="J347" s="102" t="s">
        <v>246</v>
      </c>
      <c r="K347" s="102">
        <v>20</v>
      </c>
      <c r="L347" s="103">
        <v>0</v>
      </c>
      <c r="M347" s="104">
        <v>29</v>
      </c>
      <c r="N347" s="102">
        <v>22</v>
      </c>
      <c r="O347" s="102">
        <v>66</v>
      </c>
      <c r="P347" s="102">
        <v>52</v>
      </c>
      <c r="Q347" s="104">
        <f>_xlfn.FLOOR.MATH(24+0.3*B347)</f>
        <v>57</v>
      </c>
      <c r="R347" s="102">
        <f>_xlfn.FLOOR.MATH(7+0.1*B347)</f>
        <v>18</v>
      </c>
      <c r="S347" s="102">
        <f>_xlfn.FLOOR.MATH(36+0.4*B347)</f>
        <v>80</v>
      </c>
      <c r="T347" s="105">
        <f>_xlfn.FLOOR.MATH(30+0.52*B347)</f>
        <v>87</v>
      </c>
      <c r="U347" s="102">
        <v>16</v>
      </c>
      <c r="V347" s="102">
        <v>31.5</v>
      </c>
      <c r="W347" s="106" t="s">
        <v>115</v>
      </c>
      <c r="Y347" s="102" t="s">
        <v>241</v>
      </c>
      <c r="Z347" s="102" t="s">
        <v>128</v>
      </c>
      <c r="AA347" s="104">
        <v>0</v>
      </c>
      <c r="AB347" s="105">
        <v>0</v>
      </c>
      <c r="AC347" s="104">
        <v>2</v>
      </c>
      <c r="AD347" s="123" t="s">
        <v>980</v>
      </c>
      <c r="AE347" s="104">
        <v>15</v>
      </c>
      <c r="AF347" s="105">
        <v>20</v>
      </c>
      <c r="AG347" s="104">
        <v>0.48</v>
      </c>
      <c r="AH347" s="102">
        <v>0.9</v>
      </c>
      <c r="AI347" s="105">
        <v>0.4</v>
      </c>
      <c r="AJ347" s="104">
        <v>4</v>
      </c>
      <c r="AK347" s="102">
        <v>8</v>
      </c>
      <c r="AL347" s="102">
        <v>6</v>
      </c>
      <c r="AM347" s="105">
        <v>0</v>
      </c>
      <c r="AN347" s="104">
        <v>0</v>
      </c>
      <c r="AO347" s="102">
        <v>16</v>
      </c>
      <c r="AP347" s="102">
        <v>7</v>
      </c>
      <c r="AQ347" s="105">
        <v>0</v>
      </c>
      <c r="AU347" s="125" t="str">
        <f>HYPERLINK("http://www.jianrmod.cn/data/shipGetInfo.html?type=0&amp;cid=10037811","详细")</f>
        <v>详细</v>
      </c>
    </row>
    <row r="348" spans="1:48">
      <c r="A348" s="100">
        <v>10037912</v>
      </c>
      <c r="B348" s="101">
        <v>110</v>
      </c>
      <c r="C348" s="102">
        <v>4</v>
      </c>
      <c r="D348" s="103" t="s">
        <v>981</v>
      </c>
      <c r="F348" s="103" t="s">
        <v>49</v>
      </c>
      <c r="G348" s="103">
        <v>1</v>
      </c>
      <c r="H348" s="103">
        <v>2</v>
      </c>
      <c r="I348" s="104" t="s">
        <v>86</v>
      </c>
      <c r="J348" s="102" t="s">
        <v>184</v>
      </c>
      <c r="K348" s="102">
        <v>36</v>
      </c>
      <c r="L348" s="103">
        <v>0</v>
      </c>
      <c r="M348" s="104">
        <v>61</v>
      </c>
      <c r="N348" s="102">
        <v>55</v>
      </c>
      <c r="O348" s="102">
        <v>0</v>
      </c>
      <c r="P348" s="102">
        <v>105</v>
      </c>
      <c r="Q348" s="104">
        <f>_xlfn.FLOOR.MATH(30+0.4*B348)</f>
        <v>74</v>
      </c>
      <c r="R348" s="102">
        <f>_xlfn.FLOOR.MATH(12+0.1*B348)</f>
        <v>23</v>
      </c>
      <c r="S348" s="102">
        <f>_xlfn.FLOOR.MATH(31+0.35*B348)</f>
        <v>69</v>
      </c>
      <c r="T348" s="105">
        <f>_xlfn.FLOOR.MATH(34+0.52*B348)</f>
        <v>91</v>
      </c>
      <c r="U348" s="102">
        <v>24</v>
      </c>
      <c r="V348" s="102">
        <v>32.5</v>
      </c>
      <c r="W348" s="106" t="s">
        <v>158</v>
      </c>
      <c r="Y348" s="102" t="s">
        <v>127</v>
      </c>
      <c r="Z348" s="102" t="s">
        <v>128</v>
      </c>
      <c r="AA348" s="104" t="s">
        <v>173</v>
      </c>
      <c r="AB348" s="105">
        <v>9</v>
      </c>
      <c r="AC348" s="104">
        <v>3</v>
      </c>
      <c r="AD348" s="123" t="s">
        <v>982</v>
      </c>
      <c r="AE348" s="104">
        <v>25</v>
      </c>
      <c r="AF348" s="105">
        <v>30</v>
      </c>
      <c r="AG348" s="104">
        <v>0.8</v>
      </c>
      <c r="AH348" s="102">
        <v>1.5</v>
      </c>
      <c r="AI348" s="105">
        <v>0.4</v>
      </c>
      <c r="AJ348" s="104">
        <v>10</v>
      </c>
      <c r="AK348" s="102">
        <v>16</v>
      </c>
      <c r="AL348" s="102">
        <v>10</v>
      </c>
      <c r="AM348" s="105">
        <v>0</v>
      </c>
      <c r="AN348" s="104">
        <v>16</v>
      </c>
      <c r="AO348" s="102">
        <v>0</v>
      </c>
      <c r="AP348" s="102">
        <v>15</v>
      </c>
      <c r="AQ348" s="105">
        <v>79</v>
      </c>
      <c r="AV348" s="112" t="s">
        <v>983</v>
      </c>
    </row>
    <row r="349" ht="79.2" spans="1:46">
      <c r="A349" s="100">
        <v>10038013</v>
      </c>
      <c r="B349" s="101">
        <v>110</v>
      </c>
      <c r="C349" s="102">
        <v>6</v>
      </c>
      <c r="D349" s="103" t="s">
        <v>984</v>
      </c>
      <c r="F349" s="103" t="s">
        <v>49</v>
      </c>
      <c r="G349" s="103">
        <v>5</v>
      </c>
      <c r="H349" s="103">
        <v>5</v>
      </c>
      <c r="I349" s="104" t="s">
        <v>50</v>
      </c>
      <c r="J349" s="102" t="s">
        <v>61</v>
      </c>
      <c r="K349" s="102">
        <v>84</v>
      </c>
      <c r="L349" s="103">
        <v>0</v>
      </c>
      <c r="M349" s="104">
        <v>122</v>
      </c>
      <c r="N349" s="102">
        <v>105</v>
      </c>
      <c r="O349" s="102">
        <v>0</v>
      </c>
      <c r="P349" s="102">
        <v>71</v>
      </c>
      <c r="Q349" s="104">
        <f>_xlfn.FLOOR.MATH(0+0*B349)</f>
        <v>0</v>
      </c>
      <c r="R349" s="102">
        <f>_xlfn.FLOOR.MATH(15+0.25*B349)</f>
        <v>42</v>
      </c>
      <c r="S349" s="102">
        <f>_xlfn.FLOOR.MATH(19+0.2*B349)</f>
        <v>41</v>
      </c>
      <c r="T349" s="105">
        <f>_xlfn.FLOOR.MATH(39+0.56*B349)</f>
        <v>100</v>
      </c>
      <c r="U349" s="102">
        <v>8</v>
      </c>
      <c r="V349" s="102">
        <v>23</v>
      </c>
      <c r="W349" s="106" t="s">
        <v>52</v>
      </c>
      <c r="X349" s="106" t="s">
        <v>985</v>
      </c>
      <c r="Y349" s="102" t="s">
        <v>54</v>
      </c>
      <c r="Z349" s="102" t="s">
        <v>55</v>
      </c>
      <c r="AA349" s="104">
        <v>0</v>
      </c>
      <c r="AB349" s="105">
        <v>0</v>
      </c>
      <c r="AC349" s="104">
        <v>4</v>
      </c>
      <c r="AD349" s="123" t="s">
        <v>986</v>
      </c>
      <c r="AE349" s="104">
        <v>125</v>
      </c>
      <c r="AF349" s="105">
        <v>180</v>
      </c>
      <c r="AG349" s="104">
        <v>4.7</v>
      </c>
      <c r="AH349" s="102">
        <v>8.7</v>
      </c>
      <c r="AI349" s="105">
        <v>1</v>
      </c>
      <c r="AJ349" s="104">
        <v>50</v>
      </c>
      <c r="AK349" s="102">
        <v>60</v>
      </c>
      <c r="AL349" s="102">
        <v>60</v>
      </c>
      <c r="AM349" s="105">
        <v>0</v>
      </c>
      <c r="AN349" s="104">
        <v>103</v>
      </c>
      <c r="AO349" s="102">
        <v>0</v>
      </c>
      <c r="AP349" s="102">
        <v>85</v>
      </c>
      <c r="AQ349" s="105">
        <v>26</v>
      </c>
      <c r="AR349" s="108" t="s">
        <v>987</v>
      </c>
      <c r="AT349" s="110">
        <v>0.263888888888889</v>
      </c>
    </row>
    <row r="350" ht="66" spans="1:48">
      <c r="A350" s="100">
        <v>10038113</v>
      </c>
      <c r="B350" s="101">
        <v>110</v>
      </c>
      <c r="C350" s="102">
        <v>5</v>
      </c>
      <c r="D350" s="103" t="s">
        <v>988</v>
      </c>
      <c r="F350" s="103" t="s">
        <v>49</v>
      </c>
      <c r="G350" s="103">
        <v>2</v>
      </c>
      <c r="H350" s="103">
        <v>2</v>
      </c>
      <c r="I350" s="104" t="s">
        <v>86</v>
      </c>
      <c r="J350" s="102" t="s">
        <v>61</v>
      </c>
      <c r="K350" s="102">
        <v>75</v>
      </c>
      <c r="L350" s="103">
        <v>1</v>
      </c>
      <c r="M350" s="104">
        <v>108</v>
      </c>
      <c r="N350" s="102">
        <v>100</v>
      </c>
      <c r="O350" s="102">
        <v>0</v>
      </c>
      <c r="P350" s="102">
        <v>98</v>
      </c>
      <c r="Q350" s="104">
        <f>_xlfn.FLOOR.MATH(0+0*B350)</f>
        <v>0</v>
      </c>
      <c r="R350" s="102">
        <f>_xlfn.FLOOR.MATH(17+0.25*B350)</f>
        <v>44</v>
      </c>
      <c r="S350" s="102">
        <f>_xlfn.FLOOR.MATH(24+0.2*B350)</f>
        <v>46</v>
      </c>
      <c r="T350" s="105">
        <f>_xlfn.FLOOR.MATH(40+0.51*B350)</f>
        <v>96</v>
      </c>
      <c r="U350" s="102">
        <v>19</v>
      </c>
      <c r="V350" s="102">
        <v>27.5</v>
      </c>
      <c r="W350" s="106" t="s">
        <v>52</v>
      </c>
      <c r="Y350" s="102" t="s">
        <v>54</v>
      </c>
      <c r="Z350" s="102" t="s">
        <v>55</v>
      </c>
      <c r="AA350" s="104" t="s">
        <v>56</v>
      </c>
      <c r="AB350" s="105">
        <v>12</v>
      </c>
      <c r="AC350" s="104">
        <v>4</v>
      </c>
      <c r="AD350" s="123" t="s">
        <v>366</v>
      </c>
      <c r="AE350" s="104">
        <v>95</v>
      </c>
      <c r="AF350" s="105">
        <v>140</v>
      </c>
      <c r="AG350" s="104">
        <v>4.2</v>
      </c>
      <c r="AH350" s="102">
        <v>8</v>
      </c>
      <c r="AI350" s="105">
        <v>0.8</v>
      </c>
      <c r="AJ350" s="104">
        <v>50</v>
      </c>
      <c r="AK350" s="102">
        <v>60</v>
      </c>
      <c r="AL350" s="102">
        <v>60</v>
      </c>
      <c r="AM350" s="105">
        <v>0</v>
      </c>
      <c r="AN350" s="104">
        <v>88</v>
      </c>
      <c r="AO350" s="102">
        <v>0</v>
      </c>
      <c r="AP350" s="102">
        <v>80</v>
      </c>
      <c r="AQ350" s="105">
        <v>73</v>
      </c>
      <c r="AR350" s="108" t="s">
        <v>989</v>
      </c>
      <c r="AT350" s="110">
        <v>0.229166666666667</v>
      </c>
      <c r="AU350" s="125"/>
      <c r="AV350" s="112" t="s">
        <v>990</v>
      </c>
    </row>
    <row r="351" spans="1:47">
      <c r="A351" s="100">
        <v>10038212</v>
      </c>
      <c r="B351" s="101">
        <v>110</v>
      </c>
      <c r="C351" s="102">
        <v>3</v>
      </c>
      <c r="D351" s="103" t="s">
        <v>991</v>
      </c>
      <c r="F351" s="103" t="s">
        <v>49</v>
      </c>
      <c r="G351" s="103">
        <v>2</v>
      </c>
      <c r="H351" s="103">
        <v>2</v>
      </c>
      <c r="I351" s="104" t="s">
        <v>50</v>
      </c>
      <c r="J351" s="102" t="s">
        <v>157</v>
      </c>
      <c r="K351" s="102">
        <v>49</v>
      </c>
      <c r="L351" s="103">
        <v>-1</v>
      </c>
      <c r="M351" s="104">
        <v>55</v>
      </c>
      <c r="N351" s="102">
        <v>45</v>
      </c>
      <c r="O351" s="102">
        <v>45</v>
      </c>
      <c r="P351" s="102">
        <v>69</v>
      </c>
      <c r="Q351" s="104">
        <f>_xlfn.FLOOR.MATH(0+0*B351)</f>
        <v>0</v>
      </c>
      <c r="R351" s="102">
        <f>_xlfn.FLOOR.MATH(14+0.35*B351)</f>
        <v>52</v>
      </c>
      <c r="S351" s="102">
        <f>_xlfn.FLOOR.MATH(30+0.4*B351)</f>
        <v>74</v>
      </c>
      <c r="T351" s="105">
        <f>_xlfn.FLOOR.MATH(35+0.51*B351)</f>
        <v>91</v>
      </c>
      <c r="U351" s="102">
        <v>24</v>
      </c>
      <c r="V351" s="102">
        <v>32.5</v>
      </c>
      <c r="W351" s="106" t="s">
        <v>158</v>
      </c>
      <c r="Y351" s="102" t="s">
        <v>127</v>
      </c>
      <c r="Z351" s="102" t="s">
        <v>128</v>
      </c>
      <c r="AA351" s="104" t="s">
        <v>160</v>
      </c>
      <c r="AB351" s="105">
        <v>6</v>
      </c>
      <c r="AC351" s="104">
        <v>3</v>
      </c>
      <c r="AD351" s="123" t="s">
        <v>440</v>
      </c>
      <c r="AE351" s="104">
        <v>35</v>
      </c>
      <c r="AF351" s="105">
        <v>70</v>
      </c>
      <c r="AG351" s="104">
        <v>1.28</v>
      </c>
      <c r="AH351" s="102">
        <v>2.4</v>
      </c>
      <c r="AI351" s="105">
        <v>0.75</v>
      </c>
      <c r="AJ351" s="104">
        <v>30</v>
      </c>
      <c r="AK351" s="102">
        <v>40</v>
      </c>
      <c r="AL351" s="102">
        <v>30</v>
      </c>
      <c r="AM351" s="105">
        <v>0</v>
      </c>
      <c r="AN351" s="104">
        <v>39</v>
      </c>
      <c r="AO351" s="102">
        <v>5</v>
      </c>
      <c r="AP351" s="102">
        <v>15</v>
      </c>
      <c r="AQ351" s="105">
        <v>23</v>
      </c>
      <c r="AU351" s="125" t="str">
        <f>HYPERLINK("http://www.jianrmod.cn/data/shipGetInfo.html?type=0&amp;cid=10038212","详细")</f>
        <v>详细</v>
      </c>
    </row>
    <row r="352" spans="1:43">
      <c r="A352" s="100">
        <v>10038312</v>
      </c>
      <c r="B352" s="101">
        <v>110</v>
      </c>
      <c r="C352" s="102">
        <v>4</v>
      </c>
      <c r="D352" s="103" t="s">
        <v>992</v>
      </c>
      <c r="F352" s="103" t="s">
        <v>49</v>
      </c>
      <c r="G352" s="103">
        <v>1</v>
      </c>
      <c r="H352" s="103">
        <v>2</v>
      </c>
      <c r="I352" s="104" t="s">
        <v>91</v>
      </c>
      <c r="J352" s="102" t="s">
        <v>184</v>
      </c>
      <c r="K352" s="102">
        <v>32</v>
      </c>
      <c r="L352" s="103">
        <v>0</v>
      </c>
      <c r="M352" s="104">
        <v>45</v>
      </c>
      <c r="N352" s="102">
        <v>46</v>
      </c>
      <c r="O352" s="102">
        <v>43</v>
      </c>
      <c r="P352" s="102">
        <v>59</v>
      </c>
      <c r="Q352" s="104">
        <f>_xlfn.FLOOR.MATH(27+0.3*B352)</f>
        <v>60</v>
      </c>
      <c r="R352" s="102">
        <f>_xlfn.FLOOR.MATH(12+0.16*B352)</f>
        <v>29</v>
      </c>
      <c r="S352" s="102">
        <f>_xlfn.FLOOR.MATH(38+0.3*B352)</f>
        <v>71</v>
      </c>
      <c r="T352" s="105">
        <f>_xlfn.FLOOR.MATH(33+0.52*B352)</f>
        <v>90</v>
      </c>
      <c r="U352" s="102">
        <v>20</v>
      </c>
      <c r="V352" s="102">
        <v>36.5</v>
      </c>
      <c r="W352" s="106" t="s">
        <v>158</v>
      </c>
      <c r="Y352" s="102" t="s">
        <v>127</v>
      </c>
      <c r="Z352" s="102" t="s">
        <v>128</v>
      </c>
      <c r="AA352" s="104" t="s">
        <v>160</v>
      </c>
      <c r="AB352" s="105">
        <v>6</v>
      </c>
      <c r="AC352" s="104">
        <v>3</v>
      </c>
      <c r="AD352" s="123" t="s">
        <v>916</v>
      </c>
      <c r="AE352" s="104">
        <v>25</v>
      </c>
      <c r="AF352" s="105">
        <v>35</v>
      </c>
      <c r="AG352" s="104">
        <v>1</v>
      </c>
      <c r="AH352" s="102">
        <v>1.9</v>
      </c>
      <c r="AI352" s="105">
        <v>0.675</v>
      </c>
      <c r="AJ352" s="104">
        <v>10</v>
      </c>
      <c r="AK352" s="102">
        <v>16</v>
      </c>
      <c r="AL352" s="102">
        <v>10</v>
      </c>
      <c r="AM352" s="105">
        <v>0</v>
      </c>
      <c r="AN352" s="104">
        <v>10</v>
      </c>
      <c r="AO352" s="102">
        <v>8</v>
      </c>
      <c r="AP352" s="102">
        <v>13</v>
      </c>
      <c r="AQ352" s="105">
        <v>15</v>
      </c>
    </row>
    <row r="353" spans="1:47">
      <c r="A353" s="100">
        <v>10038411</v>
      </c>
      <c r="B353" s="101">
        <v>110</v>
      </c>
      <c r="C353" s="102">
        <v>4</v>
      </c>
      <c r="D353" s="103" t="s">
        <v>993</v>
      </c>
      <c r="F353" s="103" t="s">
        <v>49</v>
      </c>
      <c r="G353" s="103">
        <v>1</v>
      </c>
      <c r="H353" s="103">
        <v>2</v>
      </c>
      <c r="I353" s="104" t="s">
        <v>91</v>
      </c>
      <c r="J353" s="102" t="s">
        <v>239</v>
      </c>
      <c r="K353" s="102">
        <v>24</v>
      </c>
      <c r="L353" s="103">
        <v>0</v>
      </c>
      <c r="M353" s="104">
        <v>54</v>
      </c>
      <c r="N353" s="102">
        <v>75</v>
      </c>
      <c r="O353" s="102">
        <v>0</v>
      </c>
      <c r="P353" s="102">
        <v>42</v>
      </c>
      <c r="Q353" s="104">
        <f>_xlfn.FLOOR.MATH(0+0*B353)</f>
        <v>0</v>
      </c>
      <c r="R353" s="102">
        <f>_xlfn.FLOOR.MATH(5+0.1*B353)</f>
        <v>16</v>
      </c>
      <c r="S353" s="102">
        <f>_xlfn.FLOOR.MATH(9+0.3*B353)</f>
        <v>42</v>
      </c>
      <c r="T353" s="105">
        <f>_xlfn.FLOOR.MATH(32+0.5*B353)</f>
        <v>87</v>
      </c>
      <c r="U353" s="102">
        <v>16</v>
      </c>
      <c r="V353" s="102">
        <v>3.3</v>
      </c>
      <c r="W353" s="106" t="s">
        <v>52</v>
      </c>
      <c r="Y353" s="102" t="s">
        <v>241</v>
      </c>
      <c r="Z353" s="102" t="s">
        <v>128</v>
      </c>
      <c r="AA353" s="104">
        <v>0</v>
      </c>
      <c r="AB353" s="105">
        <v>0</v>
      </c>
      <c r="AC353" s="104">
        <v>2</v>
      </c>
      <c r="AD353" s="123" t="s">
        <v>994</v>
      </c>
      <c r="AE353" s="104">
        <v>10</v>
      </c>
      <c r="AF353" s="105">
        <v>35</v>
      </c>
      <c r="AG353" s="104">
        <v>0.9</v>
      </c>
      <c r="AH353" s="102">
        <v>1</v>
      </c>
      <c r="AI353" s="105">
        <v>0.45</v>
      </c>
      <c r="AJ353" s="104">
        <v>20</v>
      </c>
      <c r="AK353" s="102">
        <v>20</v>
      </c>
      <c r="AL353" s="102">
        <v>30</v>
      </c>
      <c r="AM353" s="105">
        <v>0</v>
      </c>
      <c r="AN353" s="104">
        <v>24</v>
      </c>
      <c r="AO353" s="102">
        <v>0</v>
      </c>
      <c r="AP353" s="102">
        <v>50</v>
      </c>
      <c r="AQ353" s="105">
        <v>0</v>
      </c>
      <c r="AU353" s="125"/>
    </row>
    <row r="354" spans="1:48">
      <c r="A354" s="100">
        <v>10038511</v>
      </c>
      <c r="B354" s="101">
        <v>110</v>
      </c>
      <c r="C354" s="102">
        <v>4</v>
      </c>
      <c r="D354" s="103" t="s">
        <v>995</v>
      </c>
      <c r="F354" s="103" t="s">
        <v>49</v>
      </c>
      <c r="G354" s="103">
        <v>1</v>
      </c>
      <c r="H354" s="103">
        <v>2</v>
      </c>
      <c r="I354" s="104" t="s">
        <v>73</v>
      </c>
      <c r="J354" s="102" t="s">
        <v>246</v>
      </c>
      <c r="K354" s="102">
        <v>20</v>
      </c>
      <c r="L354" s="103">
        <v>0</v>
      </c>
      <c r="M354" s="104">
        <v>32</v>
      </c>
      <c r="N354" s="102">
        <v>25</v>
      </c>
      <c r="O354" s="102">
        <v>68</v>
      </c>
      <c r="P354" s="102">
        <v>42</v>
      </c>
      <c r="Q354" s="104">
        <f>_xlfn.FLOOR.MATH(20+0.3*B354)</f>
        <v>53</v>
      </c>
      <c r="R354" s="102">
        <f>_xlfn.FLOOR.MATH(6+0.1*B354)</f>
        <v>17</v>
      </c>
      <c r="S354" s="102">
        <f>_xlfn.FLOOR.MATH(39+0.4*B354)</f>
        <v>83</v>
      </c>
      <c r="T354" s="105">
        <f>_xlfn.FLOOR.MATH(30+0.52*B354)</f>
        <v>87</v>
      </c>
      <c r="U354" s="102">
        <v>10</v>
      </c>
      <c r="V354" s="102">
        <v>36.9</v>
      </c>
      <c r="W354" s="106" t="s">
        <v>115</v>
      </c>
      <c r="Y354" s="102" t="s">
        <v>241</v>
      </c>
      <c r="Z354" s="102" t="s">
        <v>128</v>
      </c>
      <c r="AA354" s="104">
        <v>0</v>
      </c>
      <c r="AB354" s="105">
        <v>0</v>
      </c>
      <c r="AC354" s="104">
        <v>2</v>
      </c>
      <c r="AD354" s="123" t="s">
        <v>287</v>
      </c>
      <c r="AE354" s="104">
        <v>10</v>
      </c>
      <c r="AF354" s="105">
        <v>20</v>
      </c>
      <c r="AG354" s="104">
        <v>0.48</v>
      </c>
      <c r="AH354" s="102">
        <v>0.99</v>
      </c>
      <c r="AI354" s="105">
        <v>0.5</v>
      </c>
      <c r="AJ354" s="104">
        <v>4</v>
      </c>
      <c r="AK354" s="102">
        <v>8</v>
      </c>
      <c r="AL354" s="102">
        <v>6</v>
      </c>
      <c r="AM354" s="105">
        <v>0</v>
      </c>
      <c r="AN354" s="104">
        <v>0</v>
      </c>
      <c r="AO354" s="102">
        <v>18</v>
      </c>
      <c r="AP354" s="102">
        <v>12</v>
      </c>
      <c r="AQ354" s="105">
        <v>0</v>
      </c>
      <c r="AV354" s="112" t="s">
        <v>996</v>
      </c>
    </row>
    <row r="355" spans="1:48">
      <c r="A355" s="100">
        <v>10038611</v>
      </c>
      <c r="B355" s="101">
        <v>110</v>
      </c>
      <c r="C355" s="102">
        <v>5</v>
      </c>
      <c r="D355" s="103" t="s">
        <v>997</v>
      </c>
      <c r="F355" s="103" t="s">
        <v>49</v>
      </c>
      <c r="G355" s="103">
        <v>6</v>
      </c>
      <c r="H355" s="103">
        <v>5</v>
      </c>
      <c r="I355" s="104" t="s">
        <v>73</v>
      </c>
      <c r="J355" s="102" t="s">
        <v>560</v>
      </c>
      <c r="K355" s="102">
        <v>8</v>
      </c>
      <c r="L355" s="103">
        <v>0</v>
      </c>
      <c r="M355" s="104">
        <v>23</v>
      </c>
      <c r="N355" s="102">
        <v>20</v>
      </c>
      <c r="O355" s="102">
        <v>65</v>
      </c>
      <c r="P355" s="102">
        <v>0</v>
      </c>
      <c r="Q355" s="104">
        <f>_xlfn.FLOOR.MATH(0+0*B355)</f>
        <v>0</v>
      </c>
      <c r="R355" s="102">
        <f>_xlfn.FLOOR.MATH(10+0.15*B355)</f>
        <v>26</v>
      </c>
      <c r="S355" s="102">
        <f>_xlfn.FLOOR.MATH(26+0.3*B355)</f>
        <v>59</v>
      </c>
      <c r="T355" s="105">
        <f>_xlfn.FLOOR.MATH(31+0.59*B355)</f>
        <v>95</v>
      </c>
      <c r="U355" s="102">
        <v>19</v>
      </c>
      <c r="V355" s="102">
        <v>17.2</v>
      </c>
      <c r="W355" s="106" t="s">
        <v>115</v>
      </c>
      <c r="Y355" s="102" t="s">
        <v>241</v>
      </c>
      <c r="Z355" s="102" t="s">
        <v>128</v>
      </c>
      <c r="AA355" s="104">
        <v>0</v>
      </c>
      <c r="AB355" s="105">
        <v>0</v>
      </c>
      <c r="AC355" s="104">
        <v>2</v>
      </c>
      <c r="AD355" s="123"/>
      <c r="AE355" s="104">
        <v>10</v>
      </c>
      <c r="AF355" s="105">
        <v>15</v>
      </c>
      <c r="AG355" s="104">
        <v>0.6</v>
      </c>
      <c r="AH355" s="102">
        <v>0.5</v>
      </c>
      <c r="AI355" s="105">
        <v>0.2</v>
      </c>
      <c r="AJ355" s="104">
        <v>10</v>
      </c>
      <c r="AK355" s="102">
        <v>10</v>
      </c>
      <c r="AL355" s="102">
        <v>20</v>
      </c>
      <c r="AM355" s="105">
        <v>0</v>
      </c>
      <c r="AN355" s="104">
        <v>0</v>
      </c>
      <c r="AO355" s="102">
        <v>15</v>
      </c>
      <c r="AP355" s="102">
        <v>7</v>
      </c>
      <c r="AQ355" s="105">
        <v>0</v>
      </c>
      <c r="AV355" s="112" t="s">
        <v>998</v>
      </c>
    </row>
    <row r="356" ht="26.4" spans="1:48">
      <c r="A356" s="100">
        <v>10038712</v>
      </c>
      <c r="B356" s="101">
        <v>110</v>
      </c>
      <c r="C356" s="102">
        <v>5</v>
      </c>
      <c r="D356" s="103" t="s">
        <v>999</v>
      </c>
      <c r="F356" s="103" t="s">
        <v>49</v>
      </c>
      <c r="G356" s="103">
        <v>0</v>
      </c>
      <c r="H356" s="103">
        <v>2</v>
      </c>
      <c r="I356" s="104" t="s">
        <v>233</v>
      </c>
      <c r="J356" s="102" t="s">
        <v>184</v>
      </c>
      <c r="K356" s="102">
        <v>26</v>
      </c>
      <c r="L356" s="103">
        <v>2</v>
      </c>
      <c r="M356" s="104">
        <v>43</v>
      </c>
      <c r="N356" s="102">
        <v>37</v>
      </c>
      <c r="O356" s="102">
        <v>52</v>
      </c>
      <c r="P356" s="102">
        <v>40</v>
      </c>
      <c r="Q356" s="104">
        <f>_xlfn.FLOOR.MATH(20+0.4*B356)</f>
        <v>64</v>
      </c>
      <c r="R356" s="102">
        <f>_xlfn.FLOOR.MATH(8+0.1*B356)</f>
        <v>19</v>
      </c>
      <c r="S356" s="102">
        <f>_xlfn.FLOOR.MATH(17+0.4*B356)</f>
        <v>61</v>
      </c>
      <c r="T356" s="105">
        <f>_xlfn.FLOOR.MATH(33+0.52*B356)</f>
        <v>90</v>
      </c>
      <c r="U356" s="102">
        <v>18</v>
      </c>
      <c r="V356" s="102">
        <v>24</v>
      </c>
      <c r="W356" s="106" t="s">
        <v>158</v>
      </c>
      <c r="Y356" s="102" t="s">
        <v>127</v>
      </c>
      <c r="Z356" s="102" t="s">
        <v>128</v>
      </c>
      <c r="AA356" s="104">
        <v>0</v>
      </c>
      <c r="AB356" s="105">
        <v>0</v>
      </c>
      <c r="AC356" s="104">
        <v>3</v>
      </c>
      <c r="AD356" s="123" t="s">
        <v>1000</v>
      </c>
      <c r="AE356" s="104">
        <v>20</v>
      </c>
      <c r="AF356" s="105">
        <v>20</v>
      </c>
      <c r="AG356" s="104">
        <v>0.64</v>
      </c>
      <c r="AH356" s="102">
        <v>1.2</v>
      </c>
      <c r="AI356" s="105">
        <v>0.5</v>
      </c>
      <c r="AJ356" s="104">
        <v>10</v>
      </c>
      <c r="AK356" s="102">
        <v>16</v>
      </c>
      <c r="AL356" s="102">
        <v>10</v>
      </c>
      <c r="AM356" s="105">
        <v>0</v>
      </c>
      <c r="AN356" s="104">
        <v>9</v>
      </c>
      <c r="AO356" s="102">
        <v>12</v>
      </c>
      <c r="AP356" s="102">
        <v>9</v>
      </c>
      <c r="AQ356" s="105">
        <v>5</v>
      </c>
      <c r="AV356" s="112" t="s">
        <v>1001</v>
      </c>
    </row>
    <row r="357" ht="66" spans="1:48">
      <c r="A357" s="100">
        <v>10038812</v>
      </c>
      <c r="B357" s="101">
        <v>110</v>
      </c>
      <c r="C357" s="102">
        <v>6</v>
      </c>
      <c r="D357" s="103" t="s">
        <v>1002</v>
      </c>
      <c r="F357" s="103" t="s">
        <v>49</v>
      </c>
      <c r="G357" s="103">
        <v>3</v>
      </c>
      <c r="H357" s="103">
        <v>3</v>
      </c>
      <c r="I357" s="104" t="s">
        <v>86</v>
      </c>
      <c r="J357" s="102" t="s">
        <v>157</v>
      </c>
      <c r="K357" s="102">
        <v>52</v>
      </c>
      <c r="L357" s="103">
        <v>0</v>
      </c>
      <c r="M357" s="104">
        <v>83</v>
      </c>
      <c r="N357" s="102">
        <v>58</v>
      </c>
      <c r="O357" s="102">
        <v>0</v>
      </c>
      <c r="P357" s="102">
        <v>108</v>
      </c>
      <c r="Q357" s="104">
        <f>_xlfn.FLOOR.MATH(0+0*B357)</f>
        <v>0</v>
      </c>
      <c r="R357" s="102">
        <f>_xlfn.FLOOR.MATH(18+0.35*B357)</f>
        <v>56</v>
      </c>
      <c r="S357" s="102">
        <f>_xlfn.FLOOR.MATH(31+0.4*B357)</f>
        <v>75</v>
      </c>
      <c r="T357" s="105">
        <f>_xlfn.FLOOR.MATH(38+0.51*B357)</f>
        <v>94</v>
      </c>
      <c r="U357" s="102">
        <v>15</v>
      </c>
      <c r="V357" s="102">
        <v>33</v>
      </c>
      <c r="W357" s="106" t="s">
        <v>158</v>
      </c>
      <c r="Y357" s="102" t="s">
        <v>127</v>
      </c>
      <c r="Z357" s="102" t="s">
        <v>128</v>
      </c>
      <c r="AA357" s="104" t="s">
        <v>173</v>
      </c>
      <c r="AB357" s="105">
        <v>9</v>
      </c>
      <c r="AC357" s="104">
        <v>3</v>
      </c>
      <c r="AD357" s="123" t="s">
        <v>692</v>
      </c>
      <c r="AE357" s="104">
        <v>40</v>
      </c>
      <c r="AF357" s="105">
        <v>70</v>
      </c>
      <c r="AG357" s="104">
        <v>1.28</v>
      </c>
      <c r="AH357" s="102">
        <v>2.4</v>
      </c>
      <c r="AI357" s="105">
        <v>0.625</v>
      </c>
      <c r="AJ357" s="104">
        <v>30</v>
      </c>
      <c r="AK357" s="102">
        <v>40</v>
      </c>
      <c r="AL357" s="102">
        <v>30</v>
      </c>
      <c r="AM357" s="105">
        <v>0</v>
      </c>
      <c r="AN357" s="104">
        <v>53</v>
      </c>
      <c r="AO357" s="102">
        <v>0</v>
      </c>
      <c r="AP357" s="102">
        <v>19</v>
      </c>
      <c r="AQ357" s="105">
        <v>88</v>
      </c>
      <c r="AR357" s="108" t="s">
        <v>1003</v>
      </c>
      <c r="AT357" s="110">
        <v>0.0833333333333333</v>
      </c>
      <c r="AU357" s="125"/>
      <c r="AV357" s="112" t="s">
        <v>1004</v>
      </c>
    </row>
    <row r="358" spans="1:47">
      <c r="A358" s="100">
        <v>10038912</v>
      </c>
      <c r="B358" s="101">
        <v>110</v>
      </c>
      <c r="C358" s="102">
        <v>4</v>
      </c>
      <c r="D358" s="103" t="s">
        <v>1005</v>
      </c>
      <c r="F358" s="103" t="s">
        <v>49</v>
      </c>
      <c r="G358" s="103">
        <v>2</v>
      </c>
      <c r="H358" s="103">
        <v>2</v>
      </c>
      <c r="I358" s="104" t="s">
        <v>326</v>
      </c>
      <c r="J358" s="102" t="s">
        <v>157</v>
      </c>
      <c r="K358" s="102">
        <v>52</v>
      </c>
      <c r="L358" s="103">
        <v>0</v>
      </c>
      <c r="M358" s="104">
        <v>71</v>
      </c>
      <c r="N358" s="102">
        <v>67</v>
      </c>
      <c r="O358" s="102">
        <v>0</v>
      </c>
      <c r="P358" s="102">
        <v>40</v>
      </c>
      <c r="Q358" s="104">
        <f>_xlfn.FLOOR.MATH(0+0*B358)</f>
        <v>0</v>
      </c>
      <c r="R358" s="102">
        <f>_xlfn.FLOOR.MATH(10+0.1*B358)</f>
        <v>21</v>
      </c>
      <c r="S358" s="102">
        <f>_xlfn.FLOOR.MATH(25+0.3*B358)</f>
        <v>58</v>
      </c>
      <c r="T358" s="105">
        <f>_xlfn.FLOOR.MATH(34+0.5*B358)</f>
        <v>89</v>
      </c>
      <c r="U358" s="102">
        <v>10</v>
      </c>
      <c r="V358" s="102">
        <v>21</v>
      </c>
      <c r="W358" s="106" t="s">
        <v>52</v>
      </c>
      <c r="Y358" s="102" t="s">
        <v>127</v>
      </c>
      <c r="Z358" s="102" t="s">
        <v>128</v>
      </c>
      <c r="AA358" s="104">
        <v>0</v>
      </c>
      <c r="AB358" s="105">
        <v>0</v>
      </c>
      <c r="AC358" s="104">
        <v>3</v>
      </c>
      <c r="AD358" s="123" t="s">
        <v>1006</v>
      </c>
      <c r="AE358" s="104">
        <v>45</v>
      </c>
      <c r="AF358" s="105">
        <v>70</v>
      </c>
      <c r="AG358" s="104">
        <v>1.3</v>
      </c>
      <c r="AH358" s="102">
        <v>2.6</v>
      </c>
      <c r="AI358" s="105">
        <v>0.75</v>
      </c>
      <c r="AJ358" s="104">
        <v>30</v>
      </c>
      <c r="AK358" s="102">
        <v>40</v>
      </c>
      <c r="AL358" s="102">
        <v>30</v>
      </c>
      <c r="AM358" s="105">
        <v>0</v>
      </c>
      <c r="AN358" s="104">
        <v>46</v>
      </c>
      <c r="AO358" s="102">
        <v>0</v>
      </c>
      <c r="AP358" s="102">
        <v>24</v>
      </c>
      <c r="AQ358" s="105">
        <v>5</v>
      </c>
      <c r="AU358" s="125" t="str">
        <f>HYPERLINK("http://www.jianrmod.cn/data/shipGetInfo.html?type=0&amp;cid=10038912","详细")</f>
        <v>详细</v>
      </c>
    </row>
    <row r="359" spans="1:47">
      <c r="A359" s="100">
        <v>10039012</v>
      </c>
      <c r="B359" s="101">
        <v>110</v>
      </c>
      <c r="C359" s="102">
        <v>4</v>
      </c>
      <c r="D359" s="103" t="s">
        <v>1007</v>
      </c>
      <c r="F359" s="103" t="s">
        <v>49</v>
      </c>
      <c r="G359" s="103">
        <v>1</v>
      </c>
      <c r="H359" s="103">
        <v>2</v>
      </c>
      <c r="I359" s="104" t="s">
        <v>326</v>
      </c>
      <c r="J359" s="102" t="s">
        <v>184</v>
      </c>
      <c r="K359" s="102">
        <v>36</v>
      </c>
      <c r="L359" s="103">
        <v>0</v>
      </c>
      <c r="M359" s="104">
        <v>61</v>
      </c>
      <c r="N359" s="102">
        <v>48</v>
      </c>
      <c r="O359" s="102">
        <v>56</v>
      </c>
      <c r="P359" s="102">
        <v>83</v>
      </c>
      <c r="Q359" s="104">
        <f>_xlfn.FLOOR.MATH(30+0.4*B359)</f>
        <v>74</v>
      </c>
      <c r="R359" s="102">
        <f>_xlfn.FLOOR.MATH(20+0.15*B359)</f>
        <v>36</v>
      </c>
      <c r="S359" s="102">
        <f>_xlfn.FLOOR.MATH(33+0.3*B359)</f>
        <v>66</v>
      </c>
      <c r="T359" s="105">
        <f>_xlfn.FLOOR.MATH(36+0.51*B359)</f>
        <v>92</v>
      </c>
      <c r="U359" s="102">
        <v>26</v>
      </c>
      <c r="V359" s="102">
        <v>33</v>
      </c>
      <c r="W359" s="106" t="s">
        <v>158</v>
      </c>
      <c r="Y359" s="102" t="s">
        <v>127</v>
      </c>
      <c r="Z359" s="102" t="s">
        <v>128</v>
      </c>
      <c r="AA359" s="104">
        <v>0</v>
      </c>
      <c r="AB359" s="105">
        <v>0</v>
      </c>
      <c r="AC359" s="104">
        <v>3</v>
      </c>
      <c r="AD359" s="123" t="s">
        <v>914</v>
      </c>
      <c r="AE359" s="104">
        <v>25</v>
      </c>
      <c r="AF359" s="105">
        <v>35</v>
      </c>
      <c r="AG359" s="104">
        <v>0.8</v>
      </c>
      <c r="AH359" s="102">
        <v>1.5</v>
      </c>
      <c r="AI359" s="105">
        <v>0.5</v>
      </c>
      <c r="AJ359" s="104">
        <v>10</v>
      </c>
      <c r="AK359" s="102">
        <v>16</v>
      </c>
      <c r="AL359" s="102">
        <v>10</v>
      </c>
      <c r="AM359" s="105">
        <v>0</v>
      </c>
      <c r="AN359" s="104">
        <v>16</v>
      </c>
      <c r="AO359" s="102">
        <v>16</v>
      </c>
      <c r="AP359" s="102">
        <v>14</v>
      </c>
      <c r="AQ359" s="105">
        <v>44</v>
      </c>
      <c r="AT359" s="110">
        <v>0.0583333333333333</v>
      </c>
      <c r="AU359" s="125"/>
    </row>
    <row r="360" spans="1:46">
      <c r="A360" s="100">
        <v>10039111</v>
      </c>
      <c r="B360" s="101">
        <v>110</v>
      </c>
      <c r="C360" s="102">
        <v>5</v>
      </c>
      <c r="D360" s="103" t="s">
        <v>1008</v>
      </c>
      <c r="F360" s="103" t="s">
        <v>49</v>
      </c>
      <c r="G360" s="103">
        <v>1</v>
      </c>
      <c r="H360" s="103">
        <v>2</v>
      </c>
      <c r="I360" s="104" t="s">
        <v>86</v>
      </c>
      <c r="J360" s="102" t="s">
        <v>1009</v>
      </c>
      <c r="K360" s="102">
        <v>24</v>
      </c>
      <c r="L360" s="103">
        <v>0</v>
      </c>
      <c r="M360" s="104">
        <v>35</v>
      </c>
      <c r="N360" s="102">
        <v>25</v>
      </c>
      <c r="O360" s="102">
        <v>1</v>
      </c>
      <c r="P360" s="102">
        <v>87</v>
      </c>
      <c r="Q360" s="104">
        <f>_xlfn.FLOOR.MATH(0+0*B360)</f>
        <v>0</v>
      </c>
      <c r="R360" s="102">
        <f>_xlfn.FLOOR.MATH(23+0.15*B360)</f>
        <v>39</v>
      </c>
      <c r="S360" s="102">
        <f>_xlfn.FLOOR.MATH(33+0.35*B360)</f>
        <v>71</v>
      </c>
      <c r="T360" s="105">
        <f>_xlfn.FLOOR.MATH(40+0.54*B360)</f>
        <v>99</v>
      </c>
      <c r="U360" s="102">
        <v>18</v>
      </c>
      <c r="V360" s="102">
        <v>33</v>
      </c>
      <c r="W360" s="106" t="s">
        <v>115</v>
      </c>
      <c r="Y360" s="102" t="s">
        <v>241</v>
      </c>
      <c r="Z360" s="102" t="s">
        <v>128</v>
      </c>
      <c r="AA360" s="104">
        <v>0</v>
      </c>
      <c r="AB360" s="105">
        <v>0</v>
      </c>
      <c r="AC360" s="104">
        <v>2</v>
      </c>
      <c r="AD360" s="123" t="s">
        <v>1010</v>
      </c>
      <c r="AE360" s="104">
        <v>15</v>
      </c>
      <c r="AF360" s="105">
        <v>35</v>
      </c>
      <c r="AG360" s="104">
        <v>0.5</v>
      </c>
      <c r="AH360" s="102">
        <v>1</v>
      </c>
      <c r="AI360" s="105">
        <v>0.5</v>
      </c>
      <c r="AJ360" s="104">
        <v>8</v>
      </c>
      <c r="AK360" s="102">
        <v>12</v>
      </c>
      <c r="AL360" s="102">
        <v>10</v>
      </c>
      <c r="AM360" s="105">
        <v>16</v>
      </c>
      <c r="AN360" s="104">
        <v>15</v>
      </c>
      <c r="AO360" s="102">
        <v>1</v>
      </c>
      <c r="AP360" s="102">
        <v>10</v>
      </c>
      <c r="AQ360" s="105">
        <v>84</v>
      </c>
      <c r="AT360" s="110">
        <v>0.0354166666666667</v>
      </c>
    </row>
    <row r="361" spans="1:48">
      <c r="A361" s="100">
        <v>10039211</v>
      </c>
      <c r="B361" s="101">
        <v>110</v>
      </c>
      <c r="C361" s="102">
        <v>3</v>
      </c>
      <c r="D361" s="103" t="s">
        <v>1011</v>
      </c>
      <c r="E361" s="103" t="s">
        <v>1012</v>
      </c>
      <c r="F361" s="103" t="s">
        <v>49</v>
      </c>
      <c r="G361" s="103">
        <v>1</v>
      </c>
      <c r="H361" s="103">
        <v>2</v>
      </c>
      <c r="I361" s="104" t="s">
        <v>60</v>
      </c>
      <c r="J361" s="102" t="s">
        <v>246</v>
      </c>
      <c r="K361" s="102">
        <v>15</v>
      </c>
      <c r="L361" s="103">
        <v>1</v>
      </c>
      <c r="M361" s="104">
        <v>31</v>
      </c>
      <c r="N361" s="102">
        <v>22</v>
      </c>
      <c r="O361" s="102">
        <v>75</v>
      </c>
      <c r="P361" s="102">
        <v>40</v>
      </c>
      <c r="Q361" s="104">
        <f>_xlfn.FLOOR.MATH(16+0.3*B361)</f>
        <v>49</v>
      </c>
      <c r="R361" s="102">
        <f>_xlfn.FLOOR.MATH(6+0.1*B361)</f>
        <v>17</v>
      </c>
      <c r="S361" s="102">
        <f>_xlfn.FLOOR.MATH(43+0.4*B361)</f>
        <v>87</v>
      </c>
      <c r="T361" s="105">
        <f>_xlfn.FLOOR.MATH(30+0.52*B361)</f>
        <v>87</v>
      </c>
      <c r="U361" s="102">
        <v>13</v>
      </c>
      <c r="V361" s="102">
        <v>38</v>
      </c>
      <c r="W361" s="106" t="s">
        <v>115</v>
      </c>
      <c r="Y361" s="102" t="s">
        <v>241</v>
      </c>
      <c r="Z361" s="102" t="s">
        <v>128</v>
      </c>
      <c r="AA361" s="104">
        <v>0</v>
      </c>
      <c r="AB361" s="105">
        <v>0</v>
      </c>
      <c r="AC361" s="104">
        <v>2</v>
      </c>
      <c r="AD361" s="123" t="s">
        <v>248</v>
      </c>
      <c r="AE361" s="104">
        <v>15</v>
      </c>
      <c r="AF361" s="105">
        <v>20</v>
      </c>
      <c r="AG361" s="104">
        <v>0.48</v>
      </c>
      <c r="AH361" s="102">
        <v>0.9</v>
      </c>
      <c r="AI361" s="105">
        <v>0.5</v>
      </c>
      <c r="AJ361" s="104">
        <v>4</v>
      </c>
      <c r="AK361" s="102">
        <v>8</v>
      </c>
      <c r="AL361" s="102">
        <v>6</v>
      </c>
      <c r="AM361" s="105">
        <v>0</v>
      </c>
      <c r="AN361" s="104">
        <v>0</v>
      </c>
      <c r="AO361" s="102">
        <v>28</v>
      </c>
      <c r="AP361" s="102">
        <v>7</v>
      </c>
      <c r="AQ361" s="105">
        <v>0</v>
      </c>
      <c r="AT361" s="110">
        <v>0.0138888888888889</v>
      </c>
      <c r="AV361" s="112" t="s">
        <v>1013</v>
      </c>
    </row>
    <row r="362" ht="26.4" spans="1:48">
      <c r="A362" s="100">
        <v>10039311</v>
      </c>
      <c r="B362" s="101">
        <v>110</v>
      </c>
      <c r="C362" s="102">
        <v>5</v>
      </c>
      <c r="D362" s="103" t="s">
        <v>1014</v>
      </c>
      <c r="F362" s="103" t="s">
        <v>49</v>
      </c>
      <c r="G362" s="103">
        <v>1</v>
      </c>
      <c r="H362" s="103">
        <v>2</v>
      </c>
      <c r="I362" s="104" t="s">
        <v>86</v>
      </c>
      <c r="J362" s="102" t="s">
        <v>246</v>
      </c>
      <c r="K362" s="102">
        <v>17</v>
      </c>
      <c r="L362" s="103">
        <v>-1</v>
      </c>
      <c r="M362" s="104">
        <v>28</v>
      </c>
      <c r="N362" s="102">
        <v>22</v>
      </c>
      <c r="O362" s="102">
        <v>74</v>
      </c>
      <c r="P362" s="102">
        <v>54</v>
      </c>
      <c r="Q362" s="104">
        <f>_xlfn.FLOOR.MATH(35+0.3*B362)</f>
        <v>68</v>
      </c>
      <c r="R362" s="102">
        <f>_xlfn.FLOOR.MATH(6+0.1*B362)</f>
        <v>17</v>
      </c>
      <c r="S362" s="102">
        <f>_xlfn.FLOOR.MATH(40+0.4*B362)</f>
        <v>84</v>
      </c>
      <c r="T362" s="105">
        <f>_xlfn.FLOOR.MATH(30+0.52*B362)</f>
        <v>87</v>
      </c>
      <c r="U362" s="102">
        <v>20</v>
      </c>
      <c r="V362" s="102">
        <v>37</v>
      </c>
      <c r="W362" s="106" t="s">
        <v>115</v>
      </c>
      <c r="Y362" s="102" t="s">
        <v>241</v>
      </c>
      <c r="Z362" s="102" t="s">
        <v>128</v>
      </c>
      <c r="AA362" s="104">
        <v>0</v>
      </c>
      <c r="AB362" s="105">
        <v>0</v>
      </c>
      <c r="AC362" s="104">
        <v>2</v>
      </c>
      <c r="AD362" s="123" t="s">
        <v>316</v>
      </c>
      <c r="AE362" s="104">
        <v>15</v>
      </c>
      <c r="AF362" s="105">
        <v>25</v>
      </c>
      <c r="AG362" s="104">
        <v>0.48</v>
      </c>
      <c r="AH362" s="102">
        <v>0.9</v>
      </c>
      <c r="AI362" s="105">
        <v>0.4</v>
      </c>
      <c r="AJ362" s="104">
        <v>4</v>
      </c>
      <c r="AK362" s="102">
        <v>8</v>
      </c>
      <c r="AL362" s="102">
        <v>6</v>
      </c>
      <c r="AM362" s="105">
        <v>0</v>
      </c>
      <c r="AN362" s="104">
        <v>0</v>
      </c>
      <c r="AO362" s="102">
        <v>24</v>
      </c>
      <c r="AP362" s="102">
        <v>7</v>
      </c>
      <c r="AQ362" s="105">
        <v>5</v>
      </c>
      <c r="AT362" s="110">
        <v>0.0208333333333333</v>
      </c>
      <c r="AV362" s="112" t="s">
        <v>1015</v>
      </c>
    </row>
    <row r="363" spans="1:48">
      <c r="A363" s="100">
        <v>10039411</v>
      </c>
      <c r="B363" s="101">
        <v>110</v>
      </c>
      <c r="C363" s="102">
        <v>5</v>
      </c>
      <c r="D363" s="103" t="s">
        <v>1016</v>
      </c>
      <c r="F363" s="103" t="s">
        <v>49</v>
      </c>
      <c r="G363" s="103">
        <v>1</v>
      </c>
      <c r="H363" s="103">
        <v>2</v>
      </c>
      <c r="I363" s="104" t="s">
        <v>86</v>
      </c>
      <c r="J363" s="102" t="s">
        <v>246</v>
      </c>
      <c r="K363" s="102">
        <v>17</v>
      </c>
      <c r="L363" s="103">
        <v>-1</v>
      </c>
      <c r="M363" s="104">
        <v>28</v>
      </c>
      <c r="N363" s="102">
        <v>22</v>
      </c>
      <c r="O363" s="102">
        <v>74</v>
      </c>
      <c r="P363" s="102">
        <v>54</v>
      </c>
      <c r="Q363" s="104">
        <f>_xlfn.FLOOR.MATH(35+0.3*B363)</f>
        <v>68</v>
      </c>
      <c r="R363" s="102">
        <f>_xlfn.FLOOR.MATH(6+0.1*B363)</f>
        <v>17</v>
      </c>
      <c r="S363" s="102">
        <f>_xlfn.FLOOR.MATH(42+0.4*B363)</f>
        <v>86</v>
      </c>
      <c r="T363" s="105">
        <f>_xlfn.FLOOR.MATH(30+0.52*B363)</f>
        <v>87</v>
      </c>
      <c r="U363" s="102">
        <v>26</v>
      </c>
      <c r="V363" s="102">
        <v>37</v>
      </c>
      <c r="W363" s="106" t="s">
        <v>115</v>
      </c>
      <c r="Y363" s="102" t="s">
        <v>241</v>
      </c>
      <c r="Z363" s="102" t="s">
        <v>128</v>
      </c>
      <c r="AA363" s="104">
        <v>0</v>
      </c>
      <c r="AB363" s="105">
        <v>0</v>
      </c>
      <c r="AC363" s="104">
        <v>2</v>
      </c>
      <c r="AD363" s="123" t="s">
        <v>316</v>
      </c>
      <c r="AE363" s="104">
        <v>15</v>
      </c>
      <c r="AF363" s="105">
        <v>25</v>
      </c>
      <c r="AG363" s="104">
        <v>0.48</v>
      </c>
      <c r="AH363" s="102">
        <v>0.9</v>
      </c>
      <c r="AI363" s="105">
        <v>0.4</v>
      </c>
      <c r="AJ363" s="104">
        <v>4</v>
      </c>
      <c r="AK363" s="102">
        <v>8</v>
      </c>
      <c r="AL363" s="102">
        <v>6</v>
      </c>
      <c r="AM363" s="105">
        <v>0</v>
      </c>
      <c r="AN363" s="104">
        <v>0</v>
      </c>
      <c r="AO363" s="102">
        <v>24</v>
      </c>
      <c r="AP363" s="102">
        <v>7</v>
      </c>
      <c r="AQ363" s="105">
        <v>5</v>
      </c>
      <c r="AT363" s="110">
        <v>0.0208333333333333</v>
      </c>
      <c r="AU363" s="125"/>
      <c r="AV363" s="112" t="s">
        <v>1013</v>
      </c>
    </row>
    <row r="364" spans="1:47">
      <c r="A364" s="100">
        <v>10039511</v>
      </c>
      <c r="B364" s="101">
        <v>110</v>
      </c>
      <c r="C364" s="102">
        <v>4</v>
      </c>
      <c r="D364" s="103" t="s">
        <v>1017</v>
      </c>
      <c r="F364" s="103" t="s">
        <v>49</v>
      </c>
      <c r="G364" s="103">
        <v>1</v>
      </c>
      <c r="H364" s="103">
        <v>2</v>
      </c>
      <c r="I364" s="104" t="s">
        <v>885</v>
      </c>
      <c r="J364" s="102" t="s">
        <v>246</v>
      </c>
      <c r="K364" s="102">
        <v>16</v>
      </c>
      <c r="L364" s="103">
        <v>0</v>
      </c>
      <c r="M364" s="104">
        <v>30</v>
      </c>
      <c r="N364" s="102">
        <v>21</v>
      </c>
      <c r="O364" s="102">
        <v>57</v>
      </c>
      <c r="P364" s="102">
        <v>48</v>
      </c>
      <c r="Q364" s="104">
        <f>_xlfn.FLOOR.MATH(30+0.3*B364)</f>
        <v>63</v>
      </c>
      <c r="R364" s="102">
        <f>_xlfn.FLOOR.MATH(7+0.1*B364)</f>
        <v>18</v>
      </c>
      <c r="S364" s="102">
        <f>_xlfn.FLOOR.MATH(38+0.4*B364)</f>
        <v>82</v>
      </c>
      <c r="T364" s="105">
        <f>_xlfn.FLOOR.MATH(30+0.52*B364)</f>
        <v>87</v>
      </c>
      <c r="U364" s="102">
        <v>24</v>
      </c>
      <c r="V364" s="102">
        <v>39</v>
      </c>
      <c r="W364" s="106" t="s">
        <v>115</v>
      </c>
      <c r="Y364" s="102" t="s">
        <v>241</v>
      </c>
      <c r="Z364" s="102" t="s">
        <v>128</v>
      </c>
      <c r="AA364" s="104">
        <v>0</v>
      </c>
      <c r="AB364" s="105">
        <v>0</v>
      </c>
      <c r="AC364" s="104">
        <v>2</v>
      </c>
      <c r="AD364" s="123" t="s">
        <v>1018</v>
      </c>
      <c r="AE364" s="104">
        <v>15</v>
      </c>
      <c r="AF364" s="105">
        <v>25</v>
      </c>
      <c r="AG364" s="104">
        <v>0.45</v>
      </c>
      <c r="AH364" s="102">
        <v>0.95</v>
      </c>
      <c r="AI364" s="105">
        <v>0.45</v>
      </c>
      <c r="AJ364" s="104">
        <v>4</v>
      </c>
      <c r="AK364" s="102">
        <v>8</v>
      </c>
      <c r="AL364" s="102">
        <v>6</v>
      </c>
      <c r="AM364" s="105">
        <v>0</v>
      </c>
      <c r="AN364" s="104">
        <v>0</v>
      </c>
      <c r="AO364" s="102">
        <v>17</v>
      </c>
      <c r="AP364" s="102">
        <v>6</v>
      </c>
      <c r="AQ364" s="105">
        <v>0</v>
      </c>
      <c r="AU364" s="125" t="str">
        <f>HYPERLINK("http://www.jianrmod.cn/data/shipGetInfo.html?type=0&amp;cid=10039511","详细")</f>
        <v>详细</v>
      </c>
    </row>
    <row r="365" spans="1:47">
      <c r="A365" s="100">
        <v>10039613</v>
      </c>
      <c r="B365" s="101">
        <v>110</v>
      </c>
      <c r="C365" s="102">
        <v>3</v>
      </c>
      <c r="D365" s="103" t="s">
        <v>1019</v>
      </c>
      <c r="F365" s="103" t="s">
        <v>49</v>
      </c>
      <c r="G365" s="103">
        <v>2</v>
      </c>
      <c r="H365" s="103">
        <v>2</v>
      </c>
      <c r="I365" s="104" t="s">
        <v>86</v>
      </c>
      <c r="J365" s="102" t="s">
        <v>61</v>
      </c>
      <c r="K365" s="102">
        <v>70</v>
      </c>
      <c r="L365" s="103">
        <v>2</v>
      </c>
      <c r="M365" s="104">
        <v>94</v>
      </c>
      <c r="N365" s="102">
        <v>88</v>
      </c>
      <c r="O365" s="102">
        <v>0</v>
      </c>
      <c r="P365" s="102">
        <v>64</v>
      </c>
      <c r="Q365" s="104">
        <f>_xlfn.FLOOR.MATH(0+0*B365)</f>
        <v>0</v>
      </c>
      <c r="R365" s="102">
        <f>_xlfn.FLOOR.MATH(12+0.25*B365)</f>
        <v>39</v>
      </c>
      <c r="S365" s="102">
        <f>_xlfn.FLOOR.MATH(15+0.2*B365)</f>
        <v>37</v>
      </c>
      <c r="T365" s="105">
        <f>_xlfn.FLOOR.MATH(38+0.51*B365)</f>
        <v>94</v>
      </c>
      <c r="U365" s="102">
        <v>20</v>
      </c>
      <c r="V365" s="102">
        <v>22</v>
      </c>
      <c r="W365" s="106" t="s">
        <v>52</v>
      </c>
      <c r="Y365" s="102" t="s">
        <v>54</v>
      </c>
      <c r="Z365" s="102" t="s">
        <v>55</v>
      </c>
      <c r="AA365" s="104" t="s">
        <v>56</v>
      </c>
      <c r="AB365" s="105">
        <v>12</v>
      </c>
      <c r="AC365" s="104">
        <v>4</v>
      </c>
      <c r="AD365" s="123" t="s">
        <v>1020</v>
      </c>
      <c r="AE365" s="104">
        <v>85</v>
      </c>
      <c r="AF365" s="105">
        <v>120</v>
      </c>
      <c r="AG365" s="104">
        <v>2.5</v>
      </c>
      <c r="AH365" s="102">
        <v>5.1</v>
      </c>
      <c r="AI365" s="105">
        <v>0.8</v>
      </c>
      <c r="AJ365" s="104">
        <v>50</v>
      </c>
      <c r="AK365" s="102">
        <v>60</v>
      </c>
      <c r="AL365" s="102">
        <v>60</v>
      </c>
      <c r="AM365" s="105">
        <v>0</v>
      </c>
      <c r="AN365" s="104">
        <v>74</v>
      </c>
      <c r="AO365" s="102">
        <v>0</v>
      </c>
      <c r="AP365" s="102">
        <v>68</v>
      </c>
      <c r="AQ365" s="105">
        <v>22</v>
      </c>
      <c r="AU365" s="125" t="str">
        <f>HYPERLINK("http://www.jianrmod.cn/data/shipGetInfo.html?type=0&amp;cid=10039613","详细")</f>
        <v>详细</v>
      </c>
    </row>
    <row r="366" ht="92.4" spans="1:48">
      <c r="A366" s="100">
        <v>10039713</v>
      </c>
      <c r="B366" s="101">
        <v>110</v>
      </c>
      <c r="C366" s="102">
        <v>6</v>
      </c>
      <c r="D366" s="103" t="s">
        <v>1021</v>
      </c>
      <c r="F366" s="103" t="s">
        <v>49</v>
      </c>
      <c r="G366" s="103">
        <v>3</v>
      </c>
      <c r="H366" s="103">
        <v>3</v>
      </c>
      <c r="I366" s="104" t="s">
        <v>326</v>
      </c>
      <c r="J366" s="102" t="s">
        <v>51</v>
      </c>
      <c r="K366" s="102">
        <v>72</v>
      </c>
      <c r="L366" s="103">
        <v>0</v>
      </c>
      <c r="M366" s="104">
        <v>97</v>
      </c>
      <c r="N366" s="102">
        <v>75</v>
      </c>
      <c r="O366" s="102">
        <v>0</v>
      </c>
      <c r="P366" s="102">
        <v>106</v>
      </c>
      <c r="Q366" s="104">
        <f>_xlfn.FLOOR.MATH(0+0*B366)</f>
        <v>0</v>
      </c>
      <c r="R366" s="102">
        <f>_xlfn.FLOOR.MATH(20+0.25*B366)</f>
        <v>47</v>
      </c>
      <c r="S366" s="102">
        <f>_xlfn.FLOOR.MATH(31+0.3*B366)</f>
        <v>64</v>
      </c>
      <c r="T366" s="105">
        <f>_xlfn.FLOOR.MATH(40+0.51*B366)</f>
        <v>96</v>
      </c>
      <c r="U366" s="102">
        <v>8</v>
      </c>
      <c r="V366" s="102">
        <v>35.5</v>
      </c>
      <c r="W366" s="106" t="s">
        <v>1022</v>
      </c>
      <c r="Y366" s="102" t="s">
        <v>54</v>
      </c>
      <c r="Z366" s="102" t="s">
        <v>55</v>
      </c>
      <c r="AA366" s="104">
        <v>0</v>
      </c>
      <c r="AB366" s="105">
        <v>0</v>
      </c>
      <c r="AC366" s="104">
        <v>4</v>
      </c>
      <c r="AD366" s="123" t="s">
        <v>1023</v>
      </c>
      <c r="AE366" s="104">
        <v>85</v>
      </c>
      <c r="AF366" s="105">
        <v>120</v>
      </c>
      <c r="AG366" s="104">
        <v>3</v>
      </c>
      <c r="AH366" s="102">
        <v>5.2</v>
      </c>
      <c r="AI366" s="105">
        <v>0.95</v>
      </c>
      <c r="AJ366" s="104">
        <v>40</v>
      </c>
      <c r="AK366" s="102">
        <v>50</v>
      </c>
      <c r="AL366" s="102">
        <v>40</v>
      </c>
      <c r="AM366" s="105">
        <v>0</v>
      </c>
      <c r="AN366" s="104">
        <v>67</v>
      </c>
      <c r="AO366" s="102">
        <v>0</v>
      </c>
      <c r="AP366" s="102">
        <v>55</v>
      </c>
      <c r="AQ366" s="105">
        <v>78</v>
      </c>
      <c r="AR366" s="108" t="s">
        <v>1024</v>
      </c>
      <c r="AT366" s="110">
        <v>0.246527777777778</v>
      </c>
      <c r="AV366" s="112" t="s">
        <v>1025</v>
      </c>
    </row>
    <row r="367" ht="39.6" spans="1:48">
      <c r="A367" s="100">
        <v>10039812</v>
      </c>
      <c r="B367" s="101">
        <v>110</v>
      </c>
      <c r="C367" s="102">
        <v>3</v>
      </c>
      <c r="D367" s="103" t="s">
        <v>1026</v>
      </c>
      <c r="F367" s="103" t="s">
        <v>49</v>
      </c>
      <c r="G367" s="103">
        <v>1</v>
      </c>
      <c r="H367" s="103">
        <v>2</v>
      </c>
      <c r="I367" s="104" t="s">
        <v>50</v>
      </c>
      <c r="J367" s="102" t="s">
        <v>184</v>
      </c>
      <c r="K367" s="102">
        <v>25</v>
      </c>
      <c r="L367" s="103">
        <v>-1</v>
      </c>
      <c r="M367" s="104">
        <v>37</v>
      </c>
      <c r="N367" s="102">
        <v>38</v>
      </c>
      <c r="O367" s="102">
        <v>0</v>
      </c>
      <c r="P367" s="102">
        <v>78</v>
      </c>
      <c r="Q367" s="104">
        <f>_xlfn.FLOOR.MATH(35+0.3*B367)</f>
        <v>68</v>
      </c>
      <c r="R367" s="102">
        <f>_xlfn.FLOOR.MATH(10+0.1*B367)</f>
        <v>21</v>
      </c>
      <c r="S367" s="102">
        <f>_xlfn.FLOOR.MATH(30+0.35*B367)</f>
        <v>68</v>
      </c>
      <c r="T367" s="105">
        <f>_xlfn.FLOOR.MATH(34+0.53*B367)</f>
        <v>92</v>
      </c>
      <c r="U367" s="102">
        <v>24</v>
      </c>
      <c r="V367" s="102">
        <v>29</v>
      </c>
      <c r="W367" s="106" t="s">
        <v>158</v>
      </c>
      <c r="Y367" s="102" t="s">
        <v>127</v>
      </c>
      <c r="Z367" s="102" t="s">
        <v>128</v>
      </c>
      <c r="AA367" s="104">
        <v>0</v>
      </c>
      <c r="AB367" s="105">
        <v>0</v>
      </c>
      <c r="AC367" s="104">
        <v>3</v>
      </c>
      <c r="AD367" s="123" t="s">
        <v>316</v>
      </c>
      <c r="AE367" s="104">
        <v>20</v>
      </c>
      <c r="AF367" s="105">
        <v>30</v>
      </c>
      <c r="AG367" s="104">
        <v>0.8</v>
      </c>
      <c r="AH367" s="102">
        <v>1.4</v>
      </c>
      <c r="AI367" s="105">
        <v>0.425</v>
      </c>
      <c r="AJ367" s="104">
        <v>10</v>
      </c>
      <c r="AK367" s="102">
        <v>16</v>
      </c>
      <c r="AL367" s="102">
        <v>10</v>
      </c>
      <c r="AM367" s="105">
        <v>0</v>
      </c>
      <c r="AN367" s="104">
        <v>9</v>
      </c>
      <c r="AO367" s="102">
        <v>0</v>
      </c>
      <c r="AP367" s="102">
        <v>9</v>
      </c>
      <c r="AQ367" s="105">
        <v>36</v>
      </c>
      <c r="AT367" s="110">
        <v>0.0451388888888889</v>
      </c>
      <c r="AV367" s="112" t="s">
        <v>1027</v>
      </c>
    </row>
    <row r="368" spans="1:47">
      <c r="A368" s="100">
        <v>10039912</v>
      </c>
      <c r="B368" s="101">
        <v>110</v>
      </c>
      <c r="C368" s="102">
        <v>4</v>
      </c>
      <c r="D368" s="103" t="s">
        <v>1028</v>
      </c>
      <c r="F368" s="103" t="s">
        <v>49</v>
      </c>
      <c r="G368" s="103">
        <v>2</v>
      </c>
      <c r="H368" s="103">
        <v>2</v>
      </c>
      <c r="I368" s="104" t="s">
        <v>91</v>
      </c>
      <c r="J368" s="102" t="s">
        <v>184</v>
      </c>
      <c r="K368" s="102">
        <v>36</v>
      </c>
      <c r="L368" s="103">
        <v>0</v>
      </c>
      <c r="M368" s="104">
        <v>51</v>
      </c>
      <c r="N368" s="102">
        <v>54</v>
      </c>
      <c r="O368" s="102">
        <v>43</v>
      </c>
      <c r="P368" s="102">
        <v>62</v>
      </c>
      <c r="Q368" s="104">
        <f>_xlfn.FLOOR.MATH(30+0.35*B368)</f>
        <v>68</v>
      </c>
      <c r="R368" s="102">
        <f>_xlfn.FLOOR.MATH(13+0.16*B368)</f>
        <v>30</v>
      </c>
      <c r="S368" s="102">
        <f>_xlfn.FLOOR.MATH(34+0.3*B368)</f>
        <v>67</v>
      </c>
      <c r="T368" s="105">
        <f>_xlfn.FLOOR.MATH(33+0.52*B368)</f>
        <v>90</v>
      </c>
      <c r="U368" s="102">
        <v>20</v>
      </c>
      <c r="V368" s="102">
        <v>34</v>
      </c>
      <c r="W368" s="106" t="s">
        <v>158</v>
      </c>
      <c r="Y368" s="102" t="s">
        <v>127</v>
      </c>
      <c r="Z368" s="102" t="s">
        <v>128</v>
      </c>
      <c r="AA368" s="104" t="s">
        <v>173</v>
      </c>
      <c r="AB368" s="105">
        <v>9</v>
      </c>
      <c r="AC368" s="104">
        <v>3</v>
      </c>
      <c r="AD368" s="123" t="s">
        <v>916</v>
      </c>
      <c r="AE368" s="104">
        <v>30</v>
      </c>
      <c r="AF368" s="105">
        <v>35</v>
      </c>
      <c r="AG368" s="104">
        <v>1.1</v>
      </c>
      <c r="AH368" s="102">
        <v>2</v>
      </c>
      <c r="AI368" s="105">
        <v>0.7</v>
      </c>
      <c r="AJ368" s="104">
        <v>10</v>
      </c>
      <c r="AK368" s="102">
        <v>16</v>
      </c>
      <c r="AL368" s="102">
        <v>10</v>
      </c>
      <c r="AM368" s="105">
        <v>0</v>
      </c>
      <c r="AN368" s="104">
        <v>13</v>
      </c>
      <c r="AO368" s="102">
        <v>8</v>
      </c>
      <c r="AP368" s="102">
        <v>17</v>
      </c>
      <c r="AQ368" s="105">
        <v>16</v>
      </c>
      <c r="AT368" s="110">
        <v>0.0416666666666667</v>
      </c>
      <c r="AU368" s="125"/>
    </row>
    <row r="369" spans="1:47">
      <c r="A369" s="100">
        <v>10040012</v>
      </c>
      <c r="B369" s="101">
        <v>110</v>
      </c>
      <c r="C369" s="102">
        <v>4</v>
      </c>
      <c r="D369" s="103" t="s">
        <v>1029</v>
      </c>
      <c r="F369" s="103" t="s">
        <v>49</v>
      </c>
      <c r="G369" s="103">
        <v>2</v>
      </c>
      <c r="H369" s="103">
        <v>2</v>
      </c>
      <c r="I369" s="104" t="s">
        <v>490</v>
      </c>
      <c r="J369" s="102" t="s">
        <v>184</v>
      </c>
      <c r="K369" s="102">
        <v>32</v>
      </c>
      <c r="L369" s="103">
        <v>0</v>
      </c>
      <c r="M369" s="104">
        <v>48</v>
      </c>
      <c r="N369" s="102">
        <v>46</v>
      </c>
      <c r="O369" s="102">
        <v>0</v>
      </c>
      <c r="P369" s="102">
        <v>97</v>
      </c>
      <c r="Q369" s="104">
        <f>_xlfn.FLOOR.MATH(35+0.4*B369)</f>
        <v>79</v>
      </c>
      <c r="R369" s="102">
        <f>_xlfn.FLOOR.MATH(12+0.1*B369)</f>
        <v>23</v>
      </c>
      <c r="S369" s="102">
        <f>_xlfn.FLOOR.MATH(34+0.35*B369)</f>
        <v>72</v>
      </c>
      <c r="T369" s="105">
        <f>_xlfn.FLOOR.MATH(36+0.51*B369)</f>
        <v>92</v>
      </c>
      <c r="U369" s="102">
        <v>29</v>
      </c>
      <c r="V369" s="102">
        <v>32</v>
      </c>
      <c r="W369" s="106" t="s">
        <v>158</v>
      </c>
      <c r="Y369" s="102" t="s">
        <v>127</v>
      </c>
      <c r="Z369" s="102" t="s">
        <v>128</v>
      </c>
      <c r="AA369" s="104">
        <v>0</v>
      </c>
      <c r="AB369" s="105">
        <v>0</v>
      </c>
      <c r="AC369" s="104">
        <v>3</v>
      </c>
      <c r="AD369" s="123" t="s">
        <v>1030</v>
      </c>
      <c r="AE369" s="104">
        <v>25</v>
      </c>
      <c r="AF369" s="105">
        <v>35</v>
      </c>
      <c r="AG369" s="104">
        <v>0.75</v>
      </c>
      <c r="AH369" s="102">
        <v>1.4</v>
      </c>
      <c r="AI369" s="105">
        <v>0.45</v>
      </c>
      <c r="AJ369" s="104">
        <v>10</v>
      </c>
      <c r="AK369" s="102">
        <v>16</v>
      </c>
      <c r="AL369" s="102">
        <v>10</v>
      </c>
      <c r="AM369" s="105">
        <v>0</v>
      </c>
      <c r="AN369" s="104">
        <v>12</v>
      </c>
      <c r="AO369" s="102">
        <v>0</v>
      </c>
      <c r="AP369" s="102">
        <v>13</v>
      </c>
      <c r="AQ369" s="105">
        <v>65</v>
      </c>
      <c r="AU369" s="125" t="str">
        <f>HYPERLINK("http://www.jianrmod.cn/data/shipGetInfo.html?type=0&amp;cid=10040012","详细")</f>
        <v>详细</v>
      </c>
    </row>
    <row r="370" ht="39.6" spans="1:48">
      <c r="A370" s="100">
        <v>10040111</v>
      </c>
      <c r="B370" s="101">
        <v>110</v>
      </c>
      <c r="C370" s="102">
        <v>4</v>
      </c>
      <c r="D370" s="103" t="s">
        <v>1031</v>
      </c>
      <c r="F370" s="103" t="s">
        <v>49</v>
      </c>
      <c r="G370" s="103">
        <v>2</v>
      </c>
      <c r="H370" s="103">
        <v>4</v>
      </c>
      <c r="I370" s="104" t="s">
        <v>326</v>
      </c>
      <c r="J370" s="102" t="s">
        <v>891</v>
      </c>
      <c r="K370" s="102">
        <v>28</v>
      </c>
      <c r="L370" s="103">
        <v>0</v>
      </c>
      <c r="M370" s="104">
        <v>39</v>
      </c>
      <c r="N370" s="102">
        <v>27</v>
      </c>
      <c r="O370" s="102">
        <v>1</v>
      </c>
      <c r="P370" s="102">
        <v>96</v>
      </c>
      <c r="Q370" s="104">
        <f>_xlfn.FLOOR.MATH(0+0*B370)</f>
        <v>0</v>
      </c>
      <c r="R370" s="102">
        <f>_xlfn.FLOOR.MATH(12+0.25*B370)</f>
        <v>39</v>
      </c>
      <c r="S370" s="102">
        <f>_xlfn.FLOOR.MATH(33+0.35*B370)</f>
        <v>71</v>
      </c>
      <c r="T370" s="105">
        <f>_xlfn.FLOOR.MATH(38+0.54*B370)</f>
        <v>97</v>
      </c>
      <c r="U370" s="102">
        <v>12</v>
      </c>
      <c r="V370" s="102">
        <v>34.8</v>
      </c>
      <c r="W370" s="106" t="s">
        <v>115</v>
      </c>
      <c r="Y370" s="102" t="s">
        <v>241</v>
      </c>
      <c r="Z370" s="102" t="s">
        <v>55</v>
      </c>
      <c r="AA370" s="104">
        <v>0</v>
      </c>
      <c r="AB370" s="105">
        <v>0</v>
      </c>
      <c r="AC370" s="104">
        <v>3</v>
      </c>
      <c r="AD370" s="123" t="s">
        <v>1032</v>
      </c>
      <c r="AE370" s="104">
        <v>25</v>
      </c>
      <c r="AF370" s="105">
        <v>55</v>
      </c>
      <c r="AG370" s="104">
        <v>0.5</v>
      </c>
      <c r="AH370" s="102">
        <v>1.2</v>
      </c>
      <c r="AI370" s="105">
        <v>0.625</v>
      </c>
      <c r="AJ370" s="104">
        <v>8</v>
      </c>
      <c r="AK370" s="102">
        <v>12</v>
      </c>
      <c r="AL370" s="102">
        <v>10</v>
      </c>
      <c r="AM370" s="105">
        <v>16</v>
      </c>
      <c r="AN370" s="104">
        <v>11</v>
      </c>
      <c r="AO370" s="102">
        <v>1</v>
      </c>
      <c r="AP370" s="102">
        <v>12</v>
      </c>
      <c r="AQ370" s="105">
        <v>86</v>
      </c>
      <c r="AT370" s="110">
        <v>0.0368055555555556</v>
      </c>
      <c r="AV370" s="112" t="s">
        <v>1033</v>
      </c>
    </row>
    <row r="371" spans="1:46">
      <c r="A371" s="100">
        <v>10040211</v>
      </c>
      <c r="B371" s="101">
        <v>110</v>
      </c>
      <c r="C371" s="102">
        <v>5</v>
      </c>
      <c r="D371" s="103" t="s">
        <v>1034</v>
      </c>
      <c r="F371" s="103" t="s">
        <v>49</v>
      </c>
      <c r="G371" s="103">
        <v>5</v>
      </c>
      <c r="H371" s="103">
        <v>5</v>
      </c>
      <c r="I371" s="104" t="s">
        <v>73</v>
      </c>
      <c r="J371" s="102" t="s">
        <v>560</v>
      </c>
      <c r="K371" s="102">
        <v>8</v>
      </c>
      <c r="L371" s="103">
        <v>0</v>
      </c>
      <c r="M371" s="104">
        <v>28</v>
      </c>
      <c r="N371" s="102">
        <v>23</v>
      </c>
      <c r="O371" s="102">
        <v>70</v>
      </c>
      <c r="P371" s="102">
        <v>0</v>
      </c>
      <c r="Q371" s="104">
        <f>_xlfn.FLOOR.MATH(0+0*B371)</f>
        <v>0</v>
      </c>
      <c r="R371" s="102">
        <f>_xlfn.FLOOR.MATH(15+0.3*B371)</f>
        <v>48</v>
      </c>
      <c r="S371" s="102">
        <f>_xlfn.FLOOR.MATH(28+0.3*B371)</f>
        <v>61</v>
      </c>
      <c r="T371" s="105">
        <f>_xlfn.FLOOR.MATH(34+0.59*B371)</f>
        <v>98</v>
      </c>
      <c r="U371" s="102">
        <v>23</v>
      </c>
      <c r="V371" s="102">
        <v>16.4</v>
      </c>
      <c r="W371" s="106" t="s">
        <v>115</v>
      </c>
      <c r="Y371" s="102" t="s">
        <v>241</v>
      </c>
      <c r="Z371" s="102" t="s">
        <v>128</v>
      </c>
      <c r="AA371" s="104">
        <v>0</v>
      </c>
      <c r="AB371" s="105">
        <v>0</v>
      </c>
      <c r="AC371" s="104">
        <v>2</v>
      </c>
      <c r="AD371" s="123" t="s">
        <v>570</v>
      </c>
      <c r="AE371" s="104">
        <v>20</v>
      </c>
      <c r="AF371" s="105">
        <v>15</v>
      </c>
      <c r="AG371" s="104">
        <v>0.6</v>
      </c>
      <c r="AH371" s="102">
        <v>0.5</v>
      </c>
      <c r="AI371" s="105">
        <v>0.25</v>
      </c>
      <c r="AJ371" s="104">
        <v>10</v>
      </c>
      <c r="AK371" s="102">
        <v>10</v>
      </c>
      <c r="AL371" s="102">
        <v>20</v>
      </c>
      <c r="AM371" s="105">
        <v>0</v>
      </c>
      <c r="AN371" s="104">
        <v>0</v>
      </c>
      <c r="AO371" s="102">
        <v>20</v>
      </c>
      <c r="AP371" s="102">
        <v>10</v>
      </c>
      <c r="AQ371" s="105">
        <v>0</v>
      </c>
      <c r="AT371" s="110">
        <v>0.00694444444444444</v>
      </c>
    </row>
    <row r="372" ht="26.4" spans="1:48">
      <c r="A372" s="100">
        <v>10040311</v>
      </c>
      <c r="B372" s="101">
        <v>110</v>
      </c>
      <c r="C372" s="102">
        <v>5</v>
      </c>
      <c r="D372" s="103" t="s">
        <v>1035</v>
      </c>
      <c r="F372" s="103" t="s">
        <v>49</v>
      </c>
      <c r="G372" s="103">
        <v>3</v>
      </c>
      <c r="H372" s="103">
        <v>3</v>
      </c>
      <c r="I372" s="104" t="s">
        <v>50</v>
      </c>
      <c r="J372" s="102" t="s">
        <v>1009</v>
      </c>
      <c r="K372" s="102">
        <v>28</v>
      </c>
      <c r="L372" s="103">
        <v>0</v>
      </c>
      <c r="M372" s="104">
        <v>38</v>
      </c>
      <c r="N372" s="102">
        <v>27</v>
      </c>
      <c r="O372" s="102">
        <v>1</v>
      </c>
      <c r="P372" s="102">
        <v>81</v>
      </c>
      <c r="Q372" s="104">
        <f>_xlfn.FLOOR.MATH(0+0*B372)</f>
        <v>0</v>
      </c>
      <c r="R372" s="102">
        <f>_xlfn.FLOOR.MATH(25+0.1*B372)</f>
        <v>36</v>
      </c>
      <c r="S372" s="102">
        <f>_xlfn.FLOOR.MATH(32+0.35*B372)</f>
        <v>70</v>
      </c>
      <c r="T372" s="105">
        <f>_xlfn.FLOOR.MATH(40+0.54*B372)</f>
        <v>99</v>
      </c>
      <c r="U372" s="102">
        <v>22</v>
      </c>
      <c r="V372" s="102">
        <v>31.5</v>
      </c>
      <c r="W372" s="106" t="s">
        <v>115</v>
      </c>
      <c r="Y372" s="102" t="s">
        <v>241</v>
      </c>
      <c r="Z372" s="102" t="s">
        <v>128</v>
      </c>
      <c r="AA372" s="104">
        <v>0</v>
      </c>
      <c r="AB372" s="105">
        <v>0</v>
      </c>
      <c r="AC372" s="104">
        <v>3</v>
      </c>
      <c r="AD372" s="123" t="s">
        <v>1036</v>
      </c>
      <c r="AE372" s="104">
        <v>30</v>
      </c>
      <c r="AF372" s="105">
        <v>35</v>
      </c>
      <c r="AG372" s="104">
        <v>0.7</v>
      </c>
      <c r="AH372" s="102">
        <v>1.2</v>
      </c>
      <c r="AI372" s="105">
        <v>0.55</v>
      </c>
      <c r="AJ372" s="104">
        <v>8</v>
      </c>
      <c r="AK372" s="102">
        <v>12</v>
      </c>
      <c r="AL372" s="102">
        <v>10</v>
      </c>
      <c r="AM372" s="105">
        <v>16</v>
      </c>
      <c r="AN372" s="104">
        <v>21</v>
      </c>
      <c r="AO372" s="102">
        <v>1</v>
      </c>
      <c r="AP372" s="102">
        <v>12</v>
      </c>
      <c r="AQ372" s="105">
        <v>66</v>
      </c>
      <c r="AR372" s="108" t="s">
        <v>1037</v>
      </c>
      <c r="AT372" s="110">
        <v>0.0354166666666667</v>
      </c>
      <c r="AV372" s="112" t="s">
        <v>1038</v>
      </c>
    </row>
    <row r="373" ht="39.6" spans="1:46">
      <c r="A373" s="100">
        <v>10040413</v>
      </c>
      <c r="B373" s="101">
        <v>110</v>
      </c>
      <c r="C373" s="102">
        <v>5</v>
      </c>
      <c r="D373" s="103" t="s">
        <v>1039</v>
      </c>
      <c r="F373" s="103" t="s">
        <v>49</v>
      </c>
      <c r="G373" s="103">
        <v>3</v>
      </c>
      <c r="H373" s="103">
        <v>3</v>
      </c>
      <c r="I373" s="104" t="s">
        <v>50</v>
      </c>
      <c r="J373" s="102" t="s">
        <v>380</v>
      </c>
      <c r="K373" s="102">
        <v>70</v>
      </c>
      <c r="L373" s="103">
        <v>2</v>
      </c>
      <c r="M373" s="104">
        <v>40</v>
      </c>
      <c r="N373" s="102">
        <v>84</v>
      </c>
      <c r="O373" s="102">
        <v>0</v>
      </c>
      <c r="P373" s="102">
        <v>90</v>
      </c>
      <c r="Q373" s="104">
        <f>_xlfn.FLOOR.MATH(0+0*B373)</f>
        <v>0</v>
      </c>
      <c r="R373" s="102">
        <f>_xlfn.FLOOR.MATH(40+0.25*B373)</f>
        <v>67</v>
      </c>
      <c r="S373" s="102">
        <f>_xlfn.FLOOR.MATH(34+0.2*B373)</f>
        <v>56</v>
      </c>
      <c r="T373" s="105">
        <f>_xlfn.FLOOR.MATH(32+0.5*B373)</f>
        <v>87</v>
      </c>
      <c r="U373" s="102">
        <v>15</v>
      </c>
      <c r="V373" s="102">
        <v>32</v>
      </c>
      <c r="W373" s="106" t="s">
        <v>115</v>
      </c>
      <c r="Y373" s="102" t="s">
        <v>54</v>
      </c>
      <c r="Z373" s="102" t="s">
        <v>55</v>
      </c>
      <c r="AA373" s="104" t="s">
        <v>1040</v>
      </c>
      <c r="AB373" s="105">
        <v>81</v>
      </c>
      <c r="AC373" s="104">
        <v>4</v>
      </c>
      <c r="AD373" s="123" t="s">
        <v>1041</v>
      </c>
      <c r="AE373" s="104">
        <v>70</v>
      </c>
      <c r="AF373" s="105">
        <v>65</v>
      </c>
      <c r="AG373" s="104">
        <v>2.9</v>
      </c>
      <c r="AH373" s="102">
        <v>5.4</v>
      </c>
      <c r="AI373" s="105">
        <v>1.05</v>
      </c>
      <c r="AJ373" s="104">
        <v>20</v>
      </c>
      <c r="AK373" s="102">
        <v>20</v>
      </c>
      <c r="AL373" s="102">
        <v>40</v>
      </c>
      <c r="AM373" s="105">
        <v>10</v>
      </c>
      <c r="AN373" s="104">
        <v>3</v>
      </c>
      <c r="AO373" s="102">
        <v>0</v>
      </c>
      <c r="AP373" s="102">
        <v>27</v>
      </c>
      <c r="AQ373" s="105">
        <v>84</v>
      </c>
      <c r="AR373" s="108" t="s">
        <v>1042</v>
      </c>
      <c r="AT373" s="110">
        <v>0.174305555555556</v>
      </c>
    </row>
    <row r="374" spans="1:46">
      <c r="A374" s="100">
        <v>10040512</v>
      </c>
      <c r="B374" s="101">
        <v>110</v>
      </c>
      <c r="C374" s="102">
        <v>4</v>
      </c>
      <c r="D374" s="103" t="s">
        <v>1043</v>
      </c>
      <c r="F374" s="103" t="s">
        <v>49</v>
      </c>
      <c r="G374" s="103">
        <v>2</v>
      </c>
      <c r="H374" s="103">
        <v>2</v>
      </c>
      <c r="I374" s="104" t="s">
        <v>330</v>
      </c>
      <c r="J374" s="102" t="s">
        <v>184</v>
      </c>
      <c r="K374" s="102">
        <v>32</v>
      </c>
      <c r="L374" s="103">
        <v>0</v>
      </c>
      <c r="M374" s="104">
        <v>51</v>
      </c>
      <c r="N374" s="102">
        <v>52</v>
      </c>
      <c r="O374" s="102">
        <v>43</v>
      </c>
      <c r="P374" s="102">
        <v>67</v>
      </c>
      <c r="Q374" s="104">
        <f>_xlfn.FLOOR.MATH(32+0.3*B374)</f>
        <v>65</v>
      </c>
      <c r="R374" s="102">
        <f>_xlfn.FLOOR.MATH(13+0.16*B374)</f>
        <v>30</v>
      </c>
      <c r="S374" s="102">
        <f>_xlfn.FLOOR.MATH(35+0.3*B374)</f>
        <v>68</v>
      </c>
      <c r="T374" s="105">
        <f>_xlfn.FLOOR.MATH(33+0.52*B374)</f>
        <v>90</v>
      </c>
      <c r="U374" s="102">
        <v>25</v>
      </c>
      <c r="V374" s="102">
        <v>35</v>
      </c>
      <c r="W374" s="106" t="s">
        <v>158</v>
      </c>
      <c r="Y374" s="102" t="s">
        <v>127</v>
      </c>
      <c r="Z374" s="102" t="s">
        <v>128</v>
      </c>
      <c r="AA374" s="104" t="s">
        <v>173</v>
      </c>
      <c r="AB374" s="105">
        <v>9</v>
      </c>
      <c r="AC374" s="104">
        <v>3</v>
      </c>
      <c r="AD374" s="123" t="s">
        <v>916</v>
      </c>
      <c r="AE374" s="104">
        <v>25</v>
      </c>
      <c r="AF374" s="105">
        <v>35</v>
      </c>
      <c r="AG374" s="104">
        <v>1</v>
      </c>
      <c r="AH374" s="102">
        <v>1.9</v>
      </c>
      <c r="AI374" s="105">
        <v>0.7</v>
      </c>
      <c r="AJ374" s="104">
        <v>10</v>
      </c>
      <c r="AK374" s="102">
        <v>16</v>
      </c>
      <c r="AL374" s="102">
        <v>10</v>
      </c>
      <c r="AM374" s="105">
        <v>0</v>
      </c>
      <c r="AN374" s="104">
        <v>13</v>
      </c>
      <c r="AO374" s="102">
        <v>8</v>
      </c>
      <c r="AP374" s="102">
        <v>16</v>
      </c>
      <c r="AQ374" s="105">
        <v>20</v>
      </c>
      <c r="AT374" s="110">
        <v>0.0520833333333333</v>
      </c>
    </row>
    <row r="375" spans="1:48">
      <c r="A375" s="100">
        <v>10040611</v>
      </c>
      <c r="B375" s="101">
        <v>110</v>
      </c>
      <c r="C375" s="102">
        <v>3</v>
      </c>
      <c r="D375" s="103" t="s">
        <v>1044</v>
      </c>
      <c r="F375" s="103" t="s">
        <v>49</v>
      </c>
      <c r="G375" s="103">
        <v>1</v>
      </c>
      <c r="H375" s="103">
        <v>2</v>
      </c>
      <c r="I375" s="104" t="s">
        <v>86</v>
      </c>
      <c r="J375" s="102" t="s">
        <v>246</v>
      </c>
      <c r="K375" s="102">
        <v>16</v>
      </c>
      <c r="L375" s="103">
        <v>0</v>
      </c>
      <c r="M375" s="104">
        <v>28</v>
      </c>
      <c r="N375" s="102">
        <v>21</v>
      </c>
      <c r="O375" s="102">
        <v>69</v>
      </c>
      <c r="P375" s="102">
        <v>52</v>
      </c>
      <c r="Q375" s="104">
        <f>_xlfn.FLOOR.MATH(35+0.3*B375)</f>
        <v>68</v>
      </c>
      <c r="R375" s="102">
        <f>_xlfn.FLOOR.MATH(6+0.1*B375)</f>
        <v>17</v>
      </c>
      <c r="S375" s="102">
        <f>_xlfn.FLOOR.MATH(40+0.4*B375)</f>
        <v>84</v>
      </c>
      <c r="T375" s="105">
        <f>_xlfn.FLOOR.MATH(30+0.52*B375)</f>
        <v>87</v>
      </c>
      <c r="U375" s="102">
        <v>10</v>
      </c>
      <c r="V375" s="102">
        <v>35</v>
      </c>
      <c r="W375" s="106" t="s">
        <v>115</v>
      </c>
      <c r="Y375" s="102" t="s">
        <v>241</v>
      </c>
      <c r="Z375" s="102" t="s">
        <v>128</v>
      </c>
      <c r="AA375" s="104">
        <v>0</v>
      </c>
      <c r="AB375" s="105">
        <v>0</v>
      </c>
      <c r="AC375" s="104">
        <v>2</v>
      </c>
      <c r="AD375" s="123" t="s">
        <v>524</v>
      </c>
      <c r="AE375" s="104">
        <v>15</v>
      </c>
      <c r="AF375" s="105">
        <v>25</v>
      </c>
      <c r="AG375" s="104">
        <v>0.48</v>
      </c>
      <c r="AH375" s="102">
        <v>0.9</v>
      </c>
      <c r="AI375" s="105">
        <v>0.4</v>
      </c>
      <c r="AJ375" s="104">
        <v>4</v>
      </c>
      <c r="AK375" s="102">
        <v>8</v>
      </c>
      <c r="AL375" s="102">
        <v>6</v>
      </c>
      <c r="AM375" s="105">
        <v>0</v>
      </c>
      <c r="AN375" s="104">
        <v>0</v>
      </c>
      <c r="AO375" s="102">
        <v>19</v>
      </c>
      <c r="AP375" s="102">
        <v>6</v>
      </c>
      <c r="AQ375" s="105">
        <v>5</v>
      </c>
      <c r="AV375" s="112" t="s">
        <v>1045</v>
      </c>
    </row>
    <row r="376" spans="1:47">
      <c r="A376" s="100">
        <v>10040711</v>
      </c>
      <c r="B376" s="101">
        <v>110</v>
      </c>
      <c r="C376" s="102">
        <v>5</v>
      </c>
      <c r="D376" s="103" t="s">
        <v>1046</v>
      </c>
      <c r="F376" s="103" t="s">
        <v>49</v>
      </c>
      <c r="G376" s="103">
        <v>2</v>
      </c>
      <c r="H376" s="103">
        <v>2</v>
      </c>
      <c r="I376" s="104" t="s">
        <v>73</v>
      </c>
      <c r="J376" s="102" t="s">
        <v>1009</v>
      </c>
      <c r="K376" s="102">
        <v>24</v>
      </c>
      <c r="L376" s="103">
        <v>0</v>
      </c>
      <c r="M376" s="104">
        <v>35</v>
      </c>
      <c r="N376" s="102">
        <v>25</v>
      </c>
      <c r="O376" s="102">
        <v>1</v>
      </c>
      <c r="P376" s="102">
        <v>95</v>
      </c>
      <c r="Q376" s="104">
        <f>_xlfn.FLOOR.MATH(0+0*B376)</f>
        <v>0</v>
      </c>
      <c r="R376" s="102">
        <f>_xlfn.FLOOR.MATH(23+0.15*B376)</f>
        <v>39</v>
      </c>
      <c r="S376" s="102">
        <f>_xlfn.FLOOR.MATH(33+0.35*B376)</f>
        <v>71</v>
      </c>
      <c r="T376" s="105">
        <f>_xlfn.FLOOR.MATH(40+0.54*B376)</f>
        <v>99</v>
      </c>
      <c r="U376" s="102">
        <v>17</v>
      </c>
      <c r="V376" s="102">
        <v>33</v>
      </c>
      <c r="W376" s="106" t="s">
        <v>115</v>
      </c>
      <c r="Y376" s="102" t="s">
        <v>241</v>
      </c>
      <c r="Z376" s="102" t="s">
        <v>128</v>
      </c>
      <c r="AA376" s="104">
        <v>0</v>
      </c>
      <c r="AB376" s="105">
        <v>0</v>
      </c>
      <c r="AC376" s="104">
        <v>2</v>
      </c>
      <c r="AD376" s="123" t="s">
        <v>1047</v>
      </c>
      <c r="AE376" s="104">
        <v>15</v>
      </c>
      <c r="AF376" s="105">
        <v>35</v>
      </c>
      <c r="AG376" s="104">
        <v>0.6</v>
      </c>
      <c r="AH376" s="102">
        <v>1.1</v>
      </c>
      <c r="AI376" s="105">
        <v>0.55</v>
      </c>
      <c r="AJ376" s="104">
        <v>8</v>
      </c>
      <c r="AK376" s="102">
        <v>12</v>
      </c>
      <c r="AL376" s="102">
        <v>10</v>
      </c>
      <c r="AM376" s="105">
        <v>16</v>
      </c>
      <c r="AN376" s="104">
        <v>15</v>
      </c>
      <c r="AO376" s="102">
        <v>1</v>
      </c>
      <c r="AP376" s="102">
        <v>12</v>
      </c>
      <c r="AQ376" s="105">
        <v>94</v>
      </c>
      <c r="AT376" s="110">
        <v>0.0354166666666667</v>
      </c>
      <c r="AU376" s="125"/>
    </row>
    <row r="377" spans="1:47">
      <c r="A377" s="100">
        <v>10040811</v>
      </c>
      <c r="B377" s="101">
        <v>110</v>
      </c>
      <c r="C377" s="102">
        <v>5</v>
      </c>
      <c r="D377" s="103" t="s">
        <v>1048</v>
      </c>
      <c r="F377" s="103" t="s">
        <v>49</v>
      </c>
      <c r="G377" s="103">
        <v>4</v>
      </c>
      <c r="H377" s="103">
        <v>5</v>
      </c>
      <c r="I377" s="104" t="s">
        <v>86</v>
      </c>
      <c r="J377" s="102" t="s">
        <v>560</v>
      </c>
      <c r="K377" s="102">
        <v>12</v>
      </c>
      <c r="L377" s="103">
        <v>0</v>
      </c>
      <c r="M377" s="104">
        <v>26</v>
      </c>
      <c r="N377" s="102">
        <v>25</v>
      </c>
      <c r="O377" s="102">
        <v>74</v>
      </c>
      <c r="P377" s="102">
        <v>0</v>
      </c>
      <c r="Q377" s="104">
        <f>_xlfn.FLOOR.MATH(0+0*B377)</f>
        <v>0</v>
      </c>
      <c r="R377" s="102">
        <f>_xlfn.FLOOR.MATH(12+0.3*B377)</f>
        <v>45</v>
      </c>
      <c r="S377" s="102">
        <f>_xlfn.FLOOR.MATH(20+0.2*B377)</f>
        <v>42</v>
      </c>
      <c r="T377" s="105">
        <f>_xlfn.FLOOR.MATH(32+0.59*B377)</f>
        <v>96</v>
      </c>
      <c r="U377" s="102">
        <v>24</v>
      </c>
      <c r="V377" s="102">
        <v>21</v>
      </c>
      <c r="W377" s="106" t="s">
        <v>115</v>
      </c>
      <c r="Y377" s="102" t="s">
        <v>241</v>
      </c>
      <c r="Z377" s="102" t="s">
        <v>128</v>
      </c>
      <c r="AA377" s="104">
        <v>0</v>
      </c>
      <c r="AB377" s="105">
        <v>0</v>
      </c>
      <c r="AC377" s="104">
        <v>2</v>
      </c>
      <c r="AD377" s="123" t="s">
        <v>562</v>
      </c>
      <c r="AE377" s="104">
        <v>15</v>
      </c>
      <c r="AF377" s="105">
        <v>20</v>
      </c>
      <c r="AG377" s="104">
        <v>0.6</v>
      </c>
      <c r="AH377" s="102">
        <v>0.45</v>
      </c>
      <c r="AI377" s="105">
        <v>0.25</v>
      </c>
      <c r="AJ377" s="104">
        <v>10</v>
      </c>
      <c r="AK377" s="102">
        <v>10</v>
      </c>
      <c r="AL377" s="102">
        <v>20</v>
      </c>
      <c r="AM377" s="105">
        <v>0</v>
      </c>
      <c r="AN377" s="104">
        <v>0</v>
      </c>
      <c r="AO377" s="102">
        <v>24</v>
      </c>
      <c r="AP377" s="102">
        <v>10</v>
      </c>
      <c r="AQ377" s="105">
        <v>0</v>
      </c>
      <c r="AU377" s="125" t="str">
        <f>HYPERLINK("http://www.jianrmod.cn/data/shipGetInfo.html?type=0&amp;cid=10040811","详细")</f>
        <v>详细</v>
      </c>
    </row>
    <row r="378" ht="52.8" spans="1:48">
      <c r="A378" s="100">
        <v>10040913</v>
      </c>
      <c r="B378" s="101">
        <v>110</v>
      </c>
      <c r="C378" s="102">
        <v>6</v>
      </c>
      <c r="D378" s="103" t="s">
        <v>1049</v>
      </c>
      <c r="F378" s="103" t="s">
        <v>49</v>
      </c>
      <c r="G378" s="103">
        <v>4</v>
      </c>
      <c r="H378" s="103">
        <v>4</v>
      </c>
      <c r="I378" s="104" t="s">
        <v>86</v>
      </c>
      <c r="J378" s="102" t="s">
        <v>61</v>
      </c>
      <c r="K378" s="102">
        <v>84</v>
      </c>
      <c r="L378" s="103">
        <v>0</v>
      </c>
      <c r="M378" s="104">
        <v>116</v>
      </c>
      <c r="N378" s="102">
        <v>102</v>
      </c>
      <c r="O378" s="102">
        <v>0</v>
      </c>
      <c r="P378" s="102">
        <v>106</v>
      </c>
      <c r="Q378" s="104">
        <f>_xlfn.FLOOR.MATH(0+0*B378)</f>
        <v>0</v>
      </c>
      <c r="R378" s="102">
        <f>_xlfn.FLOOR.MATH(20+0.25*B378)</f>
        <v>47</v>
      </c>
      <c r="S378" s="102">
        <f>_xlfn.FLOOR.MATH(30+0.2*B378)</f>
        <v>52</v>
      </c>
      <c r="T378" s="105">
        <f>_xlfn.FLOOR.MATH(41+0.56*B378)</f>
        <v>102</v>
      </c>
      <c r="U378" s="102">
        <v>23</v>
      </c>
      <c r="V378" s="102">
        <v>33</v>
      </c>
      <c r="W378" s="106" t="s">
        <v>52</v>
      </c>
      <c r="Y378" s="102" t="s">
        <v>54</v>
      </c>
      <c r="Z378" s="102" t="s">
        <v>55</v>
      </c>
      <c r="AA378" s="104" t="s">
        <v>56</v>
      </c>
      <c r="AB378" s="105">
        <v>12</v>
      </c>
      <c r="AC378" s="104">
        <v>4</v>
      </c>
      <c r="AD378" s="123" t="s">
        <v>599</v>
      </c>
      <c r="AE378" s="104">
        <v>135</v>
      </c>
      <c r="AF378" s="105">
        <v>175</v>
      </c>
      <c r="AG378" s="104">
        <v>4.8</v>
      </c>
      <c r="AH378" s="102">
        <v>9</v>
      </c>
      <c r="AI378" s="105">
        <v>0.8</v>
      </c>
      <c r="AJ378" s="104">
        <v>50</v>
      </c>
      <c r="AK378" s="102">
        <v>60</v>
      </c>
      <c r="AL378" s="102">
        <v>60</v>
      </c>
      <c r="AM378" s="105">
        <v>0</v>
      </c>
      <c r="AN378" s="104">
        <v>91</v>
      </c>
      <c r="AO378" s="102">
        <v>0</v>
      </c>
      <c r="AP378" s="102">
        <v>82</v>
      </c>
      <c r="AQ378" s="105">
        <v>83</v>
      </c>
      <c r="AR378" s="108" t="s">
        <v>1050</v>
      </c>
      <c r="AT378" s="110">
        <v>0.260416666666667</v>
      </c>
      <c r="AV378" s="112" t="s">
        <v>1051</v>
      </c>
    </row>
    <row r="379" ht="66" spans="1:48">
      <c r="A379" s="100">
        <v>10041012</v>
      </c>
      <c r="B379" s="101">
        <v>110</v>
      </c>
      <c r="C379" s="102">
        <v>6</v>
      </c>
      <c r="D379" s="103" t="s">
        <v>1052</v>
      </c>
      <c r="F379" s="103" t="s">
        <v>49</v>
      </c>
      <c r="G379" s="103">
        <v>4</v>
      </c>
      <c r="H379" s="103">
        <v>3</v>
      </c>
      <c r="I379" s="104" t="s">
        <v>86</v>
      </c>
      <c r="J379" s="102" t="s">
        <v>157</v>
      </c>
      <c r="K379" s="102">
        <v>52</v>
      </c>
      <c r="L379" s="103">
        <v>0</v>
      </c>
      <c r="M379" s="104">
        <v>83</v>
      </c>
      <c r="N379" s="102">
        <v>58</v>
      </c>
      <c r="O379" s="102">
        <v>0</v>
      </c>
      <c r="P379" s="102">
        <v>109</v>
      </c>
      <c r="Q379" s="104">
        <f>_xlfn.FLOOR.MATH(0+0*B379)</f>
        <v>0</v>
      </c>
      <c r="R379" s="102">
        <f>_xlfn.FLOOR.MATH(18+0.35*B379)</f>
        <v>56</v>
      </c>
      <c r="S379" s="102">
        <f>_xlfn.FLOOR.MATH(31+0.4*B379)</f>
        <v>75</v>
      </c>
      <c r="T379" s="105">
        <f>_xlfn.FLOOR.MATH(38+0.51*B379)</f>
        <v>94</v>
      </c>
      <c r="U379" s="102">
        <v>19</v>
      </c>
      <c r="V379" s="102">
        <v>33</v>
      </c>
      <c r="W379" s="106" t="s">
        <v>158</v>
      </c>
      <c r="Y379" s="102" t="s">
        <v>127</v>
      </c>
      <c r="Z379" s="102" t="s">
        <v>128</v>
      </c>
      <c r="AA379" s="104" t="s">
        <v>173</v>
      </c>
      <c r="AB379" s="105">
        <v>9</v>
      </c>
      <c r="AC379" s="104">
        <v>3</v>
      </c>
      <c r="AD379" s="123" t="s">
        <v>692</v>
      </c>
      <c r="AE379" s="104">
        <v>40</v>
      </c>
      <c r="AF379" s="105">
        <v>70</v>
      </c>
      <c r="AG379" s="104">
        <v>1.28</v>
      </c>
      <c r="AH379" s="102">
        <v>2.4</v>
      </c>
      <c r="AI379" s="105">
        <v>0.625</v>
      </c>
      <c r="AJ379" s="104">
        <v>30</v>
      </c>
      <c r="AK379" s="102">
        <v>40</v>
      </c>
      <c r="AL379" s="102">
        <v>30</v>
      </c>
      <c r="AM379" s="105">
        <v>0</v>
      </c>
      <c r="AN379" s="104">
        <v>53</v>
      </c>
      <c r="AO379" s="102">
        <v>0</v>
      </c>
      <c r="AP379" s="102">
        <v>19</v>
      </c>
      <c r="AQ379" s="105">
        <v>90</v>
      </c>
      <c r="AR379" s="108" t="s">
        <v>1053</v>
      </c>
      <c r="AT379" s="110">
        <v>0.0833333333333333</v>
      </c>
      <c r="AV379" s="112" t="s">
        <v>1054</v>
      </c>
    </row>
    <row r="380" ht="26.4" spans="1:48">
      <c r="A380" s="100">
        <v>10041112</v>
      </c>
      <c r="B380" s="101">
        <v>110</v>
      </c>
      <c r="C380" s="102">
        <v>4</v>
      </c>
      <c r="D380" s="103" t="s">
        <v>1055</v>
      </c>
      <c r="F380" s="103" t="s">
        <v>49</v>
      </c>
      <c r="G380" s="103">
        <v>1</v>
      </c>
      <c r="H380" s="103">
        <v>2</v>
      </c>
      <c r="I380" s="104" t="s">
        <v>50</v>
      </c>
      <c r="J380" s="102" t="s">
        <v>184</v>
      </c>
      <c r="K380" s="102">
        <v>28</v>
      </c>
      <c r="L380" s="103">
        <v>0</v>
      </c>
      <c r="M380" s="104">
        <v>52</v>
      </c>
      <c r="N380" s="102">
        <v>46</v>
      </c>
      <c r="O380" s="102">
        <v>50</v>
      </c>
      <c r="P380" s="102">
        <v>87</v>
      </c>
      <c r="Q380" s="104">
        <f>_xlfn.FLOOR.MATH(40+0.4*B380)</f>
        <v>84</v>
      </c>
      <c r="R380" s="102">
        <f>_xlfn.FLOOR.MATH(11+0.1*B380)</f>
        <v>22</v>
      </c>
      <c r="S380" s="102">
        <f>_xlfn.FLOOR.MATH(31+0.35*B380)</f>
        <v>69</v>
      </c>
      <c r="T380" s="105">
        <f>_xlfn.FLOOR.MATH(35+0.52*B380)</f>
        <v>92</v>
      </c>
      <c r="U380" s="102">
        <v>20</v>
      </c>
      <c r="V380" s="102">
        <v>32</v>
      </c>
      <c r="W380" s="106" t="s">
        <v>158</v>
      </c>
      <c r="Y380" s="102" t="s">
        <v>127</v>
      </c>
      <c r="Z380" s="102" t="s">
        <v>128</v>
      </c>
      <c r="AA380" s="104">
        <v>0</v>
      </c>
      <c r="AB380" s="105">
        <v>0</v>
      </c>
      <c r="AC380" s="104">
        <v>3</v>
      </c>
      <c r="AD380" s="123" t="s">
        <v>1056</v>
      </c>
      <c r="AE380" s="104">
        <v>20</v>
      </c>
      <c r="AF380" s="105">
        <v>30</v>
      </c>
      <c r="AG380" s="104">
        <v>0.96</v>
      </c>
      <c r="AH380" s="102">
        <v>1.8</v>
      </c>
      <c r="AI380" s="105">
        <v>0.5</v>
      </c>
      <c r="AJ380" s="104">
        <v>10</v>
      </c>
      <c r="AK380" s="102">
        <v>16</v>
      </c>
      <c r="AL380" s="102">
        <v>10</v>
      </c>
      <c r="AM380" s="105">
        <v>0</v>
      </c>
      <c r="AN380" s="104">
        <v>15</v>
      </c>
      <c r="AO380" s="102">
        <v>10</v>
      </c>
      <c r="AP380" s="102">
        <v>11</v>
      </c>
      <c r="AQ380" s="105">
        <v>45</v>
      </c>
      <c r="AU380" s="125"/>
      <c r="AV380" s="112" t="s">
        <v>1057</v>
      </c>
    </row>
    <row r="381" spans="1:47">
      <c r="A381" s="100">
        <v>10041212</v>
      </c>
      <c r="B381" s="101">
        <v>110</v>
      </c>
      <c r="C381" s="102">
        <v>3</v>
      </c>
      <c r="D381" s="103" t="s">
        <v>1058</v>
      </c>
      <c r="F381" s="103" t="s">
        <v>49</v>
      </c>
      <c r="G381" s="103">
        <v>1</v>
      </c>
      <c r="H381" s="103">
        <v>2</v>
      </c>
      <c r="I381" s="104" t="s">
        <v>750</v>
      </c>
      <c r="J381" s="102" t="s">
        <v>157</v>
      </c>
      <c r="K381" s="102">
        <v>50</v>
      </c>
      <c r="L381" s="103">
        <v>2</v>
      </c>
      <c r="M381" s="104">
        <v>54</v>
      </c>
      <c r="N381" s="102">
        <v>43</v>
      </c>
      <c r="O381" s="102">
        <v>51</v>
      </c>
      <c r="P381" s="102">
        <v>56</v>
      </c>
      <c r="Q381" s="104">
        <f>_xlfn.FLOOR.MATH(0+0*B381)</f>
        <v>0</v>
      </c>
      <c r="R381" s="102">
        <f>_xlfn.FLOOR.MATH(14+0.35*B381)</f>
        <v>52</v>
      </c>
      <c r="S381" s="102">
        <f>_xlfn.FLOOR.MATH(30+0.4*B381)</f>
        <v>74</v>
      </c>
      <c r="T381" s="105">
        <f>_xlfn.FLOOR.MATH(34+0.5*B381)</f>
        <v>89</v>
      </c>
      <c r="U381" s="102">
        <v>10</v>
      </c>
      <c r="V381" s="102">
        <v>31.5</v>
      </c>
      <c r="W381" s="106" t="s">
        <v>158</v>
      </c>
      <c r="Y381" s="102" t="s">
        <v>127</v>
      </c>
      <c r="Z381" s="102" t="s">
        <v>128</v>
      </c>
      <c r="AA381" s="104" t="s">
        <v>173</v>
      </c>
      <c r="AB381" s="105">
        <v>9</v>
      </c>
      <c r="AC381" s="104">
        <v>3</v>
      </c>
      <c r="AD381" s="123" t="s">
        <v>440</v>
      </c>
      <c r="AE381" s="104">
        <v>35</v>
      </c>
      <c r="AF381" s="105">
        <v>70</v>
      </c>
      <c r="AG381" s="104">
        <v>1.28</v>
      </c>
      <c r="AH381" s="102">
        <v>2.4</v>
      </c>
      <c r="AI381" s="105">
        <v>0.75</v>
      </c>
      <c r="AJ381" s="104">
        <v>30</v>
      </c>
      <c r="AK381" s="102">
        <v>40</v>
      </c>
      <c r="AL381" s="102">
        <v>30</v>
      </c>
      <c r="AM381" s="105">
        <v>0</v>
      </c>
      <c r="AN381" s="104">
        <v>34</v>
      </c>
      <c r="AO381" s="102">
        <v>8</v>
      </c>
      <c r="AP381" s="102">
        <v>14</v>
      </c>
      <c r="AQ381" s="105">
        <v>13</v>
      </c>
      <c r="AU381" s="125" t="str">
        <f>HYPERLINK("http://www.jianrmod.cn/data/shipGetInfo.html?type=0&amp;cid=10041212","详细")</f>
        <v>详细</v>
      </c>
    </row>
    <row r="382" spans="1:47">
      <c r="A382" s="100">
        <v>10041312</v>
      </c>
      <c r="B382" s="101">
        <v>110</v>
      </c>
      <c r="C382" s="102">
        <v>4</v>
      </c>
      <c r="D382" s="103" t="s">
        <v>1059</v>
      </c>
      <c r="F382" s="103" t="s">
        <v>49</v>
      </c>
      <c r="G382" s="103">
        <v>2</v>
      </c>
      <c r="H382" s="103">
        <v>2</v>
      </c>
      <c r="I382" s="104" t="s">
        <v>91</v>
      </c>
      <c r="J382" s="102" t="s">
        <v>184</v>
      </c>
      <c r="K382" s="102">
        <v>36</v>
      </c>
      <c r="L382" s="103">
        <v>0</v>
      </c>
      <c r="M382" s="104">
        <v>51</v>
      </c>
      <c r="N382" s="102">
        <v>54</v>
      </c>
      <c r="O382" s="102">
        <v>43</v>
      </c>
      <c r="P382" s="102">
        <v>60</v>
      </c>
      <c r="Q382" s="104">
        <f>_xlfn.FLOOR.MATH(30+0.35*B382)</f>
        <v>68</v>
      </c>
      <c r="R382" s="102">
        <f>_xlfn.FLOOR.MATH(13+0.16*B382)</f>
        <v>30</v>
      </c>
      <c r="S382" s="102">
        <f>_xlfn.FLOOR.MATH(34+0.3*B382)</f>
        <v>67</v>
      </c>
      <c r="T382" s="105">
        <f>_xlfn.FLOOR.MATH(33+0.52*B382)</f>
        <v>90</v>
      </c>
      <c r="U382" s="102">
        <v>22</v>
      </c>
      <c r="V382" s="102">
        <v>34</v>
      </c>
      <c r="W382" s="106" t="s">
        <v>158</v>
      </c>
      <c r="X382" s="106" t="s">
        <v>1060</v>
      </c>
      <c r="Y382" s="102" t="s">
        <v>127</v>
      </c>
      <c r="Z382" s="102" t="s">
        <v>128</v>
      </c>
      <c r="AA382" s="104" t="s">
        <v>173</v>
      </c>
      <c r="AB382" s="105">
        <v>9</v>
      </c>
      <c r="AC382" s="104">
        <v>3</v>
      </c>
      <c r="AD382" s="123" t="s">
        <v>916</v>
      </c>
      <c r="AE382" s="104">
        <v>30</v>
      </c>
      <c r="AF382" s="105">
        <v>35</v>
      </c>
      <c r="AG382" s="104">
        <v>1.1</v>
      </c>
      <c r="AH382" s="102">
        <v>2</v>
      </c>
      <c r="AI382" s="105">
        <v>0.7</v>
      </c>
      <c r="AJ382" s="104">
        <v>10</v>
      </c>
      <c r="AK382" s="102">
        <v>16</v>
      </c>
      <c r="AL382" s="102">
        <v>10</v>
      </c>
      <c r="AM382" s="105">
        <v>0</v>
      </c>
      <c r="AN382" s="104">
        <v>13</v>
      </c>
      <c r="AO382" s="102">
        <v>8</v>
      </c>
      <c r="AP382" s="102">
        <v>17</v>
      </c>
      <c r="AQ382" s="105">
        <v>15</v>
      </c>
      <c r="AU382" s="125" t="str">
        <f>HYPERLINK("http://www.jianrmod.cn/data/shipGetInfo.html?type=0&amp;cid=10041312","详细")</f>
        <v>详细</v>
      </c>
    </row>
    <row r="383" spans="1:46">
      <c r="A383" s="100">
        <v>10041411</v>
      </c>
      <c r="B383" s="101">
        <v>110</v>
      </c>
      <c r="C383" s="102">
        <v>4</v>
      </c>
      <c r="D383" s="103" t="s">
        <v>1061</v>
      </c>
      <c r="F383" s="103" t="s">
        <v>49</v>
      </c>
      <c r="G383" s="103">
        <v>1</v>
      </c>
      <c r="H383" s="103">
        <v>2</v>
      </c>
      <c r="I383" s="104" t="s">
        <v>50</v>
      </c>
      <c r="J383" s="102" t="s">
        <v>246</v>
      </c>
      <c r="K383" s="102">
        <v>14</v>
      </c>
      <c r="L383" s="103">
        <v>2</v>
      </c>
      <c r="M383" s="104">
        <v>29</v>
      </c>
      <c r="N383" s="102">
        <v>20</v>
      </c>
      <c r="O383" s="102">
        <v>70</v>
      </c>
      <c r="P383" s="102">
        <v>48</v>
      </c>
      <c r="Q383" s="104">
        <f>_xlfn.FLOOR.MATH(28+0.3*B383)</f>
        <v>61</v>
      </c>
      <c r="R383" s="102">
        <f>_xlfn.FLOOR.MATH(5+0.1*B383)</f>
        <v>16</v>
      </c>
      <c r="S383" s="102">
        <f>_xlfn.FLOOR.MATH(38+0.4*B383)</f>
        <v>82</v>
      </c>
      <c r="T383" s="105">
        <f>_xlfn.FLOOR.MATH(30+0.52*B383)</f>
        <v>87</v>
      </c>
      <c r="U383" s="102">
        <v>16</v>
      </c>
      <c r="V383" s="102">
        <v>36</v>
      </c>
      <c r="W383" s="106" t="s">
        <v>115</v>
      </c>
      <c r="Y383" s="102" t="s">
        <v>241</v>
      </c>
      <c r="Z383" s="102" t="s">
        <v>128</v>
      </c>
      <c r="AA383" s="104">
        <v>0</v>
      </c>
      <c r="AB383" s="105">
        <v>0</v>
      </c>
      <c r="AC383" s="104">
        <v>2</v>
      </c>
      <c r="AD383" s="123" t="s">
        <v>1062</v>
      </c>
      <c r="AE383" s="104">
        <v>10</v>
      </c>
      <c r="AF383" s="105">
        <v>25</v>
      </c>
      <c r="AG383" s="104">
        <v>0.48</v>
      </c>
      <c r="AH383" s="102">
        <v>0.9</v>
      </c>
      <c r="AI383" s="105">
        <v>0.45</v>
      </c>
      <c r="AJ383" s="104">
        <v>4</v>
      </c>
      <c r="AK383" s="102">
        <v>8</v>
      </c>
      <c r="AL383" s="102">
        <v>6</v>
      </c>
      <c r="AM383" s="105">
        <v>0</v>
      </c>
      <c r="AN383" s="104">
        <v>3</v>
      </c>
      <c r="AO383" s="102">
        <v>20</v>
      </c>
      <c r="AP383" s="102">
        <v>5</v>
      </c>
      <c r="AQ383" s="105">
        <v>0</v>
      </c>
      <c r="AT383" s="110">
        <v>0.0173611111111111</v>
      </c>
    </row>
    <row r="384" ht="26.4" spans="1:48">
      <c r="A384" s="100">
        <v>10041511</v>
      </c>
      <c r="B384" s="101">
        <v>110</v>
      </c>
      <c r="C384" s="102">
        <v>4</v>
      </c>
      <c r="D384" s="103" t="s">
        <v>1063</v>
      </c>
      <c r="F384" s="103" t="s">
        <v>49</v>
      </c>
      <c r="G384" s="103">
        <v>1</v>
      </c>
      <c r="H384" s="103">
        <v>2</v>
      </c>
      <c r="I384" s="104" t="s">
        <v>86</v>
      </c>
      <c r="J384" s="102" t="s">
        <v>246</v>
      </c>
      <c r="K384" s="102">
        <v>12</v>
      </c>
      <c r="L384" s="103">
        <v>0</v>
      </c>
      <c r="M384" s="104">
        <v>26</v>
      </c>
      <c r="N384" s="102">
        <v>21</v>
      </c>
      <c r="O384" s="102">
        <v>60</v>
      </c>
      <c r="P384" s="102">
        <v>51</v>
      </c>
      <c r="Q384" s="104">
        <f>_xlfn.FLOOR.MATH(60+0.55*B384)</f>
        <v>120</v>
      </c>
      <c r="R384" s="102">
        <f>_xlfn.FLOOR.MATH(6+0.1*B384)</f>
        <v>17</v>
      </c>
      <c r="S384" s="102">
        <f>_xlfn.FLOOR.MATH(32+0.4*B384)</f>
        <v>76</v>
      </c>
      <c r="T384" s="105">
        <f>_xlfn.FLOOR.MATH(30+0.52*B384)</f>
        <v>87</v>
      </c>
      <c r="U384" s="102">
        <v>20</v>
      </c>
      <c r="V384" s="102">
        <v>24</v>
      </c>
      <c r="W384" s="106" t="s">
        <v>115</v>
      </c>
      <c r="Y384" s="102" t="s">
        <v>241</v>
      </c>
      <c r="Z384" s="102" t="s">
        <v>128</v>
      </c>
      <c r="AA384" s="104">
        <v>0</v>
      </c>
      <c r="AB384" s="105">
        <v>0</v>
      </c>
      <c r="AC384" s="104">
        <v>2</v>
      </c>
      <c r="AD384" s="123" t="s">
        <v>1064</v>
      </c>
      <c r="AE384" s="104">
        <v>10</v>
      </c>
      <c r="AF384" s="105">
        <v>20</v>
      </c>
      <c r="AG384" s="104">
        <v>0.47</v>
      </c>
      <c r="AH384" s="102">
        <v>0.85</v>
      </c>
      <c r="AI384" s="105">
        <v>0.375</v>
      </c>
      <c r="AJ384" s="104">
        <v>4</v>
      </c>
      <c r="AK384" s="102">
        <v>8</v>
      </c>
      <c r="AL384" s="102">
        <v>6</v>
      </c>
      <c r="AM384" s="105">
        <v>0</v>
      </c>
      <c r="AN384" s="104">
        <v>0</v>
      </c>
      <c r="AO384" s="102">
        <v>10</v>
      </c>
      <c r="AP384" s="102">
        <v>6</v>
      </c>
      <c r="AQ384" s="105">
        <v>5</v>
      </c>
      <c r="AV384" s="112" t="s">
        <v>1057</v>
      </c>
    </row>
    <row r="385" ht="26.4" spans="1:48">
      <c r="A385" s="100">
        <v>10041611</v>
      </c>
      <c r="B385" s="101">
        <v>110</v>
      </c>
      <c r="C385" s="102">
        <v>5</v>
      </c>
      <c r="D385" s="103" t="s">
        <v>1065</v>
      </c>
      <c r="F385" s="103" t="s">
        <v>49</v>
      </c>
      <c r="G385" s="103">
        <v>2</v>
      </c>
      <c r="H385" s="103">
        <v>2</v>
      </c>
      <c r="I385" s="104" t="s">
        <v>326</v>
      </c>
      <c r="J385" s="102" t="s">
        <v>246</v>
      </c>
      <c r="K385" s="102">
        <v>28</v>
      </c>
      <c r="L385" s="103">
        <v>0</v>
      </c>
      <c r="M385" s="104">
        <v>41</v>
      </c>
      <c r="N385" s="102">
        <v>40</v>
      </c>
      <c r="O385" s="102">
        <v>75</v>
      </c>
      <c r="P385" s="102">
        <v>54</v>
      </c>
      <c r="Q385" s="104">
        <f>_xlfn.FLOOR.MATH(25+0.3*B385)</f>
        <v>58</v>
      </c>
      <c r="R385" s="102">
        <f>_xlfn.FLOOR.MATH(5+0.1*B385)</f>
        <v>16</v>
      </c>
      <c r="S385" s="102">
        <f>_xlfn.FLOOR.MATH(42+0.4*B385)</f>
        <v>86</v>
      </c>
      <c r="T385" s="105">
        <f>_xlfn.FLOOR.MATH(30+0.52*B385)</f>
        <v>87</v>
      </c>
      <c r="U385" s="102">
        <v>7</v>
      </c>
      <c r="V385" s="102">
        <v>38</v>
      </c>
      <c r="W385" s="106" t="s">
        <v>115</v>
      </c>
      <c r="Y385" s="102" t="s">
        <v>241</v>
      </c>
      <c r="Z385" s="102" t="s">
        <v>128</v>
      </c>
      <c r="AA385" s="104">
        <v>0</v>
      </c>
      <c r="AB385" s="105">
        <v>0</v>
      </c>
      <c r="AC385" s="104">
        <v>2</v>
      </c>
      <c r="AD385" s="123" t="s">
        <v>1066</v>
      </c>
      <c r="AE385" s="104">
        <v>15</v>
      </c>
      <c r="AF385" s="105">
        <v>25</v>
      </c>
      <c r="AG385" s="104">
        <v>0.5</v>
      </c>
      <c r="AH385" s="102">
        <v>0.9</v>
      </c>
      <c r="AI385" s="105">
        <v>0.55</v>
      </c>
      <c r="AJ385" s="104">
        <v>4</v>
      </c>
      <c r="AK385" s="102">
        <v>8</v>
      </c>
      <c r="AL385" s="102">
        <v>6</v>
      </c>
      <c r="AM385" s="105">
        <v>0</v>
      </c>
      <c r="AN385" s="104">
        <v>0</v>
      </c>
      <c r="AO385" s="102">
        <v>25</v>
      </c>
      <c r="AP385" s="102">
        <v>20</v>
      </c>
      <c r="AQ385" s="105">
        <v>0</v>
      </c>
      <c r="AV385" s="112" t="s">
        <v>1057</v>
      </c>
    </row>
    <row r="386" ht="26.4" spans="1:48">
      <c r="A386" s="100">
        <v>10041711</v>
      </c>
      <c r="B386" s="101">
        <v>110</v>
      </c>
      <c r="C386" s="102">
        <v>5</v>
      </c>
      <c r="D386" s="103" t="s">
        <v>1067</v>
      </c>
      <c r="F386" s="103" t="s">
        <v>49</v>
      </c>
      <c r="G386" s="103">
        <v>1</v>
      </c>
      <c r="H386" s="103">
        <v>2</v>
      </c>
      <c r="I386" s="104" t="s">
        <v>330</v>
      </c>
      <c r="J386" s="102" t="s">
        <v>246</v>
      </c>
      <c r="K386" s="102">
        <v>22</v>
      </c>
      <c r="L386" s="103">
        <v>2</v>
      </c>
      <c r="M386" s="104">
        <v>32</v>
      </c>
      <c r="N386" s="102">
        <v>22</v>
      </c>
      <c r="O386" s="102">
        <v>75</v>
      </c>
      <c r="P386" s="102">
        <v>48</v>
      </c>
      <c r="Q386" s="104">
        <f>_xlfn.FLOOR.MATH(30+0.3*B386)</f>
        <v>63</v>
      </c>
      <c r="R386" s="102">
        <f>_xlfn.FLOOR.MATH(8+0.1*B386)</f>
        <v>19</v>
      </c>
      <c r="S386" s="102">
        <f>_xlfn.FLOOR.MATH(54+0.4*B386)</f>
        <v>98</v>
      </c>
      <c r="T386" s="105">
        <f>_xlfn.FLOOR.MATH(30+0.52*B386)</f>
        <v>87</v>
      </c>
      <c r="U386" s="102">
        <v>20</v>
      </c>
      <c r="V386" s="102">
        <v>45</v>
      </c>
      <c r="W386" s="106" t="s">
        <v>115</v>
      </c>
      <c r="Y386" s="102" t="s">
        <v>241</v>
      </c>
      <c r="Z386" s="102" t="s">
        <v>128</v>
      </c>
      <c r="AA386" s="104">
        <v>0</v>
      </c>
      <c r="AB386" s="105">
        <v>0</v>
      </c>
      <c r="AC386" s="104">
        <v>2</v>
      </c>
      <c r="AD386" s="123" t="s">
        <v>335</v>
      </c>
      <c r="AE386" s="104">
        <v>20</v>
      </c>
      <c r="AF386" s="105">
        <v>25</v>
      </c>
      <c r="AG386" s="104">
        <v>0.64</v>
      </c>
      <c r="AH386" s="102">
        <v>0.9</v>
      </c>
      <c r="AI386" s="105">
        <v>0.5</v>
      </c>
      <c r="AJ386" s="104">
        <v>4</v>
      </c>
      <c r="AK386" s="102">
        <v>8</v>
      </c>
      <c r="AL386" s="102">
        <v>6</v>
      </c>
      <c r="AM386" s="105">
        <v>0</v>
      </c>
      <c r="AN386" s="104">
        <v>0</v>
      </c>
      <c r="AO386" s="102">
        <v>25</v>
      </c>
      <c r="AP386" s="102">
        <v>7</v>
      </c>
      <c r="AQ386" s="105">
        <v>0</v>
      </c>
      <c r="AT386" s="110">
        <v>0.0208333333333333</v>
      </c>
      <c r="AV386" s="112" t="s">
        <v>1068</v>
      </c>
    </row>
    <row r="387" ht="92.4" spans="1:46">
      <c r="A387" s="100">
        <v>10041813</v>
      </c>
      <c r="B387" s="101">
        <v>110</v>
      </c>
      <c r="C387" s="102">
        <v>5</v>
      </c>
      <c r="D387" s="103" t="s">
        <v>1069</v>
      </c>
      <c r="F387" s="103" t="s">
        <v>49</v>
      </c>
      <c r="G387" s="103">
        <v>5</v>
      </c>
      <c r="H387" s="103">
        <v>4</v>
      </c>
      <c r="I387" s="104" t="s">
        <v>50</v>
      </c>
      <c r="J387" s="102" t="s">
        <v>61</v>
      </c>
      <c r="K387" s="102">
        <v>64</v>
      </c>
      <c r="L387" s="103">
        <v>0</v>
      </c>
      <c r="M387" s="104">
        <v>87</v>
      </c>
      <c r="N387" s="102">
        <v>76</v>
      </c>
      <c r="O387" s="102">
        <v>0</v>
      </c>
      <c r="P387" s="102">
        <v>49</v>
      </c>
      <c r="Q387" s="104">
        <f>_xlfn.FLOOR.MATH(0+0*B387)</f>
        <v>0</v>
      </c>
      <c r="R387" s="102">
        <f>_xlfn.FLOOR.MATH(12+0.25*B387)</f>
        <v>39</v>
      </c>
      <c r="S387" s="102">
        <f>_xlfn.FLOOR.MATH(18+0.2*B387)</f>
        <v>40</v>
      </c>
      <c r="T387" s="105">
        <f>_xlfn.FLOOR.MATH(38+0.51*B387)</f>
        <v>94</v>
      </c>
      <c r="U387" s="102">
        <v>15</v>
      </c>
      <c r="V387" s="102">
        <v>22.5</v>
      </c>
      <c r="W387" s="106" t="s">
        <v>52</v>
      </c>
      <c r="Y387" s="102" t="s">
        <v>54</v>
      </c>
      <c r="Z387" s="102" t="s">
        <v>55</v>
      </c>
      <c r="AA387" s="104">
        <v>0</v>
      </c>
      <c r="AB387" s="105">
        <v>0</v>
      </c>
      <c r="AC387" s="104">
        <v>4</v>
      </c>
      <c r="AD387" s="123" t="s">
        <v>1070</v>
      </c>
      <c r="AE387" s="104">
        <v>65</v>
      </c>
      <c r="AF387" s="105">
        <v>120</v>
      </c>
      <c r="AG387" s="104">
        <v>2.9</v>
      </c>
      <c r="AH387" s="102">
        <v>5.3</v>
      </c>
      <c r="AI387" s="105">
        <v>0.75</v>
      </c>
      <c r="AJ387" s="104">
        <v>50</v>
      </c>
      <c r="AK387" s="102">
        <v>60</v>
      </c>
      <c r="AL387" s="102">
        <v>60</v>
      </c>
      <c r="AM387" s="105">
        <v>0</v>
      </c>
      <c r="AN387" s="104">
        <v>67</v>
      </c>
      <c r="AO387" s="102">
        <v>0</v>
      </c>
      <c r="AP387" s="102">
        <v>56</v>
      </c>
      <c r="AQ387" s="105">
        <v>10</v>
      </c>
      <c r="AR387" s="108" t="s">
        <v>1071</v>
      </c>
      <c r="AT387" s="110">
        <v>0.222222222222222</v>
      </c>
    </row>
    <row r="388" spans="1:46">
      <c r="A388" s="100">
        <v>10041912</v>
      </c>
      <c r="B388" s="101">
        <v>110</v>
      </c>
      <c r="C388" s="102">
        <v>4</v>
      </c>
      <c r="D388" s="103" t="s">
        <v>1072</v>
      </c>
      <c r="F388" s="103" t="s">
        <v>49</v>
      </c>
      <c r="G388" s="103">
        <v>1</v>
      </c>
      <c r="H388" s="103">
        <v>3</v>
      </c>
      <c r="I388" s="104" t="s">
        <v>86</v>
      </c>
      <c r="J388" s="102" t="s">
        <v>125</v>
      </c>
      <c r="K388" s="102">
        <v>40</v>
      </c>
      <c r="L388" s="103">
        <v>0</v>
      </c>
      <c r="M388" s="104">
        <v>20</v>
      </c>
      <c r="N388" s="102">
        <v>30</v>
      </c>
      <c r="O388" s="102">
        <v>0</v>
      </c>
      <c r="P388" s="102">
        <v>70</v>
      </c>
      <c r="Q388" s="104">
        <f>_xlfn.FLOOR.MATH(0+0*B388)</f>
        <v>0</v>
      </c>
      <c r="R388" s="102">
        <f>_xlfn.FLOOR.MATH(36+0.25*B388)</f>
        <v>63</v>
      </c>
      <c r="S388" s="102">
        <f>_xlfn.FLOOR.MATH(15+0.2*B388)</f>
        <v>37</v>
      </c>
      <c r="T388" s="105">
        <f>_xlfn.FLOOR.MATH(34+0.51*B388)</f>
        <v>90</v>
      </c>
      <c r="U388" s="102">
        <v>20</v>
      </c>
      <c r="V388" s="102">
        <v>18</v>
      </c>
      <c r="W388" s="106" t="s">
        <v>115</v>
      </c>
      <c r="Y388" s="102" t="s">
        <v>127</v>
      </c>
      <c r="Z388" s="102" t="s">
        <v>128</v>
      </c>
      <c r="AA388" s="104" t="s">
        <v>1073</v>
      </c>
      <c r="AB388" s="105">
        <v>31</v>
      </c>
      <c r="AC388" s="104">
        <v>3</v>
      </c>
      <c r="AD388" s="123" t="s">
        <v>1074</v>
      </c>
      <c r="AE388" s="104">
        <v>40</v>
      </c>
      <c r="AF388" s="105">
        <v>40</v>
      </c>
      <c r="AG388" s="104">
        <v>1.3</v>
      </c>
      <c r="AH388" s="102">
        <v>2.4</v>
      </c>
      <c r="AI388" s="105">
        <v>0.625</v>
      </c>
      <c r="AJ388" s="104">
        <v>20</v>
      </c>
      <c r="AK388" s="102">
        <v>30</v>
      </c>
      <c r="AL388" s="102">
        <v>50</v>
      </c>
      <c r="AM388" s="105">
        <v>20</v>
      </c>
      <c r="AN388" s="104">
        <v>0</v>
      </c>
      <c r="AO388" s="102">
        <v>0</v>
      </c>
      <c r="AP388" s="102">
        <v>5</v>
      </c>
      <c r="AQ388" s="105">
        <v>49</v>
      </c>
      <c r="AT388" s="110">
        <v>0.111111111111111</v>
      </c>
    </row>
    <row r="389" ht="92.4" spans="1:48">
      <c r="A389" s="100">
        <v>10042012</v>
      </c>
      <c r="B389" s="101">
        <v>110</v>
      </c>
      <c r="C389" s="102">
        <v>4</v>
      </c>
      <c r="D389" s="103" t="s">
        <v>1075</v>
      </c>
      <c r="F389" s="103" t="s">
        <v>49</v>
      </c>
      <c r="G389" s="103">
        <v>1</v>
      </c>
      <c r="H389" s="103">
        <v>2</v>
      </c>
      <c r="I389" s="104" t="s">
        <v>50</v>
      </c>
      <c r="J389" s="102" t="s">
        <v>184</v>
      </c>
      <c r="K389" s="102">
        <v>28</v>
      </c>
      <c r="L389" s="103">
        <v>0</v>
      </c>
      <c r="M389" s="104">
        <v>52</v>
      </c>
      <c r="N389" s="102">
        <v>46</v>
      </c>
      <c r="O389" s="102">
        <v>50</v>
      </c>
      <c r="P389" s="102">
        <v>90</v>
      </c>
      <c r="Q389" s="104">
        <f>_xlfn.FLOOR.MATH(38+0.4*B389)</f>
        <v>82</v>
      </c>
      <c r="R389" s="102">
        <f>_xlfn.FLOOR.MATH(11+0.1*B389)</f>
        <v>22</v>
      </c>
      <c r="S389" s="102">
        <f>_xlfn.FLOOR.MATH(31+0.35*B389)</f>
        <v>69</v>
      </c>
      <c r="T389" s="105">
        <f>_xlfn.FLOOR.MATH(35+0.52*B389)</f>
        <v>92</v>
      </c>
      <c r="U389" s="102">
        <v>20</v>
      </c>
      <c r="V389" s="102">
        <v>32</v>
      </c>
      <c r="W389" s="106" t="s">
        <v>158</v>
      </c>
      <c r="Y389" s="102" t="s">
        <v>127</v>
      </c>
      <c r="Z389" s="102" t="s">
        <v>128</v>
      </c>
      <c r="AA389" s="104">
        <v>0</v>
      </c>
      <c r="AB389" s="105">
        <v>0</v>
      </c>
      <c r="AC389" s="104">
        <v>3</v>
      </c>
      <c r="AD389" s="123" t="s">
        <v>1056</v>
      </c>
      <c r="AE389" s="104">
        <v>20</v>
      </c>
      <c r="AF389" s="105">
        <v>30</v>
      </c>
      <c r="AG389" s="104">
        <v>0.96</v>
      </c>
      <c r="AH389" s="102">
        <v>1.8</v>
      </c>
      <c r="AI389" s="105">
        <v>0.5</v>
      </c>
      <c r="AJ389" s="104">
        <v>10</v>
      </c>
      <c r="AK389" s="102">
        <v>16</v>
      </c>
      <c r="AL389" s="102">
        <v>10</v>
      </c>
      <c r="AM389" s="105">
        <v>0</v>
      </c>
      <c r="AN389" s="104">
        <v>15</v>
      </c>
      <c r="AO389" s="102">
        <v>10</v>
      </c>
      <c r="AP389" s="102">
        <v>11</v>
      </c>
      <c r="AQ389" s="105">
        <v>49</v>
      </c>
      <c r="AR389" s="108" t="s">
        <v>1076</v>
      </c>
      <c r="AV389" s="112" t="s">
        <v>1077</v>
      </c>
    </row>
    <row r="390" spans="1:47">
      <c r="A390" s="100">
        <v>10042112</v>
      </c>
      <c r="B390" s="101">
        <v>110</v>
      </c>
      <c r="C390" s="102">
        <v>4</v>
      </c>
      <c r="D390" s="103" t="s">
        <v>1078</v>
      </c>
      <c r="F390" s="103" t="s">
        <v>49</v>
      </c>
      <c r="G390" s="103">
        <v>2</v>
      </c>
      <c r="H390" s="103">
        <v>2</v>
      </c>
      <c r="I390" s="104" t="s">
        <v>86</v>
      </c>
      <c r="J390" s="102" t="s">
        <v>184</v>
      </c>
      <c r="K390" s="102">
        <v>32</v>
      </c>
      <c r="L390" s="103">
        <v>0</v>
      </c>
      <c r="M390" s="104">
        <v>62</v>
      </c>
      <c r="N390" s="102">
        <v>54</v>
      </c>
      <c r="O390" s="102">
        <v>0</v>
      </c>
      <c r="P390" s="102">
        <v>91</v>
      </c>
      <c r="Q390" s="104">
        <f>_xlfn.FLOOR.MATH(35+0.3*B390)</f>
        <v>68</v>
      </c>
      <c r="R390" s="102">
        <f>_xlfn.FLOOR.MATH(12+0.1*B390)</f>
        <v>23</v>
      </c>
      <c r="S390" s="102">
        <f>_xlfn.FLOOR.MATH(31+0.35*B390)</f>
        <v>69</v>
      </c>
      <c r="T390" s="105">
        <f>_xlfn.FLOOR.MATH(34+0.5*B390)</f>
        <v>89</v>
      </c>
      <c r="U390" s="102">
        <v>20</v>
      </c>
      <c r="V390" s="102">
        <v>32.5</v>
      </c>
      <c r="W390" s="106" t="s">
        <v>158</v>
      </c>
      <c r="Y390" s="102" t="s">
        <v>127</v>
      </c>
      <c r="Z390" s="102" t="s">
        <v>128</v>
      </c>
      <c r="AA390" s="104" t="s">
        <v>173</v>
      </c>
      <c r="AB390" s="105">
        <v>9</v>
      </c>
      <c r="AC390" s="104">
        <v>3</v>
      </c>
      <c r="AD390" s="123" t="s">
        <v>982</v>
      </c>
      <c r="AE390" s="104">
        <v>30</v>
      </c>
      <c r="AF390" s="105">
        <v>35</v>
      </c>
      <c r="AG390" s="104">
        <v>0.8</v>
      </c>
      <c r="AH390" s="102">
        <v>1.5</v>
      </c>
      <c r="AI390" s="105">
        <v>0.4</v>
      </c>
      <c r="AJ390" s="104">
        <v>10</v>
      </c>
      <c r="AK390" s="102">
        <v>16</v>
      </c>
      <c r="AL390" s="102">
        <v>10</v>
      </c>
      <c r="AM390" s="105">
        <v>0</v>
      </c>
      <c r="AN390" s="104">
        <v>16</v>
      </c>
      <c r="AO390" s="102">
        <v>0</v>
      </c>
      <c r="AP390" s="102">
        <v>15</v>
      </c>
      <c r="AQ390" s="105">
        <v>62</v>
      </c>
      <c r="AT390" s="110">
        <v>0.0416666666666667</v>
      </c>
      <c r="AU390" s="125"/>
    </row>
    <row r="391" ht="52.8" spans="1:47">
      <c r="A391" s="100">
        <v>10042212</v>
      </c>
      <c r="B391" s="101">
        <v>110</v>
      </c>
      <c r="C391" s="102">
        <v>4</v>
      </c>
      <c r="D391" s="103" t="s">
        <v>1079</v>
      </c>
      <c r="F391" s="103" t="s">
        <v>49</v>
      </c>
      <c r="G391" s="103">
        <v>2</v>
      </c>
      <c r="H391" s="103">
        <v>2</v>
      </c>
      <c r="I391" s="104" t="s">
        <v>86</v>
      </c>
      <c r="J391" s="102" t="s">
        <v>184</v>
      </c>
      <c r="K391" s="102">
        <v>33</v>
      </c>
      <c r="L391" s="103">
        <v>-1</v>
      </c>
      <c r="M391" s="104">
        <v>62</v>
      </c>
      <c r="N391" s="102">
        <v>52</v>
      </c>
      <c r="O391" s="102">
        <v>0</v>
      </c>
      <c r="P391" s="102">
        <v>86</v>
      </c>
      <c r="Q391" s="104">
        <f>_xlfn.FLOOR.MATH(30+0.3*B391)</f>
        <v>63</v>
      </c>
      <c r="R391" s="102">
        <f>_xlfn.FLOOR.MATH(12+0.1*B391)</f>
        <v>23</v>
      </c>
      <c r="S391" s="102">
        <f>_xlfn.FLOOR.MATH(34+0.35*B391)</f>
        <v>72</v>
      </c>
      <c r="T391" s="105">
        <f>_xlfn.FLOOR.MATH(34+0.5*B391)</f>
        <v>89</v>
      </c>
      <c r="U391" s="102">
        <v>22</v>
      </c>
      <c r="V391" s="102">
        <v>31.5</v>
      </c>
      <c r="W391" s="106" t="s">
        <v>158</v>
      </c>
      <c r="Y391" s="102" t="s">
        <v>127</v>
      </c>
      <c r="Z391" s="102" t="s">
        <v>128</v>
      </c>
      <c r="AA391" s="104" t="s">
        <v>173</v>
      </c>
      <c r="AB391" s="105">
        <v>9</v>
      </c>
      <c r="AC391" s="104">
        <v>3</v>
      </c>
      <c r="AD391" s="123" t="s">
        <v>1080</v>
      </c>
      <c r="AE391" s="104">
        <v>30</v>
      </c>
      <c r="AF391" s="105">
        <v>35</v>
      </c>
      <c r="AG391" s="104">
        <v>0.8</v>
      </c>
      <c r="AH391" s="102">
        <v>1.5</v>
      </c>
      <c r="AI391" s="105">
        <v>0.4</v>
      </c>
      <c r="AJ391" s="104">
        <v>10</v>
      </c>
      <c r="AK391" s="102">
        <v>16</v>
      </c>
      <c r="AL391" s="102">
        <v>10</v>
      </c>
      <c r="AM391" s="105">
        <v>0</v>
      </c>
      <c r="AN391" s="104">
        <v>16</v>
      </c>
      <c r="AO391" s="102">
        <v>0</v>
      </c>
      <c r="AP391" s="102">
        <v>14</v>
      </c>
      <c r="AQ391" s="105">
        <v>49</v>
      </c>
      <c r="AR391" s="108" t="s">
        <v>1081</v>
      </c>
      <c r="AU391" s="125" t="str">
        <f>HYPERLINK("http://www.jianrmod.cn/data/shipGetInfo.html?type=0&amp;cid=10042212","详细")</f>
        <v>详细</v>
      </c>
    </row>
    <row r="392" ht="26.4" spans="1:48">
      <c r="A392" s="100">
        <v>10042311</v>
      </c>
      <c r="B392" s="101">
        <v>110</v>
      </c>
      <c r="C392" s="102">
        <v>4</v>
      </c>
      <c r="D392" s="103" t="s">
        <v>1082</v>
      </c>
      <c r="F392" s="103" t="s">
        <v>49</v>
      </c>
      <c r="G392" s="103">
        <v>1</v>
      </c>
      <c r="H392" s="103">
        <v>2</v>
      </c>
      <c r="I392" s="104" t="s">
        <v>50</v>
      </c>
      <c r="J392" s="102" t="s">
        <v>246</v>
      </c>
      <c r="K392" s="102">
        <v>13</v>
      </c>
      <c r="L392" s="103">
        <v>-1</v>
      </c>
      <c r="M392" s="104">
        <v>28</v>
      </c>
      <c r="N392" s="102">
        <v>19</v>
      </c>
      <c r="O392" s="102">
        <v>55</v>
      </c>
      <c r="P392" s="102">
        <v>47</v>
      </c>
      <c r="Q392" s="104">
        <f>_xlfn.FLOOR.MATH(61+0.55*B392)</f>
        <v>121</v>
      </c>
      <c r="R392" s="102">
        <f>_xlfn.FLOOR.MATH(4+0.1*B392)</f>
        <v>15</v>
      </c>
      <c r="S392" s="102">
        <f>_xlfn.FLOOR.MATH(33+0.39*B392)</f>
        <v>75</v>
      </c>
      <c r="T392" s="105">
        <f>_xlfn.FLOOR.MATH(30+0.52*B392)</f>
        <v>87</v>
      </c>
      <c r="U392" s="102">
        <v>24</v>
      </c>
      <c r="V392" s="102">
        <v>20</v>
      </c>
      <c r="W392" s="106" t="s">
        <v>115</v>
      </c>
      <c r="Y392" s="102" t="s">
        <v>241</v>
      </c>
      <c r="Z392" s="102" t="s">
        <v>128</v>
      </c>
      <c r="AA392" s="104">
        <v>0</v>
      </c>
      <c r="AB392" s="105">
        <v>0</v>
      </c>
      <c r="AC392" s="104">
        <v>2</v>
      </c>
      <c r="AD392" s="123" t="s">
        <v>1083</v>
      </c>
      <c r="AE392" s="104">
        <v>10</v>
      </c>
      <c r="AF392" s="105">
        <v>25</v>
      </c>
      <c r="AG392" s="104">
        <v>0.48</v>
      </c>
      <c r="AH392" s="102">
        <v>0.9</v>
      </c>
      <c r="AI392" s="105">
        <v>0.5</v>
      </c>
      <c r="AJ392" s="104">
        <v>4</v>
      </c>
      <c r="AK392" s="102">
        <v>8</v>
      </c>
      <c r="AL392" s="102">
        <v>6</v>
      </c>
      <c r="AM392" s="105">
        <v>0</v>
      </c>
      <c r="AN392" s="104">
        <v>3</v>
      </c>
      <c r="AO392" s="102">
        <v>5</v>
      </c>
      <c r="AP392" s="102">
        <v>4</v>
      </c>
      <c r="AQ392" s="105">
        <v>0</v>
      </c>
      <c r="AV392" s="112" t="s">
        <v>1084</v>
      </c>
    </row>
    <row r="393" spans="1:47">
      <c r="A393" s="100">
        <v>10042411</v>
      </c>
      <c r="B393" s="101">
        <v>110</v>
      </c>
      <c r="C393" s="102">
        <v>4</v>
      </c>
      <c r="D393" s="103" t="s">
        <v>1085</v>
      </c>
      <c r="F393" s="103" t="s">
        <v>49</v>
      </c>
      <c r="G393" s="103">
        <v>1</v>
      </c>
      <c r="H393" s="103">
        <v>2</v>
      </c>
      <c r="I393" s="104" t="s">
        <v>86</v>
      </c>
      <c r="J393" s="102" t="s">
        <v>246</v>
      </c>
      <c r="K393" s="102">
        <v>20</v>
      </c>
      <c r="L393" s="103">
        <v>0</v>
      </c>
      <c r="M393" s="104">
        <v>30</v>
      </c>
      <c r="N393" s="102">
        <v>25</v>
      </c>
      <c r="O393" s="102">
        <v>70</v>
      </c>
      <c r="P393" s="102">
        <v>78</v>
      </c>
      <c r="Q393" s="104">
        <f>_xlfn.FLOOR.MATH(38+0.4*B393)</f>
        <v>82</v>
      </c>
      <c r="R393" s="102">
        <f>_xlfn.FLOOR.MATH(10+0.1*B393)</f>
        <v>21</v>
      </c>
      <c r="S393" s="102">
        <f>_xlfn.FLOOR.MATH(49+0.4*B393)</f>
        <v>93</v>
      </c>
      <c r="T393" s="105">
        <f>_xlfn.FLOOR.MATH(30+0.52*B393)</f>
        <v>87</v>
      </c>
      <c r="U393" s="102">
        <v>10</v>
      </c>
      <c r="V393" s="102">
        <v>43</v>
      </c>
      <c r="W393" s="106" t="s">
        <v>115</v>
      </c>
      <c r="Y393" s="102" t="s">
        <v>241</v>
      </c>
      <c r="Z393" s="102" t="s">
        <v>128</v>
      </c>
      <c r="AA393" s="104">
        <v>0</v>
      </c>
      <c r="AB393" s="105">
        <v>0</v>
      </c>
      <c r="AC393" s="104">
        <v>2</v>
      </c>
      <c r="AD393" s="123" t="s">
        <v>916</v>
      </c>
      <c r="AE393" s="104">
        <v>15</v>
      </c>
      <c r="AF393" s="105">
        <v>25</v>
      </c>
      <c r="AG393" s="104">
        <v>0.5</v>
      </c>
      <c r="AH393" s="102">
        <v>0.9</v>
      </c>
      <c r="AI393" s="105">
        <v>0.375</v>
      </c>
      <c r="AJ393" s="104">
        <v>4</v>
      </c>
      <c r="AK393" s="102">
        <v>8</v>
      </c>
      <c r="AL393" s="102">
        <v>6</v>
      </c>
      <c r="AM393" s="105">
        <v>0</v>
      </c>
      <c r="AN393" s="104">
        <v>0</v>
      </c>
      <c r="AO393" s="102">
        <v>20</v>
      </c>
      <c r="AP393" s="102">
        <v>10</v>
      </c>
      <c r="AQ393" s="105">
        <v>18</v>
      </c>
      <c r="AT393" s="110">
        <v>0.0173611111111111</v>
      </c>
      <c r="AU393" s="125"/>
    </row>
    <row r="394" spans="1:47">
      <c r="A394" s="100">
        <v>10042511</v>
      </c>
      <c r="B394" s="101">
        <v>110</v>
      </c>
      <c r="C394" s="102">
        <v>4</v>
      </c>
      <c r="D394" s="103" t="s">
        <v>1086</v>
      </c>
      <c r="F394" s="103" t="s">
        <v>49</v>
      </c>
      <c r="G394" s="103">
        <v>1</v>
      </c>
      <c r="H394" s="103">
        <v>2</v>
      </c>
      <c r="I394" s="104" t="s">
        <v>86</v>
      </c>
      <c r="J394" s="102" t="s">
        <v>246</v>
      </c>
      <c r="K394" s="102">
        <v>16</v>
      </c>
      <c r="L394" s="103">
        <v>0</v>
      </c>
      <c r="M394" s="104">
        <v>29</v>
      </c>
      <c r="N394" s="102">
        <v>22</v>
      </c>
      <c r="O394" s="102">
        <v>74</v>
      </c>
      <c r="P394" s="102">
        <v>49</v>
      </c>
      <c r="Q394" s="104">
        <f>_xlfn.FLOOR.MATH(25+0.3*B394)</f>
        <v>58</v>
      </c>
      <c r="R394" s="102">
        <f>_xlfn.FLOOR.MATH(6+0.1*B394)</f>
        <v>17</v>
      </c>
      <c r="S394" s="102">
        <f>_xlfn.FLOOR.MATH(37+0.4*B394)</f>
        <v>81</v>
      </c>
      <c r="T394" s="105">
        <f>_xlfn.FLOOR.MATH(30+0.52*B394)</f>
        <v>87</v>
      </c>
      <c r="U394" s="102">
        <v>23</v>
      </c>
      <c r="V394" s="102">
        <v>37</v>
      </c>
      <c r="W394" s="106" t="s">
        <v>115</v>
      </c>
      <c r="Y394" s="102" t="s">
        <v>241</v>
      </c>
      <c r="Z394" s="102" t="s">
        <v>128</v>
      </c>
      <c r="AA394" s="104">
        <v>0</v>
      </c>
      <c r="AB394" s="105">
        <v>0</v>
      </c>
      <c r="AC394" s="104">
        <v>2</v>
      </c>
      <c r="AD394" s="123" t="s">
        <v>524</v>
      </c>
      <c r="AE394" s="104">
        <v>15</v>
      </c>
      <c r="AF394" s="105">
        <v>25</v>
      </c>
      <c r="AG394" s="104">
        <v>0.48</v>
      </c>
      <c r="AH394" s="102">
        <v>0.9</v>
      </c>
      <c r="AI394" s="105">
        <v>0.4</v>
      </c>
      <c r="AJ394" s="104">
        <v>4</v>
      </c>
      <c r="AK394" s="102">
        <v>8</v>
      </c>
      <c r="AL394" s="102">
        <v>6</v>
      </c>
      <c r="AM394" s="105">
        <v>0</v>
      </c>
      <c r="AN394" s="104">
        <v>0</v>
      </c>
      <c r="AO394" s="102">
        <v>24</v>
      </c>
      <c r="AP394" s="102">
        <v>7</v>
      </c>
      <c r="AQ394" s="105">
        <v>4</v>
      </c>
      <c r="AU394" s="125" t="str">
        <f>HYPERLINK("http://www.jianrmod.cn/data/shipGetInfo.html?type=0&amp;cid=10042511","详细")</f>
        <v>详细</v>
      </c>
    </row>
    <row r="395" ht="79.2" spans="1:48">
      <c r="A395" s="100">
        <v>10042613</v>
      </c>
      <c r="B395" s="101">
        <v>110</v>
      </c>
      <c r="C395" s="102">
        <v>5</v>
      </c>
      <c r="D395" s="103" t="s">
        <v>1087</v>
      </c>
      <c r="F395" s="103" t="s">
        <v>49</v>
      </c>
      <c r="G395" s="103">
        <v>3</v>
      </c>
      <c r="H395" s="103">
        <v>4</v>
      </c>
      <c r="I395" s="104" t="s">
        <v>73</v>
      </c>
      <c r="J395" s="102" t="s">
        <v>114</v>
      </c>
      <c r="K395" s="102">
        <v>52</v>
      </c>
      <c r="L395" s="103">
        <v>0</v>
      </c>
      <c r="M395" s="104">
        <v>40</v>
      </c>
      <c r="N395" s="102">
        <v>57</v>
      </c>
      <c r="O395" s="102">
        <v>0</v>
      </c>
      <c r="P395" s="102">
        <v>62</v>
      </c>
      <c r="Q395" s="104">
        <f>_xlfn.FLOOR.MATH(0+0*B395)</f>
        <v>0</v>
      </c>
      <c r="R395" s="102">
        <f>_xlfn.FLOOR.MATH(38+0.25*B395)</f>
        <v>65</v>
      </c>
      <c r="S395" s="102">
        <f>_xlfn.FLOOR.MATH(32+0.2*B395)</f>
        <v>54</v>
      </c>
      <c r="T395" s="105">
        <f>_xlfn.FLOOR.MATH(36+0.54*B395)</f>
        <v>95</v>
      </c>
      <c r="U395" s="102">
        <v>5</v>
      </c>
      <c r="V395" s="102">
        <v>35</v>
      </c>
      <c r="W395" s="106" t="s">
        <v>115</v>
      </c>
      <c r="Y395" s="102" t="s">
        <v>54</v>
      </c>
      <c r="Z395" s="102" t="s">
        <v>55</v>
      </c>
      <c r="AA395" s="104" t="s">
        <v>1088</v>
      </c>
      <c r="AB395" s="105">
        <v>62</v>
      </c>
      <c r="AC395" s="104">
        <v>4</v>
      </c>
      <c r="AD395" s="123" t="s">
        <v>1089</v>
      </c>
      <c r="AE395" s="104">
        <v>50</v>
      </c>
      <c r="AF395" s="105">
        <v>60</v>
      </c>
      <c r="AG395" s="104">
        <v>2.08</v>
      </c>
      <c r="AH395" s="102">
        <v>4.3</v>
      </c>
      <c r="AI395" s="105">
        <v>1</v>
      </c>
      <c r="AJ395" s="104">
        <v>30</v>
      </c>
      <c r="AK395" s="102">
        <v>40</v>
      </c>
      <c r="AL395" s="102">
        <v>60</v>
      </c>
      <c r="AM395" s="105">
        <v>40</v>
      </c>
      <c r="AN395" s="104">
        <v>0</v>
      </c>
      <c r="AO395" s="102">
        <v>0</v>
      </c>
      <c r="AP395" s="102">
        <v>19</v>
      </c>
      <c r="AQ395" s="105">
        <v>32</v>
      </c>
      <c r="AR395" s="108" t="s">
        <v>1090</v>
      </c>
      <c r="AV395" s="112" t="s">
        <v>1091</v>
      </c>
    </row>
    <row r="396" spans="1:48">
      <c r="A396" s="100">
        <v>10042712</v>
      </c>
      <c r="B396" s="101">
        <v>110</v>
      </c>
      <c r="C396" s="102">
        <v>4</v>
      </c>
      <c r="D396" s="103" t="s">
        <v>1092</v>
      </c>
      <c r="F396" s="103" t="s">
        <v>49</v>
      </c>
      <c r="G396" s="103">
        <v>2</v>
      </c>
      <c r="H396" s="103">
        <v>2</v>
      </c>
      <c r="I396" s="104" t="s">
        <v>86</v>
      </c>
      <c r="J396" s="102" t="s">
        <v>125</v>
      </c>
      <c r="K396" s="102">
        <v>40</v>
      </c>
      <c r="L396" s="103">
        <v>0</v>
      </c>
      <c r="M396" s="104">
        <v>20</v>
      </c>
      <c r="N396" s="102">
        <v>42</v>
      </c>
      <c r="O396" s="102">
        <v>0</v>
      </c>
      <c r="P396" s="102">
        <v>83</v>
      </c>
      <c r="Q396" s="104">
        <f>_xlfn.FLOOR.MATH(0+0*B396)</f>
        <v>0</v>
      </c>
      <c r="R396" s="102">
        <f>_xlfn.FLOOR.MATH(39+0.25*B396)</f>
        <v>66</v>
      </c>
      <c r="S396" s="102">
        <f>_xlfn.FLOOR.MATH(32+0.2*B396)</f>
        <v>54</v>
      </c>
      <c r="T396" s="105">
        <f>_xlfn.FLOOR.MATH(33+0.51*B396)</f>
        <v>89</v>
      </c>
      <c r="U396" s="102">
        <v>15</v>
      </c>
      <c r="V396" s="102">
        <v>32</v>
      </c>
      <c r="W396" s="106" t="s">
        <v>115</v>
      </c>
      <c r="Y396" s="102" t="s">
        <v>127</v>
      </c>
      <c r="Z396" s="102" t="s">
        <v>128</v>
      </c>
      <c r="AA396" s="104" t="s">
        <v>1093</v>
      </c>
      <c r="AB396" s="105">
        <v>50</v>
      </c>
      <c r="AC396" s="104">
        <v>3</v>
      </c>
      <c r="AD396" s="123" t="s">
        <v>1094</v>
      </c>
      <c r="AE396" s="104">
        <v>40</v>
      </c>
      <c r="AF396" s="105">
        <v>40</v>
      </c>
      <c r="AG396" s="104">
        <v>1.28</v>
      </c>
      <c r="AH396" s="102">
        <v>2.4</v>
      </c>
      <c r="AI396" s="105">
        <v>0.65</v>
      </c>
      <c r="AJ396" s="104">
        <v>20</v>
      </c>
      <c r="AK396" s="102">
        <v>30</v>
      </c>
      <c r="AL396" s="102">
        <v>50</v>
      </c>
      <c r="AM396" s="105">
        <v>20</v>
      </c>
      <c r="AN396" s="104">
        <v>0</v>
      </c>
      <c r="AO396" s="102">
        <v>0</v>
      </c>
      <c r="AP396" s="102">
        <v>11</v>
      </c>
      <c r="AQ396" s="105">
        <v>76</v>
      </c>
      <c r="AV396" s="112" t="s">
        <v>1095</v>
      </c>
    </row>
    <row r="397" spans="1:48">
      <c r="A397" s="100">
        <v>10042811</v>
      </c>
      <c r="B397" s="101">
        <v>110</v>
      </c>
      <c r="C397" s="102">
        <v>5</v>
      </c>
      <c r="D397" s="103" t="s">
        <v>1096</v>
      </c>
      <c r="F397" s="103" t="s">
        <v>49</v>
      </c>
      <c r="G397" s="103">
        <v>1</v>
      </c>
      <c r="H397" s="103">
        <v>2</v>
      </c>
      <c r="I397" s="104" t="s">
        <v>86</v>
      </c>
      <c r="J397" s="102" t="s">
        <v>246</v>
      </c>
      <c r="K397" s="102">
        <v>17</v>
      </c>
      <c r="L397" s="103">
        <v>-1</v>
      </c>
      <c r="M397" s="104">
        <v>28</v>
      </c>
      <c r="N397" s="102">
        <v>22</v>
      </c>
      <c r="O397" s="102">
        <v>73</v>
      </c>
      <c r="P397" s="102">
        <v>54</v>
      </c>
      <c r="Q397" s="104">
        <f>_xlfn.FLOOR.MATH(35+0.4*B397)</f>
        <v>79</v>
      </c>
      <c r="R397" s="102">
        <f>_xlfn.FLOOR.MATH(7+0.1*B397)</f>
        <v>18</v>
      </c>
      <c r="S397" s="102">
        <f>_xlfn.FLOOR.MATH(40+0.4*B397)</f>
        <v>84</v>
      </c>
      <c r="T397" s="105">
        <f>_xlfn.FLOOR.MATH(30+0.52*B397)</f>
        <v>87</v>
      </c>
      <c r="U397" s="102">
        <v>52</v>
      </c>
      <c r="V397" s="102">
        <v>37</v>
      </c>
      <c r="W397" s="106" t="s">
        <v>115</v>
      </c>
      <c r="Y397" s="102" t="s">
        <v>241</v>
      </c>
      <c r="Z397" s="102" t="s">
        <v>128</v>
      </c>
      <c r="AA397" s="104">
        <v>0</v>
      </c>
      <c r="AB397" s="105">
        <v>0</v>
      </c>
      <c r="AC397" s="104">
        <v>2</v>
      </c>
      <c r="AD397" s="123" t="s">
        <v>316</v>
      </c>
      <c r="AE397" s="104">
        <v>15</v>
      </c>
      <c r="AF397" s="105">
        <v>25</v>
      </c>
      <c r="AG397" s="104">
        <v>0.48</v>
      </c>
      <c r="AH397" s="102">
        <v>0.9</v>
      </c>
      <c r="AI397" s="105">
        <v>0.4</v>
      </c>
      <c r="AJ397" s="104">
        <v>4</v>
      </c>
      <c r="AK397" s="102">
        <v>8</v>
      </c>
      <c r="AL397" s="102">
        <v>6</v>
      </c>
      <c r="AM397" s="105">
        <v>0</v>
      </c>
      <c r="AN397" s="104">
        <v>0</v>
      </c>
      <c r="AO397" s="102">
        <v>23</v>
      </c>
      <c r="AP397" s="102">
        <v>7</v>
      </c>
      <c r="AQ397" s="105">
        <v>5</v>
      </c>
      <c r="AU397" s="125"/>
      <c r="AV397" s="112" t="s">
        <v>983</v>
      </c>
    </row>
    <row r="398" spans="1:47">
      <c r="A398" s="100">
        <v>10042911</v>
      </c>
      <c r="B398" s="101">
        <v>110</v>
      </c>
      <c r="C398" s="102">
        <v>4</v>
      </c>
      <c r="D398" s="103" t="s">
        <v>1097</v>
      </c>
      <c r="F398" s="103" t="s">
        <v>49</v>
      </c>
      <c r="G398" s="103">
        <v>1</v>
      </c>
      <c r="H398" s="103">
        <v>2</v>
      </c>
      <c r="I398" s="104" t="s">
        <v>330</v>
      </c>
      <c r="J398" s="102" t="s">
        <v>246</v>
      </c>
      <c r="K398" s="102">
        <v>24</v>
      </c>
      <c r="L398" s="103">
        <v>0</v>
      </c>
      <c r="M398" s="104">
        <v>32</v>
      </c>
      <c r="N398" s="102">
        <v>25</v>
      </c>
      <c r="O398" s="102">
        <v>75</v>
      </c>
      <c r="P398" s="102">
        <v>80</v>
      </c>
      <c r="Q398" s="104">
        <f>_xlfn.FLOOR.MATH(40+0.4*B398)</f>
        <v>84</v>
      </c>
      <c r="R398" s="102">
        <f>_xlfn.FLOOR.MATH(10+0.1*B398)</f>
        <v>21</v>
      </c>
      <c r="S398" s="102">
        <f>_xlfn.FLOOR.MATH(34+0.35*B398)</f>
        <v>72</v>
      </c>
      <c r="T398" s="105">
        <f>_xlfn.FLOOR.MATH(30+0.52*B398)</f>
        <v>87</v>
      </c>
      <c r="U398" s="102">
        <v>20</v>
      </c>
      <c r="V398" s="102">
        <v>34</v>
      </c>
      <c r="W398" s="106" t="s">
        <v>115</v>
      </c>
      <c r="Y398" s="102" t="s">
        <v>241</v>
      </c>
      <c r="Z398" s="102" t="s">
        <v>128</v>
      </c>
      <c r="AA398" s="104">
        <v>0</v>
      </c>
      <c r="AB398" s="105">
        <v>0</v>
      </c>
      <c r="AC398" s="104">
        <v>2</v>
      </c>
      <c r="AD398" s="123" t="s">
        <v>1098</v>
      </c>
      <c r="AE398" s="104">
        <v>15</v>
      </c>
      <c r="AF398" s="105">
        <v>25</v>
      </c>
      <c r="AG398" s="104">
        <v>0.6</v>
      </c>
      <c r="AH398" s="102">
        <v>0.95</v>
      </c>
      <c r="AI398" s="105">
        <v>0.5</v>
      </c>
      <c r="AJ398" s="104">
        <v>4</v>
      </c>
      <c r="AK398" s="102">
        <v>8</v>
      </c>
      <c r="AL398" s="102">
        <v>6</v>
      </c>
      <c r="AM398" s="105">
        <v>0</v>
      </c>
      <c r="AN398" s="104">
        <v>0</v>
      </c>
      <c r="AO398" s="102">
        <v>25</v>
      </c>
      <c r="AP398" s="102">
        <v>10</v>
      </c>
      <c r="AQ398" s="105">
        <v>14</v>
      </c>
      <c r="AU398" s="125" t="str">
        <f>HYPERLINK("http://www.jianrmod.cn/data/shipGetInfo.html?type=0&amp;cid=10042911","详细")</f>
        <v>详细</v>
      </c>
    </row>
    <row r="399" spans="1:48">
      <c r="A399" s="100">
        <v>10043012</v>
      </c>
      <c r="B399" s="101">
        <v>110</v>
      </c>
      <c r="C399" s="102">
        <v>4</v>
      </c>
      <c r="D399" s="103" t="s">
        <v>1099</v>
      </c>
      <c r="F399" s="103" t="s">
        <v>49</v>
      </c>
      <c r="G399" s="103">
        <v>1</v>
      </c>
      <c r="H399" s="103">
        <v>2</v>
      </c>
      <c r="I399" s="104" t="s">
        <v>326</v>
      </c>
      <c r="J399" s="102" t="s">
        <v>184</v>
      </c>
      <c r="K399" s="102">
        <v>36</v>
      </c>
      <c r="L399" s="103">
        <v>0</v>
      </c>
      <c r="M399" s="104">
        <v>61</v>
      </c>
      <c r="N399" s="102">
        <v>48</v>
      </c>
      <c r="O399" s="102">
        <v>56</v>
      </c>
      <c r="P399" s="102">
        <v>85</v>
      </c>
      <c r="Q399" s="104">
        <f>_xlfn.FLOOR.MATH(30+0.4*B399)</f>
        <v>74</v>
      </c>
      <c r="R399" s="102">
        <f>_xlfn.FLOOR.MATH(20+0.15*B399)</f>
        <v>36</v>
      </c>
      <c r="S399" s="102">
        <f>_xlfn.FLOOR.MATH(33+0.3*B399)</f>
        <v>66</v>
      </c>
      <c r="T399" s="105">
        <f>_xlfn.FLOOR.MATH(36+0.51*B399)</f>
        <v>92</v>
      </c>
      <c r="U399" s="102">
        <v>15</v>
      </c>
      <c r="V399" s="102">
        <v>33</v>
      </c>
      <c r="W399" s="106" t="s">
        <v>158</v>
      </c>
      <c r="Y399" s="102" t="s">
        <v>127</v>
      </c>
      <c r="Z399" s="102" t="s">
        <v>128</v>
      </c>
      <c r="AA399" s="104">
        <v>0</v>
      </c>
      <c r="AB399" s="105">
        <v>0</v>
      </c>
      <c r="AC399" s="104">
        <v>3</v>
      </c>
      <c r="AD399" s="123" t="s">
        <v>1100</v>
      </c>
      <c r="AE399" s="104">
        <v>25</v>
      </c>
      <c r="AF399" s="105">
        <v>35</v>
      </c>
      <c r="AG399" s="104">
        <v>0.8</v>
      </c>
      <c r="AH399" s="102">
        <v>1.5</v>
      </c>
      <c r="AI399" s="105">
        <v>0.5</v>
      </c>
      <c r="AJ399" s="104">
        <v>10</v>
      </c>
      <c r="AK399" s="102">
        <v>16</v>
      </c>
      <c r="AL399" s="102">
        <v>10</v>
      </c>
      <c r="AM399" s="105">
        <v>0</v>
      </c>
      <c r="AN399" s="104">
        <v>16</v>
      </c>
      <c r="AO399" s="102">
        <v>16</v>
      </c>
      <c r="AP399" s="102">
        <v>14</v>
      </c>
      <c r="AQ399" s="105">
        <v>47</v>
      </c>
      <c r="AV399" s="112" t="s">
        <v>1101</v>
      </c>
    </row>
    <row r="400" spans="1:48">
      <c r="A400" s="100">
        <v>10043112</v>
      </c>
      <c r="B400" s="101">
        <v>110</v>
      </c>
      <c r="C400" s="102">
        <v>4</v>
      </c>
      <c r="D400" s="103" t="s">
        <v>1102</v>
      </c>
      <c r="F400" s="103" t="s">
        <v>49</v>
      </c>
      <c r="G400" s="103">
        <v>0</v>
      </c>
      <c r="H400" s="103">
        <v>2</v>
      </c>
      <c r="I400" s="104" t="s">
        <v>50</v>
      </c>
      <c r="J400" s="102" t="s">
        <v>157</v>
      </c>
      <c r="K400" s="102">
        <v>50</v>
      </c>
      <c r="L400" s="103">
        <v>2</v>
      </c>
      <c r="M400" s="104">
        <v>55</v>
      </c>
      <c r="N400" s="102">
        <v>41</v>
      </c>
      <c r="O400" s="102">
        <v>53</v>
      </c>
      <c r="P400" s="102">
        <v>76</v>
      </c>
      <c r="Q400" s="104">
        <f>_xlfn.FLOOR.MATH(0+0*B400)</f>
        <v>0</v>
      </c>
      <c r="R400" s="102">
        <f>_xlfn.FLOOR.MATH(15+0.35*B400)</f>
        <v>53</v>
      </c>
      <c r="S400" s="102">
        <f>_xlfn.FLOOR.MATH(31+0.4*B400)</f>
        <v>75</v>
      </c>
      <c r="T400" s="105">
        <f>_xlfn.FLOOR.MATH(35+0.51*B400)</f>
        <v>91</v>
      </c>
      <c r="U400" s="102">
        <v>18</v>
      </c>
      <c r="V400" s="102">
        <v>31.5</v>
      </c>
      <c r="W400" s="106" t="s">
        <v>158</v>
      </c>
      <c r="Y400" s="102" t="s">
        <v>127</v>
      </c>
      <c r="Z400" s="102" t="s">
        <v>128</v>
      </c>
      <c r="AA400" s="104">
        <v>0</v>
      </c>
      <c r="AB400" s="105">
        <v>0</v>
      </c>
      <c r="AC400" s="104">
        <v>3</v>
      </c>
      <c r="AD400" s="123" t="s">
        <v>1103</v>
      </c>
      <c r="AE400" s="104">
        <v>35</v>
      </c>
      <c r="AF400" s="105">
        <v>70</v>
      </c>
      <c r="AG400" s="104">
        <v>1.28</v>
      </c>
      <c r="AH400" s="102">
        <v>2.4</v>
      </c>
      <c r="AI400" s="105">
        <v>0.75</v>
      </c>
      <c r="AJ400" s="104">
        <v>30</v>
      </c>
      <c r="AK400" s="102">
        <v>40</v>
      </c>
      <c r="AL400" s="102">
        <v>30</v>
      </c>
      <c r="AM400" s="105">
        <v>0</v>
      </c>
      <c r="AN400" s="104">
        <v>40</v>
      </c>
      <c r="AO400" s="102">
        <v>9</v>
      </c>
      <c r="AP400" s="102">
        <v>14</v>
      </c>
      <c r="AQ400" s="105">
        <v>33</v>
      </c>
      <c r="AV400" s="112" t="s">
        <v>1101</v>
      </c>
    </row>
    <row r="401" spans="1:48">
      <c r="A401" s="100">
        <v>10043212</v>
      </c>
      <c r="B401" s="101">
        <v>110</v>
      </c>
      <c r="C401" s="102">
        <v>4</v>
      </c>
      <c r="D401" s="103" t="s">
        <v>1104</v>
      </c>
      <c r="F401" s="103" t="s">
        <v>49</v>
      </c>
      <c r="G401" s="103">
        <v>1</v>
      </c>
      <c r="H401" s="103">
        <v>2</v>
      </c>
      <c r="I401" s="104" t="s">
        <v>86</v>
      </c>
      <c r="J401" s="102" t="s">
        <v>157</v>
      </c>
      <c r="K401" s="102">
        <v>52</v>
      </c>
      <c r="L401" s="103">
        <v>0</v>
      </c>
      <c r="M401" s="104">
        <v>68</v>
      </c>
      <c r="N401" s="102">
        <v>56</v>
      </c>
      <c r="O401" s="102">
        <v>0</v>
      </c>
      <c r="P401" s="102">
        <v>92</v>
      </c>
      <c r="Q401" s="104">
        <f>_xlfn.FLOOR.MATH(0+0*B401)</f>
        <v>0</v>
      </c>
      <c r="R401" s="102">
        <f>_xlfn.FLOOR.MATH(18+0.35*B401)</f>
        <v>56</v>
      </c>
      <c r="S401" s="102">
        <f>_xlfn.FLOOR.MATH(31+0.4*B401)</f>
        <v>75</v>
      </c>
      <c r="T401" s="105">
        <f>_xlfn.FLOOR.MATH(36+0.51*B401)</f>
        <v>92</v>
      </c>
      <c r="U401" s="102">
        <v>20</v>
      </c>
      <c r="V401" s="102">
        <v>33</v>
      </c>
      <c r="W401" s="106" t="s">
        <v>158</v>
      </c>
      <c r="Y401" s="102" t="s">
        <v>127</v>
      </c>
      <c r="Z401" s="102" t="s">
        <v>128</v>
      </c>
      <c r="AA401" s="104" t="s">
        <v>173</v>
      </c>
      <c r="AB401" s="105">
        <v>9</v>
      </c>
      <c r="AC401" s="104">
        <v>3</v>
      </c>
      <c r="AD401" s="123" t="s">
        <v>1105</v>
      </c>
      <c r="AE401" s="104">
        <v>40</v>
      </c>
      <c r="AF401" s="105">
        <v>70</v>
      </c>
      <c r="AG401" s="104">
        <v>1.28</v>
      </c>
      <c r="AH401" s="102">
        <v>2.4</v>
      </c>
      <c r="AI401" s="105">
        <v>0.625</v>
      </c>
      <c r="AJ401" s="104">
        <v>30</v>
      </c>
      <c r="AK401" s="102">
        <v>40</v>
      </c>
      <c r="AL401" s="102">
        <v>30</v>
      </c>
      <c r="AM401" s="105">
        <v>0</v>
      </c>
      <c r="AN401" s="104">
        <v>43</v>
      </c>
      <c r="AO401" s="102">
        <v>0</v>
      </c>
      <c r="AP401" s="102">
        <v>18</v>
      </c>
      <c r="AQ401" s="105">
        <v>63</v>
      </c>
      <c r="AV401" s="112" t="s">
        <v>1101</v>
      </c>
    </row>
    <row r="402" ht="79.2" spans="1:48">
      <c r="A402" s="100">
        <v>10043313</v>
      </c>
      <c r="B402" s="101">
        <v>110</v>
      </c>
      <c r="C402" s="102">
        <v>5</v>
      </c>
      <c r="D402" s="103" t="s">
        <v>1106</v>
      </c>
      <c r="F402" s="103" t="s">
        <v>49</v>
      </c>
      <c r="G402" s="103">
        <v>3</v>
      </c>
      <c r="H402" s="103">
        <v>4</v>
      </c>
      <c r="I402" s="104" t="s">
        <v>86</v>
      </c>
      <c r="J402" s="102" t="s">
        <v>114</v>
      </c>
      <c r="K402" s="102">
        <v>60</v>
      </c>
      <c r="L402" s="103">
        <v>0</v>
      </c>
      <c r="M402" s="104">
        <v>40</v>
      </c>
      <c r="N402" s="102">
        <v>60</v>
      </c>
      <c r="O402" s="102">
        <v>0</v>
      </c>
      <c r="P402" s="102">
        <v>98</v>
      </c>
      <c r="Q402" s="104">
        <f>_xlfn.FLOOR.MATH(0+0*B402)</f>
        <v>0</v>
      </c>
      <c r="R402" s="102">
        <f>_xlfn.FLOOR.MATH(50+0.25*B402)</f>
        <v>77</v>
      </c>
      <c r="S402" s="102">
        <f>_xlfn.FLOOR.MATH(30+0.2*B402)</f>
        <v>52</v>
      </c>
      <c r="T402" s="105">
        <f>_xlfn.FLOOR.MATH(37+0.54*B402)</f>
        <v>96</v>
      </c>
      <c r="U402" s="102">
        <v>22</v>
      </c>
      <c r="V402" s="102">
        <v>33</v>
      </c>
      <c r="W402" s="106" t="s">
        <v>115</v>
      </c>
      <c r="Y402" s="102" t="s">
        <v>54</v>
      </c>
      <c r="Z402" s="102" t="s">
        <v>55</v>
      </c>
      <c r="AA402" s="104" t="s">
        <v>1107</v>
      </c>
      <c r="AB402" s="105">
        <v>90</v>
      </c>
      <c r="AC402" s="104">
        <v>4</v>
      </c>
      <c r="AD402" s="123" t="s">
        <v>1108</v>
      </c>
      <c r="AE402" s="104">
        <v>60</v>
      </c>
      <c r="AF402" s="105">
        <v>65</v>
      </c>
      <c r="AG402" s="104">
        <v>2.4</v>
      </c>
      <c r="AH402" s="102">
        <v>4.6</v>
      </c>
      <c r="AI402" s="105">
        <v>0.8</v>
      </c>
      <c r="AJ402" s="104">
        <v>30</v>
      </c>
      <c r="AK402" s="102">
        <v>40</v>
      </c>
      <c r="AL402" s="102">
        <v>60</v>
      </c>
      <c r="AM402" s="105">
        <v>40</v>
      </c>
      <c r="AN402" s="104">
        <v>0</v>
      </c>
      <c r="AO402" s="102">
        <v>0</v>
      </c>
      <c r="AP402" s="102">
        <v>18</v>
      </c>
      <c r="AQ402" s="105">
        <v>107</v>
      </c>
      <c r="AR402" s="108" t="s">
        <v>1109</v>
      </c>
      <c r="AU402" s="125"/>
      <c r="AV402" s="112" t="s">
        <v>1101</v>
      </c>
    </row>
    <row r="403" spans="1:48">
      <c r="A403" s="100">
        <v>10043412</v>
      </c>
      <c r="B403" s="101">
        <v>110</v>
      </c>
      <c r="C403" s="102">
        <v>4</v>
      </c>
      <c r="D403" s="103" t="s">
        <v>1110</v>
      </c>
      <c r="F403" s="103" t="s">
        <v>49</v>
      </c>
      <c r="G403" s="103">
        <v>1</v>
      </c>
      <c r="H403" s="103">
        <v>2</v>
      </c>
      <c r="I403" s="104" t="s">
        <v>86</v>
      </c>
      <c r="J403" s="102" t="s">
        <v>184</v>
      </c>
      <c r="K403" s="102">
        <v>36</v>
      </c>
      <c r="L403" s="103">
        <v>0</v>
      </c>
      <c r="M403" s="104">
        <v>61</v>
      </c>
      <c r="N403" s="102">
        <v>57</v>
      </c>
      <c r="O403" s="102">
        <v>0</v>
      </c>
      <c r="P403" s="102">
        <v>110</v>
      </c>
      <c r="Q403" s="104">
        <f>_xlfn.FLOOR.MATH(35+0.4*B403)</f>
        <v>79</v>
      </c>
      <c r="R403" s="102">
        <f>_xlfn.FLOOR.MATH(12+0.35*B403)</f>
        <v>50</v>
      </c>
      <c r="S403" s="102">
        <f>_xlfn.FLOOR.MATH(32+0.35*B403)</f>
        <v>70</v>
      </c>
      <c r="T403" s="105">
        <f>_xlfn.FLOOR.MATH(34+0.52*B403)</f>
        <v>91</v>
      </c>
      <c r="U403" s="102">
        <v>10</v>
      </c>
      <c r="V403" s="102">
        <v>32.5</v>
      </c>
      <c r="W403" s="106" t="s">
        <v>158</v>
      </c>
      <c r="Y403" s="102" t="s">
        <v>127</v>
      </c>
      <c r="Z403" s="102" t="s">
        <v>128</v>
      </c>
      <c r="AA403" s="104" t="s">
        <v>173</v>
      </c>
      <c r="AB403" s="105">
        <v>9</v>
      </c>
      <c r="AC403" s="104">
        <v>3</v>
      </c>
      <c r="AD403" s="123" t="s">
        <v>1111</v>
      </c>
      <c r="AE403" s="104">
        <v>25</v>
      </c>
      <c r="AF403" s="105">
        <v>30</v>
      </c>
      <c r="AG403" s="104">
        <v>0.8</v>
      </c>
      <c r="AH403" s="102">
        <v>1.5</v>
      </c>
      <c r="AI403" s="105">
        <v>0.4</v>
      </c>
      <c r="AJ403" s="104">
        <v>10</v>
      </c>
      <c r="AK403" s="102">
        <v>16</v>
      </c>
      <c r="AL403" s="102">
        <v>10</v>
      </c>
      <c r="AM403" s="105">
        <v>0</v>
      </c>
      <c r="AN403" s="104">
        <v>16</v>
      </c>
      <c r="AO403" s="102">
        <v>0</v>
      </c>
      <c r="AP403" s="102">
        <v>16</v>
      </c>
      <c r="AQ403" s="105">
        <v>86</v>
      </c>
      <c r="AU403" s="125" t="str">
        <f>HYPERLINK("http://www.jianrmod.cn/data/shipGetInfo.html?type=0&amp;cid=10043412","详细")</f>
        <v>详细</v>
      </c>
      <c r="AV403" s="112" t="s">
        <v>1112</v>
      </c>
    </row>
    <row r="404" ht="66" spans="1:48">
      <c r="A404" s="100">
        <v>10043513</v>
      </c>
      <c r="B404" s="101">
        <v>110</v>
      </c>
      <c r="C404" s="102">
        <v>4</v>
      </c>
      <c r="D404" s="103" t="s">
        <v>1113</v>
      </c>
      <c r="F404" s="103" t="s">
        <v>49</v>
      </c>
      <c r="G404" s="103">
        <v>4</v>
      </c>
      <c r="H404" s="103">
        <v>5</v>
      </c>
      <c r="I404" s="104" t="s">
        <v>60</v>
      </c>
      <c r="J404" s="102" t="s">
        <v>51</v>
      </c>
      <c r="K404" s="102">
        <v>62</v>
      </c>
      <c r="L404" s="103">
        <v>2</v>
      </c>
      <c r="M404" s="104">
        <v>93</v>
      </c>
      <c r="N404" s="102">
        <v>74</v>
      </c>
      <c r="O404" s="102">
        <v>0</v>
      </c>
      <c r="P404" s="102">
        <v>80</v>
      </c>
      <c r="Q404" s="104">
        <f>_xlfn.FLOOR.MATH(0+0*B404)</f>
        <v>0</v>
      </c>
      <c r="R404" s="102">
        <f>_xlfn.FLOOR.MATH(13+0.25*B404)</f>
        <v>40</v>
      </c>
      <c r="S404" s="102">
        <f>_xlfn.FLOOR.MATH(33+0.3*B404)</f>
        <v>66</v>
      </c>
      <c r="T404" s="105">
        <f>_xlfn.FLOOR.MATH(38+0.51*B404)</f>
        <v>94</v>
      </c>
      <c r="U404" s="102">
        <v>5</v>
      </c>
      <c r="V404" s="102">
        <v>33</v>
      </c>
      <c r="W404" s="106" t="s">
        <v>52</v>
      </c>
      <c r="Y404" s="102" t="s">
        <v>54</v>
      </c>
      <c r="Z404" s="102" t="s">
        <v>55</v>
      </c>
      <c r="AA404" s="104" t="s">
        <v>56</v>
      </c>
      <c r="AB404" s="105">
        <v>12</v>
      </c>
      <c r="AC404" s="104">
        <v>4</v>
      </c>
      <c r="AD404" s="123" t="s">
        <v>1114</v>
      </c>
      <c r="AE404" s="104">
        <v>80</v>
      </c>
      <c r="AF404" s="105">
        <v>110</v>
      </c>
      <c r="AG404" s="104">
        <v>2.88</v>
      </c>
      <c r="AH404" s="102">
        <v>5.4</v>
      </c>
      <c r="AI404" s="105">
        <v>0.75</v>
      </c>
      <c r="AJ404" s="104">
        <v>40</v>
      </c>
      <c r="AK404" s="102">
        <v>50</v>
      </c>
      <c r="AL404" s="102">
        <v>40</v>
      </c>
      <c r="AM404" s="105">
        <v>0</v>
      </c>
      <c r="AN404" s="104">
        <v>67</v>
      </c>
      <c r="AO404" s="102">
        <v>0</v>
      </c>
      <c r="AP404" s="102">
        <v>59</v>
      </c>
      <c r="AQ404" s="105">
        <v>39</v>
      </c>
      <c r="AR404" s="108" t="s">
        <v>1115</v>
      </c>
      <c r="AV404" s="112" t="s">
        <v>1116</v>
      </c>
    </row>
    <row r="405" ht="92.4" spans="1:48">
      <c r="A405" s="100">
        <v>10043613</v>
      </c>
      <c r="B405" s="101">
        <v>110</v>
      </c>
      <c r="C405" s="102">
        <v>5</v>
      </c>
      <c r="D405" s="103" t="s">
        <v>1117</v>
      </c>
      <c r="F405" s="103" t="s">
        <v>49</v>
      </c>
      <c r="G405" s="103">
        <v>5</v>
      </c>
      <c r="H405" s="103">
        <v>5</v>
      </c>
      <c r="I405" s="104" t="s">
        <v>60</v>
      </c>
      <c r="J405" s="102" t="s">
        <v>51</v>
      </c>
      <c r="K405" s="102">
        <v>80</v>
      </c>
      <c r="L405" s="103">
        <v>0</v>
      </c>
      <c r="M405" s="104">
        <v>117</v>
      </c>
      <c r="N405" s="102">
        <v>95</v>
      </c>
      <c r="O405" s="102">
        <v>0</v>
      </c>
      <c r="P405" s="102">
        <v>56</v>
      </c>
      <c r="Q405" s="104">
        <f>_xlfn.FLOOR.MATH(0+0*B405)</f>
        <v>0</v>
      </c>
      <c r="R405" s="102">
        <f>_xlfn.FLOOR.MATH(15+0.25*B405)</f>
        <v>42</v>
      </c>
      <c r="S405" s="102">
        <f>_xlfn.FLOOR.MATH(28+0.3*B405)</f>
        <v>61</v>
      </c>
      <c r="T405" s="105">
        <f>_xlfn.FLOOR.MATH(39+0.52*B405)</f>
        <v>96</v>
      </c>
      <c r="U405" s="102">
        <v>5</v>
      </c>
      <c r="V405" s="102">
        <v>30</v>
      </c>
      <c r="W405" s="106" t="s">
        <v>52</v>
      </c>
      <c r="Y405" s="102" t="s">
        <v>54</v>
      </c>
      <c r="Z405" s="102" t="s">
        <v>55</v>
      </c>
      <c r="AA405" s="104" t="s">
        <v>56</v>
      </c>
      <c r="AB405" s="105">
        <v>12</v>
      </c>
      <c r="AC405" s="104">
        <v>4</v>
      </c>
      <c r="AD405" s="123" t="s">
        <v>1118</v>
      </c>
      <c r="AE405" s="104">
        <v>100</v>
      </c>
      <c r="AF405" s="105">
        <v>140</v>
      </c>
      <c r="AG405" s="104">
        <v>3.3</v>
      </c>
      <c r="AH405" s="102">
        <v>6.1</v>
      </c>
      <c r="AI405" s="105">
        <v>1</v>
      </c>
      <c r="AJ405" s="104">
        <v>40</v>
      </c>
      <c r="AK405" s="102">
        <v>50</v>
      </c>
      <c r="AL405" s="102">
        <v>40</v>
      </c>
      <c r="AM405" s="105">
        <v>0</v>
      </c>
      <c r="AN405" s="104">
        <v>92</v>
      </c>
      <c r="AO405" s="102">
        <v>0</v>
      </c>
      <c r="AP405" s="102">
        <v>75</v>
      </c>
      <c r="AQ405" s="105">
        <v>13</v>
      </c>
      <c r="AR405" s="108" t="s">
        <v>1119</v>
      </c>
      <c r="AV405" s="112" t="s">
        <v>1120</v>
      </c>
    </row>
    <row r="406" spans="1:48">
      <c r="A406" s="100">
        <v>10043712</v>
      </c>
      <c r="B406" s="101">
        <v>110</v>
      </c>
      <c r="C406" s="102">
        <v>4</v>
      </c>
      <c r="D406" s="103" t="s">
        <v>1121</v>
      </c>
      <c r="E406" s="103" t="s">
        <v>1122</v>
      </c>
      <c r="F406" s="103" t="s">
        <v>49</v>
      </c>
      <c r="G406" s="103">
        <v>0</v>
      </c>
      <c r="H406" s="103">
        <v>2</v>
      </c>
      <c r="I406" s="104" t="s">
        <v>60</v>
      </c>
      <c r="J406" s="102" t="s">
        <v>157</v>
      </c>
      <c r="K406" s="102">
        <v>42</v>
      </c>
      <c r="L406" s="103">
        <v>2</v>
      </c>
      <c r="M406" s="104">
        <v>61</v>
      </c>
      <c r="N406" s="102">
        <v>50</v>
      </c>
      <c r="O406" s="102">
        <v>65</v>
      </c>
      <c r="P406" s="102">
        <v>60</v>
      </c>
      <c r="Q406" s="104">
        <f>_xlfn.FLOOR.MATH(0+0*B406)</f>
        <v>0</v>
      </c>
      <c r="R406" s="102">
        <f>_xlfn.FLOOR.MATH(13+0.35*B406)</f>
        <v>51</v>
      </c>
      <c r="S406" s="102">
        <f>_xlfn.FLOOR.MATH(35+0.4*B406)</f>
        <v>79</v>
      </c>
      <c r="T406" s="105">
        <f>_xlfn.FLOOR.MATH(36+0.51*B406)</f>
        <v>92</v>
      </c>
      <c r="U406" s="102">
        <v>5</v>
      </c>
      <c r="V406" s="102">
        <v>35</v>
      </c>
      <c r="W406" s="106" t="s">
        <v>158</v>
      </c>
      <c r="Y406" s="102" t="s">
        <v>127</v>
      </c>
      <c r="Z406" s="102" t="s">
        <v>128</v>
      </c>
      <c r="AA406" s="104" t="s">
        <v>173</v>
      </c>
      <c r="AB406" s="105">
        <v>9</v>
      </c>
      <c r="AC406" s="104">
        <v>3</v>
      </c>
      <c r="AD406" s="123" t="s">
        <v>168</v>
      </c>
      <c r="AE406" s="104">
        <v>40</v>
      </c>
      <c r="AF406" s="105">
        <v>65</v>
      </c>
      <c r="AG406" s="104">
        <v>1.28</v>
      </c>
      <c r="AH406" s="102">
        <v>2.4</v>
      </c>
      <c r="AI406" s="105">
        <v>0.75</v>
      </c>
      <c r="AJ406" s="104">
        <v>30</v>
      </c>
      <c r="AK406" s="102">
        <v>40</v>
      </c>
      <c r="AL406" s="102">
        <v>30</v>
      </c>
      <c r="AM406" s="105">
        <v>0</v>
      </c>
      <c r="AN406" s="104">
        <v>41</v>
      </c>
      <c r="AO406" s="102">
        <v>18</v>
      </c>
      <c r="AP406" s="102">
        <v>18</v>
      </c>
      <c r="AQ406" s="105">
        <v>15</v>
      </c>
      <c r="AV406" s="112" t="s">
        <v>1123</v>
      </c>
    </row>
    <row r="407" ht="52.8" spans="1:48">
      <c r="A407" s="100">
        <v>10043812</v>
      </c>
      <c r="B407" s="101">
        <v>110</v>
      </c>
      <c r="C407" s="102">
        <v>4</v>
      </c>
      <c r="D407" s="103" t="s">
        <v>1124</v>
      </c>
      <c r="F407" s="103" t="s">
        <v>49</v>
      </c>
      <c r="G407" s="103">
        <v>0</v>
      </c>
      <c r="H407" s="103">
        <v>2</v>
      </c>
      <c r="I407" s="104" t="s">
        <v>86</v>
      </c>
      <c r="J407" s="102" t="s">
        <v>157</v>
      </c>
      <c r="K407" s="102">
        <v>52</v>
      </c>
      <c r="L407" s="103">
        <v>0</v>
      </c>
      <c r="M407" s="104">
        <v>68</v>
      </c>
      <c r="N407" s="102">
        <v>56</v>
      </c>
      <c r="O407" s="102">
        <v>0</v>
      </c>
      <c r="P407" s="102">
        <v>95</v>
      </c>
      <c r="Q407" s="104">
        <f>_xlfn.FLOOR.MATH(0+0*B407)</f>
        <v>0</v>
      </c>
      <c r="R407" s="102">
        <f>_xlfn.FLOOR.MATH(18+0.35*B407)</f>
        <v>56</v>
      </c>
      <c r="S407" s="102">
        <f>_xlfn.FLOOR.MATH(31+0.4*B407)</f>
        <v>75</v>
      </c>
      <c r="T407" s="105">
        <f>_xlfn.FLOOR.MATH(36+0.51*B407)</f>
        <v>92</v>
      </c>
      <c r="U407" s="102">
        <v>10</v>
      </c>
      <c r="V407" s="102">
        <v>33</v>
      </c>
      <c r="W407" s="106" t="s">
        <v>158</v>
      </c>
      <c r="Y407" s="102" t="s">
        <v>127</v>
      </c>
      <c r="Z407" s="102" t="s">
        <v>128</v>
      </c>
      <c r="AA407" s="104" t="s">
        <v>173</v>
      </c>
      <c r="AB407" s="105">
        <v>9</v>
      </c>
      <c r="AC407" s="104">
        <v>3</v>
      </c>
      <c r="AD407" s="123" t="s">
        <v>1105</v>
      </c>
      <c r="AE407" s="104">
        <v>40</v>
      </c>
      <c r="AF407" s="105">
        <v>70</v>
      </c>
      <c r="AG407" s="104">
        <v>1.28</v>
      </c>
      <c r="AH407" s="102">
        <v>2.4</v>
      </c>
      <c r="AI407" s="105">
        <v>0.625</v>
      </c>
      <c r="AJ407" s="104">
        <v>30</v>
      </c>
      <c r="AK407" s="102">
        <v>40</v>
      </c>
      <c r="AL407" s="102">
        <v>30</v>
      </c>
      <c r="AM407" s="105">
        <v>0</v>
      </c>
      <c r="AN407" s="104">
        <v>43</v>
      </c>
      <c r="AO407" s="102">
        <v>0</v>
      </c>
      <c r="AP407" s="102">
        <v>18</v>
      </c>
      <c r="AQ407" s="105">
        <v>68</v>
      </c>
      <c r="AR407" s="108" t="s">
        <v>1125</v>
      </c>
      <c r="AV407" s="112" t="s">
        <v>1126</v>
      </c>
    </row>
    <row r="408" spans="1:48">
      <c r="A408" s="100">
        <v>10043911</v>
      </c>
      <c r="B408" s="101">
        <v>110</v>
      </c>
      <c r="C408" s="102">
        <v>3</v>
      </c>
      <c r="D408" s="103" t="s">
        <v>1127</v>
      </c>
      <c r="E408" s="103" t="s">
        <v>1128</v>
      </c>
      <c r="F408" s="103" t="s">
        <v>49</v>
      </c>
      <c r="G408" s="103">
        <v>1</v>
      </c>
      <c r="H408" s="103">
        <v>2</v>
      </c>
      <c r="I408" s="104" t="s">
        <v>60</v>
      </c>
      <c r="J408" s="102" t="s">
        <v>246</v>
      </c>
      <c r="K408" s="102">
        <v>19</v>
      </c>
      <c r="L408" s="103">
        <v>1</v>
      </c>
      <c r="M408" s="104">
        <v>33</v>
      </c>
      <c r="N408" s="102">
        <v>22</v>
      </c>
      <c r="O408" s="102">
        <v>68</v>
      </c>
      <c r="P408" s="102">
        <v>61</v>
      </c>
      <c r="Q408" s="104">
        <f>_xlfn.FLOOR.MATH(25+0.3*B408)</f>
        <v>58</v>
      </c>
      <c r="R408" s="102">
        <f>_xlfn.FLOOR.MATH(7+0.1*B408)</f>
        <v>18</v>
      </c>
      <c r="S408" s="102">
        <f>_xlfn.FLOOR.MATH(36+0.4*B408)</f>
        <v>80</v>
      </c>
      <c r="T408" s="105">
        <f>_xlfn.FLOOR.MATH(30+0.52*B408)</f>
        <v>87</v>
      </c>
      <c r="U408" s="102">
        <v>10</v>
      </c>
      <c r="V408" s="102">
        <v>33</v>
      </c>
      <c r="W408" s="106" t="s">
        <v>115</v>
      </c>
      <c r="Y408" s="102" t="s">
        <v>241</v>
      </c>
      <c r="Z408" s="102" t="s">
        <v>128</v>
      </c>
      <c r="AA408" s="104">
        <v>0</v>
      </c>
      <c r="AB408" s="105">
        <v>0</v>
      </c>
      <c r="AC408" s="104">
        <v>2</v>
      </c>
      <c r="AD408" s="123" t="s">
        <v>501</v>
      </c>
      <c r="AE408" s="104">
        <v>15</v>
      </c>
      <c r="AF408" s="105">
        <v>20</v>
      </c>
      <c r="AG408" s="104">
        <v>0.48</v>
      </c>
      <c r="AH408" s="102">
        <v>0.9</v>
      </c>
      <c r="AI408" s="105">
        <v>0.5</v>
      </c>
      <c r="AJ408" s="104">
        <v>4</v>
      </c>
      <c r="AK408" s="102">
        <v>8</v>
      </c>
      <c r="AL408" s="102">
        <v>6</v>
      </c>
      <c r="AM408" s="105">
        <v>0</v>
      </c>
      <c r="AN408" s="104">
        <v>0</v>
      </c>
      <c r="AO408" s="102">
        <v>21</v>
      </c>
      <c r="AP408" s="102">
        <v>7</v>
      </c>
      <c r="AQ408" s="105">
        <v>0</v>
      </c>
      <c r="AV408" s="112" t="s">
        <v>1129</v>
      </c>
    </row>
    <row r="409" spans="1:48">
      <c r="A409" s="100">
        <v>10044011</v>
      </c>
      <c r="B409" s="101">
        <v>110</v>
      </c>
      <c r="C409" s="102">
        <v>4</v>
      </c>
      <c r="D409" s="103" t="s">
        <v>1130</v>
      </c>
      <c r="F409" s="103" t="s">
        <v>49</v>
      </c>
      <c r="G409" s="103">
        <v>1</v>
      </c>
      <c r="H409" s="103">
        <v>2</v>
      </c>
      <c r="I409" s="104" t="s">
        <v>91</v>
      </c>
      <c r="J409" s="102" t="s">
        <v>246</v>
      </c>
      <c r="K409" s="102">
        <v>20</v>
      </c>
      <c r="L409" s="103">
        <v>0</v>
      </c>
      <c r="M409" s="104">
        <v>30</v>
      </c>
      <c r="N409" s="102">
        <v>22</v>
      </c>
      <c r="O409" s="102">
        <v>68</v>
      </c>
      <c r="P409" s="102">
        <v>49</v>
      </c>
      <c r="Q409" s="104">
        <f>_xlfn.FLOOR.MATH(22+0.3*B409)</f>
        <v>55</v>
      </c>
      <c r="R409" s="102">
        <f>_xlfn.FLOOR.MATH(5+0.1*B409)</f>
        <v>16</v>
      </c>
      <c r="S409" s="102">
        <f>_xlfn.FLOOR.MATH(45+0.4*B409)</f>
        <v>89</v>
      </c>
      <c r="T409" s="105">
        <f>_xlfn.FLOOR.MATH(31+0.52*B409)</f>
        <v>88</v>
      </c>
      <c r="U409" s="102">
        <v>15</v>
      </c>
      <c r="V409" s="102">
        <v>45</v>
      </c>
      <c r="W409" s="106" t="s">
        <v>115</v>
      </c>
      <c r="Y409" s="102" t="s">
        <v>241</v>
      </c>
      <c r="Z409" s="102" t="s">
        <v>128</v>
      </c>
      <c r="AA409" s="104">
        <v>0</v>
      </c>
      <c r="AB409" s="105">
        <v>0</v>
      </c>
      <c r="AC409" s="104">
        <v>2</v>
      </c>
      <c r="AD409" s="123" t="s">
        <v>916</v>
      </c>
      <c r="AE409" s="104">
        <v>10</v>
      </c>
      <c r="AF409" s="105">
        <v>20</v>
      </c>
      <c r="AG409" s="104">
        <v>0.48</v>
      </c>
      <c r="AH409" s="102">
        <v>0.9</v>
      </c>
      <c r="AI409" s="105">
        <v>0.55</v>
      </c>
      <c r="AJ409" s="104">
        <v>4</v>
      </c>
      <c r="AK409" s="102">
        <v>8</v>
      </c>
      <c r="AL409" s="102">
        <v>6</v>
      </c>
      <c r="AM409" s="105">
        <v>0</v>
      </c>
      <c r="AN409" s="104">
        <v>0</v>
      </c>
      <c r="AO409" s="102">
        <v>18</v>
      </c>
      <c r="AP409" s="102">
        <v>7</v>
      </c>
      <c r="AQ409" s="105">
        <v>0</v>
      </c>
      <c r="AU409" s="125"/>
      <c r="AV409" s="112" t="s">
        <v>1129</v>
      </c>
    </row>
    <row r="410" spans="1:47">
      <c r="A410" s="100">
        <v>10044111</v>
      </c>
      <c r="B410" s="101">
        <v>110</v>
      </c>
      <c r="C410" s="102">
        <v>4</v>
      </c>
      <c r="D410" s="103" t="s">
        <v>1131</v>
      </c>
      <c r="F410" s="103" t="s">
        <v>49</v>
      </c>
      <c r="G410" s="103">
        <v>1</v>
      </c>
      <c r="H410" s="103">
        <v>2</v>
      </c>
      <c r="I410" s="104" t="s">
        <v>73</v>
      </c>
      <c r="J410" s="102" t="s">
        <v>781</v>
      </c>
      <c r="K410" s="102">
        <v>36</v>
      </c>
      <c r="L410" s="103">
        <v>0</v>
      </c>
      <c r="M410" s="104">
        <v>28</v>
      </c>
      <c r="N410" s="102">
        <v>25</v>
      </c>
      <c r="O410" s="102">
        <v>0</v>
      </c>
      <c r="P410" s="102">
        <v>69</v>
      </c>
      <c r="Q410" s="104">
        <f>_xlfn.FLOOR.MATH(0+0*B410)</f>
        <v>0</v>
      </c>
      <c r="R410" s="102">
        <f>_xlfn.FLOOR.MATH(37+0.25*B410)</f>
        <v>64</v>
      </c>
      <c r="S410" s="102">
        <f>_xlfn.FLOOR.MATH(15+0.2*B410)</f>
        <v>37</v>
      </c>
      <c r="T410" s="105">
        <f>_xlfn.FLOOR.MATH(35+0.51*B410)</f>
        <v>91</v>
      </c>
      <c r="U410" s="102">
        <v>19</v>
      </c>
      <c r="V410" s="102">
        <v>16</v>
      </c>
      <c r="W410" s="106" t="s">
        <v>115</v>
      </c>
      <c r="Y410" s="102" t="s">
        <v>241</v>
      </c>
      <c r="Z410" s="102" t="s">
        <v>128</v>
      </c>
      <c r="AA410" s="104">
        <v>0</v>
      </c>
      <c r="AB410" s="105">
        <v>0</v>
      </c>
      <c r="AC410" s="104">
        <v>3</v>
      </c>
      <c r="AD410" s="123" t="s">
        <v>1132</v>
      </c>
      <c r="AE410" s="104">
        <v>40</v>
      </c>
      <c r="AF410" s="105">
        <v>25</v>
      </c>
      <c r="AG410" s="104">
        <v>1.2</v>
      </c>
      <c r="AH410" s="102">
        <v>2.4</v>
      </c>
      <c r="AI410" s="105">
        <v>0.7</v>
      </c>
      <c r="AJ410" s="104">
        <v>2</v>
      </c>
      <c r="AK410" s="102">
        <v>2</v>
      </c>
      <c r="AL410" s="102">
        <v>2</v>
      </c>
      <c r="AM410" s="105">
        <v>0</v>
      </c>
      <c r="AN410" s="104">
        <v>4</v>
      </c>
      <c r="AO410" s="102">
        <v>0</v>
      </c>
      <c r="AP410" s="102">
        <v>7</v>
      </c>
      <c r="AQ410" s="105">
        <v>3</v>
      </c>
      <c r="AU410" s="125" t="str">
        <f>HYPERLINK("http://www.jianrmod.cn/data/shipGetInfo.html?type=0&amp;cid=10044111","详细")</f>
        <v>详细</v>
      </c>
    </row>
    <row r="411" ht="66" spans="1:48">
      <c r="A411" s="100">
        <v>10044213</v>
      </c>
      <c r="B411" s="101">
        <v>110</v>
      </c>
      <c r="C411" s="102">
        <v>5</v>
      </c>
      <c r="D411" s="103" t="s">
        <v>1133</v>
      </c>
      <c r="F411" s="103" t="s">
        <v>49</v>
      </c>
      <c r="G411" s="103">
        <v>3</v>
      </c>
      <c r="H411" s="103">
        <v>2</v>
      </c>
      <c r="I411" s="104" t="s">
        <v>330</v>
      </c>
      <c r="J411" s="102" t="s">
        <v>61</v>
      </c>
      <c r="K411" s="102">
        <v>72</v>
      </c>
      <c r="L411" s="103">
        <v>0</v>
      </c>
      <c r="M411" s="104">
        <v>107</v>
      </c>
      <c r="N411" s="102">
        <v>85</v>
      </c>
      <c r="O411" s="102">
        <v>0</v>
      </c>
      <c r="P411" s="102">
        <v>50</v>
      </c>
      <c r="Q411" s="104">
        <f>_xlfn.FLOOR.MATH(0+0*B411)</f>
        <v>0</v>
      </c>
      <c r="R411" s="102">
        <f>_xlfn.FLOOR.MATH(12+0.25*B411)</f>
        <v>39</v>
      </c>
      <c r="S411" s="102">
        <f>_xlfn.FLOOR.MATH(18+0.2*B411)</f>
        <v>40</v>
      </c>
      <c r="T411" s="105">
        <f>_xlfn.FLOOR.MATH(40+0.55*B411)</f>
        <v>100</v>
      </c>
      <c r="U411" s="102">
        <v>5</v>
      </c>
      <c r="V411" s="102">
        <v>21</v>
      </c>
      <c r="W411" s="106" t="s">
        <v>52</v>
      </c>
      <c r="Y411" s="102" t="s">
        <v>54</v>
      </c>
      <c r="Z411" s="102" t="s">
        <v>55</v>
      </c>
      <c r="AA411" s="104">
        <v>0</v>
      </c>
      <c r="AB411" s="105">
        <v>0</v>
      </c>
      <c r="AC411" s="104">
        <v>4</v>
      </c>
      <c r="AD411" s="123" t="s">
        <v>1134</v>
      </c>
      <c r="AE411" s="104">
        <v>80</v>
      </c>
      <c r="AF411" s="105">
        <v>125</v>
      </c>
      <c r="AG411" s="104">
        <v>2.5</v>
      </c>
      <c r="AH411" s="102">
        <v>5</v>
      </c>
      <c r="AI411" s="105">
        <v>0.8</v>
      </c>
      <c r="AJ411" s="104">
        <v>50</v>
      </c>
      <c r="AK411" s="102">
        <v>60</v>
      </c>
      <c r="AL411" s="102">
        <v>60</v>
      </c>
      <c r="AM411" s="105">
        <v>0</v>
      </c>
      <c r="AN411" s="104">
        <v>82</v>
      </c>
      <c r="AO411" s="102">
        <v>0</v>
      </c>
      <c r="AP411" s="102">
        <v>65</v>
      </c>
      <c r="AQ411" s="105">
        <v>10</v>
      </c>
      <c r="AR411" s="108" t="s">
        <v>1135</v>
      </c>
      <c r="AT411" s="110">
        <v>0.229166666666667</v>
      </c>
      <c r="AV411" s="112" t="s">
        <v>1136</v>
      </c>
    </row>
    <row r="412" spans="1:48">
      <c r="A412" s="100">
        <v>10044312</v>
      </c>
      <c r="B412" s="101">
        <v>110</v>
      </c>
      <c r="C412" s="102">
        <v>4</v>
      </c>
      <c r="D412" s="103" t="s">
        <v>1137</v>
      </c>
      <c r="E412" s="103" t="s">
        <v>1138</v>
      </c>
      <c r="F412" s="103" t="s">
        <v>49</v>
      </c>
      <c r="G412" s="103">
        <v>1</v>
      </c>
      <c r="H412" s="103">
        <v>2</v>
      </c>
      <c r="I412" s="104" t="s">
        <v>60</v>
      </c>
      <c r="J412" s="102" t="s">
        <v>184</v>
      </c>
      <c r="K412" s="102">
        <v>28</v>
      </c>
      <c r="L412" s="103">
        <v>0</v>
      </c>
      <c r="M412" s="104">
        <v>47</v>
      </c>
      <c r="N412" s="102">
        <v>45</v>
      </c>
      <c r="O412" s="102">
        <v>60</v>
      </c>
      <c r="P412" s="102">
        <v>57</v>
      </c>
      <c r="Q412" s="104">
        <f>_xlfn.FLOOR.MATH(20+0.25*B412)</f>
        <v>47</v>
      </c>
      <c r="R412" s="102">
        <f>_xlfn.FLOOR.MATH(11+0.1*B412)</f>
        <v>22</v>
      </c>
      <c r="S412" s="102">
        <f>_xlfn.FLOOR.MATH(33+0.36*B412)</f>
        <v>72</v>
      </c>
      <c r="T412" s="105">
        <f>_xlfn.FLOOR.MATH(34+0.5*B412)</f>
        <v>89</v>
      </c>
      <c r="U412" s="102">
        <v>10</v>
      </c>
      <c r="V412" s="102">
        <v>37</v>
      </c>
      <c r="W412" s="106" t="s">
        <v>158</v>
      </c>
      <c r="Y412" s="102" t="s">
        <v>127</v>
      </c>
      <c r="Z412" s="102" t="s">
        <v>128</v>
      </c>
      <c r="AA412" s="104" t="s">
        <v>173</v>
      </c>
      <c r="AB412" s="105">
        <v>9</v>
      </c>
      <c r="AC412" s="104">
        <v>3</v>
      </c>
      <c r="AD412" s="123" t="s">
        <v>1139</v>
      </c>
      <c r="AE412" s="104">
        <v>25</v>
      </c>
      <c r="AF412" s="105">
        <v>25</v>
      </c>
      <c r="AG412" s="104">
        <v>0.9</v>
      </c>
      <c r="AH412" s="102">
        <v>1.5</v>
      </c>
      <c r="AI412" s="105">
        <v>0.5</v>
      </c>
      <c r="AJ412" s="104">
        <v>10</v>
      </c>
      <c r="AK412" s="102">
        <v>16</v>
      </c>
      <c r="AL412" s="102">
        <v>10</v>
      </c>
      <c r="AM412" s="105">
        <v>0</v>
      </c>
      <c r="AN412" s="104">
        <v>9</v>
      </c>
      <c r="AO412" s="102">
        <v>28</v>
      </c>
      <c r="AP412" s="102">
        <v>10</v>
      </c>
      <c r="AQ412" s="105">
        <v>14</v>
      </c>
      <c r="AT412" s="110">
        <v>0.0555555555555556</v>
      </c>
      <c r="AV412" s="112" t="s">
        <v>1136</v>
      </c>
    </row>
    <row r="413" spans="1:48">
      <c r="A413" s="100">
        <v>10044412</v>
      </c>
      <c r="B413" s="101">
        <v>110</v>
      </c>
      <c r="C413" s="102">
        <v>4</v>
      </c>
      <c r="D413" s="103" t="s">
        <v>1140</v>
      </c>
      <c r="F413" s="103" t="s">
        <v>49</v>
      </c>
      <c r="G413" s="103">
        <v>1</v>
      </c>
      <c r="H413" s="103">
        <v>2</v>
      </c>
      <c r="I413" s="104" t="s">
        <v>326</v>
      </c>
      <c r="J413" s="102" t="s">
        <v>184</v>
      </c>
      <c r="K413" s="102">
        <v>28</v>
      </c>
      <c r="L413" s="103">
        <v>0</v>
      </c>
      <c r="M413" s="104">
        <v>46</v>
      </c>
      <c r="N413" s="102">
        <v>47</v>
      </c>
      <c r="O413" s="102">
        <v>45</v>
      </c>
      <c r="P413" s="102">
        <v>60</v>
      </c>
      <c r="Q413" s="104">
        <f>_xlfn.FLOOR.MATH(25+0.25*B413)</f>
        <v>52</v>
      </c>
      <c r="R413" s="102">
        <f>_xlfn.FLOOR.MATH(12+0.1*B413)</f>
        <v>23</v>
      </c>
      <c r="S413" s="102">
        <f>_xlfn.FLOOR.MATH(30+0.36*B413)</f>
        <v>69</v>
      </c>
      <c r="T413" s="105">
        <f>_xlfn.FLOOR.MATH(35+0.5*B413)</f>
        <v>90</v>
      </c>
      <c r="U413" s="102">
        <v>25</v>
      </c>
      <c r="V413" s="102">
        <v>29</v>
      </c>
      <c r="W413" s="106" t="s">
        <v>158</v>
      </c>
      <c r="Y413" s="102" t="s">
        <v>127</v>
      </c>
      <c r="Z413" s="102" t="s">
        <v>128</v>
      </c>
      <c r="AA413" s="104">
        <v>0</v>
      </c>
      <c r="AB413" s="105">
        <v>0</v>
      </c>
      <c r="AC413" s="104">
        <v>3</v>
      </c>
      <c r="AD413" s="123" t="s">
        <v>1141</v>
      </c>
      <c r="AE413" s="104">
        <v>25</v>
      </c>
      <c r="AF413" s="105">
        <v>30</v>
      </c>
      <c r="AG413" s="104">
        <v>0.8</v>
      </c>
      <c r="AH413" s="102">
        <v>1.3</v>
      </c>
      <c r="AI413" s="105">
        <v>0.5</v>
      </c>
      <c r="AJ413" s="104">
        <v>10</v>
      </c>
      <c r="AK413" s="102">
        <v>16</v>
      </c>
      <c r="AL413" s="102">
        <v>10</v>
      </c>
      <c r="AM413" s="105">
        <v>0</v>
      </c>
      <c r="AN413" s="104">
        <v>8</v>
      </c>
      <c r="AO413" s="102">
        <v>15</v>
      </c>
      <c r="AP413" s="102">
        <v>11</v>
      </c>
      <c r="AQ413" s="105">
        <v>15</v>
      </c>
      <c r="AT413" s="110">
        <v>0.0555555555555556</v>
      </c>
      <c r="AV413" s="112" t="s">
        <v>1136</v>
      </c>
    </row>
    <row r="414" spans="1:48">
      <c r="A414" s="100">
        <v>10044511</v>
      </c>
      <c r="B414" s="101">
        <v>110</v>
      </c>
      <c r="C414" s="102">
        <v>3</v>
      </c>
      <c r="D414" s="103" t="s">
        <v>1142</v>
      </c>
      <c r="F414" s="103" t="s">
        <v>49</v>
      </c>
      <c r="G414" s="103">
        <v>1</v>
      </c>
      <c r="H414" s="103">
        <v>2</v>
      </c>
      <c r="I414" s="104" t="s">
        <v>86</v>
      </c>
      <c r="J414" s="102" t="s">
        <v>246</v>
      </c>
      <c r="K414" s="102">
        <v>17</v>
      </c>
      <c r="L414" s="103">
        <v>-1</v>
      </c>
      <c r="M414" s="104">
        <v>28</v>
      </c>
      <c r="N414" s="102">
        <v>22</v>
      </c>
      <c r="O414" s="102">
        <v>66</v>
      </c>
      <c r="P414" s="102">
        <v>57</v>
      </c>
      <c r="Q414" s="104">
        <f>_xlfn.FLOOR.MATH(35+0.4*B414)</f>
        <v>79</v>
      </c>
      <c r="R414" s="102">
        <f>_xlfn.FLOOR.MATH(20+0.15*B414)</f>
        <v>36</v>
      </c>
      <c r="S414" s="102">
        <f>_xlfn.FLOOR.MATH(37+0.4*B414)</f>
        <v>81</v>
      </c>
      <c r="T414" s="105">
        <f>_xlfn.FLOOR.MATH(30+0.52*B414)</f>
        <v>87</v>
      </c>
      <c r="U414" s="102">
        <v>18</v>
      </c>
      <c r="V414" s="102">
        <v>37</v>
      </c>
      <c r="W414" s="106" t="s">
        <v>115</v>
      </c>
      <c r="Y414" s="102" t="s">
        <v>241</v>
      </c>
      <c r="Z414" s="102" t="s">
        <v>128</v>
      </c>
      <c r="AA414" s="104">
        <v>0</v>
      </c>
      <c r="AB414" s="105">
        <v>0</v>
      </c>
      <c r="AC414" s="104">
        <v>2</v>
      </c>
      <c r="AD414" s="123" t="s">
        <v>1143</v>
      </c>
      <c r="AE414" s="104">
        <v>15</v>
      </c>
      <c r="AF414" s="105">
        <v>25</v>
      </c>
      <c r="AG414" s="104">
        <v>0.48</v>
      </c>
      <c r="AH414" s="102">
        <v>0.9</v>
      </c>
      <c r="AI414" s="105">
        <v>0.4</v>
      </c>
      <c r="AJ414" s="104">
        <v>4</v>
      </c>
      <c r="AK414" s="102">
        <v>8</v>
      </c>
      <c r="AL414" s="102">
        <v>6</v>
      </c>
      <c r="AM414" s="105">
        <v>0</v>
      </c>
      <c r="AN414" s="104">
        <v>0</v>
      </c>
      <c r="AO414" s="102">
        <v>16</v>
      </c>
      <c r="AP414" s="102">
        <v>7</v>
      </c>
      <c r="AQ414" s="105">
        <v>5</v>
      </c>
      <c r="AT414" s="110">
        <v>0.0173611111111111</v>
      </c>
      <c r="AV414" s="112" t="s">
        <v>1136</v>
      </c>
    </row>
    <row r="415" ht="39.6" spans="1:48">
      <c r="A415" s="100">
        <v>10044613</v>
      </c>
      <c r="B415" s="101">
        <v>110</v>
      </c>
      <c r="C415" s="102">
        <v>4</v>
      </c>
      <c r="D415" s="103" t="s">
        <v>336</v>
      </c>
      <c r="F415" s="103" t="s">
        <v>49</v>
      </c>
      <c r="G415" s="103">
        <v>3</v>
      </c>
      <c r="H415" s="103">
        <v>2</v>
      </c>
      <c r="I415" s="104" t="s">
        <v>50</v>
      </c>
      <c r="J415" s="102" t="s">
        <v>51</v>
      </c>
      <c r="K415" s="102">
        <v>60</v>
      </c>
      <c r="L415" s="103">
        <v>0</v>
      </c>
      <c r="M415" s="104">
        <v>85</v>
      </c>
      <c r="N415" s="102">
        <v>69</v>
      </c>
      <c r="O415" s="102">
        <v>0</v>
      </c>
      <c r="P415" s="102">
        <v>45</v>
      </c>
      <c r="Q415" s="104">
        <f>_xlfn.FLOOR.MATH(0+0*B415)</f>
        <v>0</v>
      </c>
      <c r="R415" s="102">
        <f>_xlfn.FLOOR.MATH(13+0.25*B415)</f>
        <v>40</v>
      </c>
      <c r="S415" s="102">
        <f>_xlfn.FLOOR.MATH(30+0.3*B415)</f>
        <v>63</v>
      </c>
      <c r="T415" s="105">
        <f>_xlfn.FLOOR.MATH(38+0.51*B415)</f>
        <v>94</v>
      </c>
      <c r="U415" s="102">
        <v>20</v>
      </c>
      <c r="V415" s="102">
        <v>27</v>
      </c>
      <c r="W415" s="106" t="s">
        <v>52</v>
      </c>
      <c r="Y415" s="102" t="s">
        <v>54</v>
      </c>
      <c r="Z415" s="102" t="s">
        <v>55</v>
      </c>
      <c r="AA415" s="104">
        <v>0</v>
      </c>
      <c r="AB415" s="105">
        <v>0</v>
      </c>
      <c r="AC415" s="104">
        <v>4</v>
      </c>
      <c r="AD415" s="123" t="s">
        <v>1144</v>
      </c>
      <c r="AE415" s="104">
        <v>60</v>
      </c>
      <c r="AF415" s="105">
        <v>110</v>
      </c>
      <c r="AG415" s="104">
        <v>2.8</v>
      </c>
      <c r="AH415" s="102">
        <v>5.1</v>
      </c>
      <c r="AI415" s="105">
        <v>0.75</v>
      </c>
      <c r="AJ415" s="104">
        <v>40</v>
      </c>
      <c r="AK415" s="102">
        <v>50</v>
      </c>
      <c r="AL415" s="102">
        <v>40</v>
      </c>
      <c r="AM415" s="105">
        <v>0</v>
      </c>
      <c r="AN415" s="104">
        <v>65</v>
      </c>
      <c r="AO415" s="102">
        <v>0</v>
      </c>
      <c r="AP415" s="102">
        <v>54</v>
      </c>
      <c r="AQ415" s="105">
        <v>8</v>
      </c>
      <c r="AR415" s="108" t="s">
        <v>1145</v>
      </c>
      <c r="AU415" s="125"/>
      <c r="AV415" s="112" t="s">
        <v>1146</v>
      </c>
    </row>
    <row r="416" spans="1:47">
      <c r="A416" s="100">
        <v>10044712</v>
      </c>
      <c r="B416" s="101">
        <v>110</v>
      </c>
      <c r="C416" s="102">
        <v>3</v>
      </c>
      <c r="D416" s="103" t="s">
        <v>1147</v>
      </c>
      <c r="F416" s="103" t="s">
        <v>49</v>
      </c>
      <c r="G416" s="103">
        <v>2</v>
      </c>
      <c r="H416" s="103">
        <v>2</v>
      </c>
      <c r="I416" s="104" t="s">
        <v>330</v>
      </c>
      <c r="J416" s="102" t="s">
        <v>157</v>
      </c>
      <c r="K416" s="102">
        <v>40</v>
      </c>
      <c r="L416" s="103">
        <v>0</v>
      </c>
      <c r="M416" s="104">
        <v>54</v>
      </c>
      <c r="N416" s="102">
        <v>39</v>
      </c>
      <c r="O416" s="102">
        <v>42</v>
      </c>
      <c r="P416" s="102">
        <v>57</v>
      </c>
      <c r="Q416" s="104">
        <f>_xlfn.FLOOR.MATH(0+0*B416)</f>
        <v>0</v>
      </c>
      <c r="R416" s="102">
        <f>_xlfn.FLOOR.MATH(13+0.16*B416)</f>
        <v>30</v>
      </c>
      <c r="S416" s="102">
        <f>_xlfn.FLOOR.MATH(33+0.3*B416)</f>
        <v>66</v>
      </c>
      <c r="T416" s="105">
        <f>_xlfn.FLOOR.MATH(36+0.51*B416)</f>
        <v>92</v>
      </c>
      <c r="U416" s="102">
        <v>22</v>
      </c>
      <c r="V416" s="102">
        <v>33</v>
      </c>
      <c r="W416" s="106" t="s">
        <v>158</v>
      </c>
      <c r="Y416" s="102" t="s">
        <v>127</v>
      </c>
      <c r="Z416" s="102" t="s">
        <v>128</v>
      </c>
      <c r="AA416" s="104" t="s">
        <v>173</v>
      </c>
      <c r="AB416" s="105">
        <v>9</v>
      </c>
      <c r="AC416" s="104">
        <v>3</v>
      </c>
      <c r="AD416" s="123" t="s">
        <v>1018</v>
      </c>
      <c r="AE416" s="104">
        <v>35</v>
      </c>
      <c r="AF416" s="105">
        <v>65</v>
      </c>
      <c r="AG416" s="104">
        <v>1.28</v>
      </c>
      <c r="AH416" s="102">
        <v>2.4</v>
      </c>
      <c r="AI416" s="105">
        <v>0.75</v>
      </c>
      <c r="AJ416" s="104">
        <v>30</v>
      </c>
      <c r="AK416" s="102">
        <v>40</v>
      </c>
      <c r="AL416" s="102">
        <v>30</v>
      </c>
      <c r="AM416" s="105">
        <v>0</v>
      </c>
      <c r="AN416" s="104">
        <v>34</v>
      </c>
      <c r="AO416" s="102">
        <v>6</v>
      </c>
      <c r="AP416" s="102">
        <v>12</v>
      </c>
      <c r="AQ416" s="105">
        <v>14</v>
      </c>
      <c r="AU416" s="125" t="str">
        <f>HYPERLINK("http://www.jianrmod.cn/data/shipGetInfo.html?type=0&amp;cid=10044712","详细")</f>
        <v>详细</v>
      </c>
    </row>
    <row r="417" ht="52.8" spans="1:48">
      <c r="A417" s="100">
        <v>10044813</v>
      </c>
      <c r="B417" s="101">
        <v>110</v>
      </c>
      <c r="C417" s="102">
        <v>5</v>
      </c>
      <c r="D417" s="103" t="s">
        <v>1148</v>
      </c>
      <c r="F417" s="103" t="s">
        <v>49</v>
      </c>
      <c r="G417" s="103">
        <v>4</v>
      </c>
      <c r="H417" s="103">
        <v>3</v>
      </c>
      <c r="I417" s="104" t="s">
        <v>330</v>
      </c>
      <c r="J417" s="102" t="s">
        <v>61</v>
      </c>
      <c r="K417" s="102">
        <v>84</v>
      </c>
      <c r="L417" s="103">
        <v>0</v>
      </c>
      <c r="M417" s="104">
        <v>114</v>
      </c>
      <c r="N417" s="102">
        <v>104</v>
      </c>
      <c r="O417" s="102">
        <v>0</v>
      </c>
      <c r="P417" s="102">
        <v>81</v>
      </c>
      <c r="Q417" s="104">
        <f>_xlfn.FLOOR.MATH(0+0*B417)</f>
        <v>0</v>
      </c>
      <c r="R417" s="102">
        <f>_xlfn.FLOOR.MATH(13+0.25*B417)</f>
        <v>40</v>
      </c>
      <c r="S417" s="102">
        <f>_xlfn.FLOOR.MATH(29+0.2*B417)</f>
        <v>51</v>
      </c>
      <c r="T417" s="105">
        <f>_xlfn.FLOOR.MATH(40+0.51*B417)</f>
        <v>96</v>
      </c>
      <c r="U417" s="102">
        <v>5</v>
      </c>
      <c r="V417" s="102">
        <v>31</v>
      </c>
      <c r="W417" s="106" t="s">
        <v>52</v>
      </c>
      <c r="Y417" s="102" t="s">
        <v>54</v>
      </c>
      <c r="Z417" s="102" t="s">
        <v>55</v>
      </c>
      <c r="AA417" s="104" t="s">
        <v>173</v>
      </c>
      <c r="AB417" s="105">
        <v>9</v>
      </c>
      <c r="AC417" s="104">
        <v>4</v>
      </c>
      <c r="AD417" s="123" t="s">
        <v>1149</v>
      </c>
      <c r="AE417" s="104">
        <v>95</v>
      </c>
      <c r="AF417" s="105">
        <v>140</v>
      </c>
      <c r="AG417" s="104">
        <v>4.2</v>
      </c>
      <c r="AH417" s="102">
        <v>8.2</v>
      </c>
      <c r="AI417" s="105">
        <v>1.05</v>
      </c>
      <c r="AJ417" s="104">
        <v>50</v>
      </c>
      <c r="AK417" s="102">
        <v>60</v>
      </c>
      <c r="AL417" s="102">
        <v>60</v>
      </c>
      <c r="AM417" s="105">
        <v>0</v>
      </c>
      <c r="AN417" s="104">
        <v>89</v>
      </c>
      <c r="AO417" s="102">
        <v>0</v>
      </c>
      <c r="AP417" s="102">
        <v>84</v>
      </c>
      <c r="AQ417" s="105">
        <v>41</v>
      </c>
      <c r="AR417" s="108" t="s">
        <v>1150</v>
      </c>
      <c r="AT417" s="110">
        <v>0.222222222222222</v>
      </c>
      <c r="AV417" s="112" t="s">
        <v>893</v>
      </c>
    </row>
    <row r="418" spans="1:48">
      <c r="A418" s="100">
        <v>10044911</v>
      </c>
      <c r="B418" s="101">
        <v>110</v>
      </c>
      <c r="C418" s="102">
        <v>4</v>
      </c>
      <c r="D418" s="103" t="s">
        <v>1151</v>
      </c>
      <c r="F418" s="103" t="s">
        <v>49</v>
      </c>
      <c r="G418" s="103">
        <v>1</v>
      </c>
      <c r="H418" s="103">
        <v>2</v>
      </c>
      <c r="I418" s="104" t="s">
        <v>330</v>
      </c>
      <c r="J418" s="102" t="s">
        <v>246</v>
      </c>
      <c r="K418" s="102">
        <v>24</v>
      </c>
      <c r="L418" s="103">
        <v>0</v>
      </c>
      <c r="M418" s="104">
        <v>42</v>
      </c>
      <c r="N418" s="102">
        <v>25</v>
      </c>
      <c r="O418" s="102">
        <v>75</v>
      </c>
      <c r="P418" s="102">
        <v>50</v>
      </c>
      <c r="Q418" s="104">
        <f>_xlfn.FLOOR.MATH(22+0.3*B418)</f>
        <v>55</v>
      </c>
      <c r="R418" s="102">
        <f>_xlfn.FLOOR.MATH(9+0.1*B418)</f>
        <v>20</v>
      </c>
      <c r="S418" s="102">
        <f>_xlfn.FLOOR.MATH(48+0.4*B418)</f>
        <v>92</v>
      </c>
      <c r="T418" s="105">
        <f>_xlfn.FLOOR.MATH(30+0.52*B418)</f>
        <v>87</v>
      </c>
      <c r="U418" s="102">
        <v>10</v>
      </c>
      <c r="V418" s="102">
        <v>42</v>
      </c>
      <c r="W418" s="106" t="s">
        <v>115</v>
      </c>
      <c r="Y418" s="102" t="s">
        <v>241</v>
      </c>
      <c r="Z418" s="102" t="s">
        <v>128</v>
      </c>
      <c r="AA418" s="104">
        <v>0</v>
      </c>
      <c r="AB418" s="105">
        <v>0</v>
      </c>
      <c r="AC418" s="104">
        <v>2</v>
      </c>
      <c r="AD418" s="123" t="s">
        <v>868</v>
      </c>
      <c r="AE418" s="104">
        <v>10</v>
      </c>
      <c r="AF418" s="105">
        <v>20</v>
      </c>
      <c r="AG418" s="104">
        <v>0.48</v>
      </c>
      <c r="AH418" s="102">
        <v>0.9</v>
      </c>
      <c r="AI418" s="105">
        <v>0.5</v>
      </c>
      <c r="AJ418" s="104">
        <v>4</v>
      </c>
      <c r="AK418" s="102">
        <v>8</v>
      </c>
      <c r="AL418" s="102">
        <v>6</v>
      </c>
      <c r="AM418" s="105">
        <v>0</v>
      </c>
      <c r="AN418" s="104">
        <v>0</v>
      </c>
      <c r="AO418" s="102">
        <v>25</v>
      </c>
      <c r="AP418" s="102">
        <v>10</v>
      </c>
      <c r="AQ418" s="105">
        <v>0</v>
      </c>
      <c r="AV418" s="112" t="s">
        <v>1152</v>
      </c>
    </row>
    <row r="419" ht="66" spans="1:48">
      <c r="A419" s="100">
        <v>10045013</v>
      </c>
      <c r="B419" s="101">
        <v>110</v>
      </c>
      <c r="C419" s="102">
        <v>5</v>
      </c>
      <c r="D419" s="103" t="s">
        <v>1153</v>
      </c>
      <c r="F419" s="103" t="s">
        <v>49</v>
      </c>
      <c r="G419" s="103">
        <v>4</v>
      </c>
      <c r="H419" s="103">
        <v>4</v>
      </c>
      <c r="I419" s="104" t="s">
        <v>73</v>
      </c>
      <c r="J419" s="102" t="s">
        <v>61</v>
      </c>
      <c r="K419" s="102">
        <v>84</v>
      </c>
      <c r="L419" s="103">
        <v>0</v>
      </c>
      <c r="M419" s="104">
        <v>110</v>
      </c>
      <c r="N419" s="102">
        <v>96</v>
      </c>
      <c r="O419" s="102">
        <v>0</v>
      </c>
      <c r="P419" s="102">
        <v>53</v>
      </c>
      <c r="Q419" s="104">
        <f>_xlfn.FLOOR.MATH(0+0*B419)</f>
        <v>0</v>
      </c>
      <c r="R419" s="102">
        <f>_xlfn.FLOOR.MATH(16+0.2*B419)</f>
        <v>38</v>
      </c>
      <c r="S419" s="102">
        <f>_xlfn.FLOOR.MATH(26+0.2*B419)</f>
        <v>48</v>
      </c>
      <c r="T419" s="105">
        <f>_xlfn.FLOOR.MATH(40+0.55*B419)</f>
        <v>100</v>
      </c>
      <c r="U419" s="102">
        <v>5</v>
      </c>
      <c r="V419" s="102">
        <v>26</v>
      </c>
      <c r="W419" s="106" t="s">
        <v>52</v>
      </c>
      <c r="Y419" s="102" t="s">
        <v>54</v>
      </c>
      <c r="Z419" s="102" t="s">
        <v>55</v>
      </c>
      <c r="AA419" s="104">
        <v>0</v>
      </c>
      <c r="AB419" s="105">
        <v>0</v>
      </c>
      <c r="AC419" s="104">
        <v>4</v>
      </c>
      <c r="AD419" s="123" t="s">
        <v>1154</v>
      </c>
      <c r="AE419" s="104">
        <v>90</v>
      </c>
      <c r="AF419" s="105">
        <v>130</v>
      </c>
      <c r="AG419" s="104">
        <v>3.2</v>
      </c>
      <c r="AH419" s="102">
        <v>6</v>
      </c>
      <c r="AI419" s="105">
        <v>1.05</v>
      </c>
      <c r="AJ419" s="104">
        <v>50</v>
      </c>
      <c r="AK419" s="102">
        <v>60</v>
      </c>
      <c r="AL419" s="102">
        <v>60</v>
      </c>
      <c r="AM419" s="105">
        <v>0</v>
      </c>
      <c r="AN419" s="104">
        <v>85</v>
      </c>
      <c r="AO419" s="102">
        <v>0</v>
      </c>
      <c r="AP419" s="102">
        <v>80</v>
      </c>
      <c r="AQ419" s="105">
        <v>12</v>
      </c>
      <c r="AR419" s="108" t="s">
        <v>1155</v>
      </c>
      <c r="AV419" s="112" t="s">
        <v>1156</v>
      </c>
    </row>
    <row r="420" ht="66" spans="1:48">
      <c r="A420" s="100">
        <v>10045112</v>
      </c>
      <c r="B420" s="101">
        <v>110</v>
      </c>
      <c r="C420" s="102">
        <v>4</v>
      </c>
      <c r="D420" s="103" t="s">
        <v>1157</v>
      </c>
      <c r="E420" s="103" t="s">
        <v>1158</v>
      </c>
      <c r="F420" s="103" t="s">
        <v>49</v>
      </c>
      <c r="G420" s="103">
        <v>0</v>
      </c>
      <c r="H420" s="103">
        <v>3</v>
      </c>
      <c r="I420" s="104" t="s">
        <v>60</v>
      </c>
      <c r="J420" s="102" t="s">
        <v>157</v>
      </c>
      <c r="K420" s="102">
        <v>42</v>
      </c>
      <c r="L420" s="103">
        <v>2</v>
      </c>
      <c r="M420" s="104">
        <v>61</v>
      </c>
      <c r="N420" s="102">
        <v>50</v>
      </c>
      <c r="O420" s="102">
        <v>65</v>
      </c>
      <c r="P420" s="102">
        <v>59</v>
      </c>
      <c r="Q420" s="104">
        <f>_xlfn.FLOOR.MATH(0+0*B420)</f>
        <v>0</v>
      </c>
      <c r="R420" s="102">
        <f>_xlfn.FLOOR.MATH(13+0.35*B420)</f>
        <v>51</v>
      </c>
      <c r="S420" s="102">
        <f>_xlfn.FLOOR.MATH(35+0.4*B420)</f>
        <v>79</v>
      </c>
      <c r="T420" s="105">
        <f>_xlfn.FLOOR.MATH(36+0.51*B420)</f>
        <v>92</v>
      </c>
      <c r="U420" s="102">
        <v>5</v>
      </c>
      <c r="V420" s="102">
        <v>35</v>
      </c>
      <c r="W420" s="106" t="s">
        <v>158</v>
      </c>
      <c r="Y420" s="102" t="s">
        <v>127</v>
      </c>
      <c r="Z420" s="102" t="s">
        <v>128</v>
      </c>
      <c r="AA420" s="104" t="s">
        <v>173</v>
      </c>
      <c r="AB420" s="105">
        <v>9</v>
      </c>
      <c r="AC420" s="104">
        <v>3</v>
      </c>
      <c r="AD420" s="123" t="s">
        <v>168</v>
      </c>
      <c r="AE420" s="104">
        <v>40</v>
      </c>
      <c r="AF420" s="105">
        <v>65</v>
      </c>
      <c r="AG420" s="104">
        <v>1.28</v>
      </c>
      <c r="AH420" s="102">
        <v>2.4</v>
      </c>
      <c r="AI420" s="105">
        <v>0.75</v>
      </c>
      <c r="AJ420" s="104">
        <v>30</v>
      </c>
      <c r="AK420" s="102">
        <v>40</v>
      </c>
      <c r="AL420" s="102">
        <v>30</v>
      </c>
      <c r="AM420" s="105">
        <v>0</v>
      </c>
      <c r="AN420" s="104">
        <v>41</v>
      </c>
      <c r="AO420" s="102">
        <v>18</v>
      </c>
      <c r="AP420" s="102">
        <v>18</v>
      </c>
      <c r="AQ420" s="105">
        <v>15</v>
      </c>
      <c r="AR420" s="108" t="s">
        <v>1159</v>
      </c>
      <c r="AV420" s="112" t="s">
        <v>1160</v>
      </c>
    </row>
    <row r="421" spans="1:48">
      <c r="A421" s="100">
        <v>10045212</v>
      </c>
      <c r="B421" s="101">
        <v>110</v>
      </c>
      <c r="C421" s="102">
        <v>4</v>
      </c>
      <c r="D421" s="103" t="s">
        <v>1161</v>
      </c>
      <c r="F421" s="103" t="s">
        <v>49</v>
      </c>
      <c r="G421" s="103">
        <v>2</v>
      </c>
      <c r="H421" s="103">
        <v>2</v>
      </c>
      <c r="I421" s="104" t="s">
        <v>50</v>
      </c>
      <c r="J421" s="102" t="s">
        <v>157</v>
      </c>
      <c r="K421" s="102">
        <v>48</v>
      </c>
      <c r="L421" s="103">
        <v>0</v>
      </c>
      <c r="M421" s="104">
        <v>54</v>
      </c>
      <c r="N421" s="102">
        <v>48</v>
      </c>
      <c r="O421" s="102">
        <v>45</v>
      </c>
      <c r="P421" s="102">
        <v>66</v>
      </c>
      <c r="Q421" s="104">
        <f>_xlfn.FLOOR.MATH(0+0*B421)</f>
        <v>0</v>
      </c>
      <c r="R421" s="102">
        <f>_xlfn.FLOOR.MATH(13+0.26*B421)</f>
        <v>41</v>
      </c>
      <c r="S421" s="102">
        <f>_xlfn.FLOOR.MATH(30+0.4*B421)</f>
        <v>74</v>
      </c>
      <c r="T421" s="105">
        <f>_xlfn.FLOOR.MATH(35+0.51*B421)</f>
        <v>91</v>
      </c>
      <c r="U421" s="102">
        <v>7</v>
      </c>
      <c r="V421" s="102">
        <v>31</v>
      </c>
      <c r="W421" s="106" t="s">
        <v>158</v>
      </c>
      <c r="Y421" s="102" t="s">
        <v>127</v>
      </c>
      <c r="Z421" s="102" t="s">
        <v>128</v>
      </c>
      <c r="AA421" s="104">
        <v>0</v>
      </c>
      <c r="AB421" s="105">
        <v>0</v>
      </c>
      <c r="AC421" s="104">
        <v>3</v>
      </c>
      <c r="AD421" s="123" t="s">
        <v>440</v>
      </c>
      <c r="AE421" s="104">
        <v>35</v>
      </c>
      <c r="AF421" s="105">
        <v>70</v>
      </c>
      <c r="AG421" s="104">
        <v>1.28</v>
      </c>
      <c r="AH421" s="102">
        <v>2.4</v>
      </c>
      <c r="AI421" s="105">
        <v>0.75</v>
      </c>
      <c r="AJ421" s="104">
        <v>30</v>
      </c>
      <c r="AK421" s="102">
        <v>40</v>
      </c>
      <c r="AL421" s="102">
        <v>30</v>
      </c>
      <c r="AM421" s="105">
        <v>0</v>
      </c>
      <c r="AN421" s="104">
        <v>38</v>
      </c>
      <c r="AO421" s="102">
        <v>5</v>
      </c>
      <c r="AP421" s="102">
        <v>17</v>
      </c>
      <c r="AQ421" s="105">
        <v>18</v>
      </c>
      <c r="AT421" s="110">
        <v>0.0590277777777778</v>
      </c>
      <c r="AV421" s="112" t="s">
        <v>893</v>
      </c>
    </row>
    <row r="422" spans="1:48">
      <c r="A422" s="100">
        <v>10045311</v>
      </c>
      <c r="B422" s="101">
        <v>110</v>
      </c>
      <c r="C422" s="102">
        <v>4</v>
      </c>
      <c r="D422" s="103" t="s">
        <v>1162</v>
      </c>
      <c r="E422" s="103" t="s">
        <v>1163</v>
      </c>
      <c r="F422" s="103" t="s">
        <v>49</v>
      </c>
      <c r="G422" s="103">
        <v>2</v>
      </c>
      <c r="H422" s="103">
        <v>2</v>
      </c>
      <c r="I422" s="104" t="s">
        <v>60</v>
      </c>
      <c r="J422" s="102" t="s">
        <v>246</v>
      </c>
      <c r="K422" s="102">
        <v>16</v>
      </c>
      <c r="L422" s="103">
        <v>0</v>
      </c>
      <c r="M422" s="104">
        <v>32</v>
      </c>
      <c r="N422" s="102">
        <v>22</v>
      </c>
      <c r="O422" s="102">
        <v>78</v>
      </c>
      <c r="P422" s="102">
        <v>45</v>
      </c>
      <c r="Q422" s="104">
        <f>_xlfn.FLOOR.MATH(21+0.3*B422)</f>
        <v>54</v>
      </c>
      <c r="R422" s="102">
        <f>_xlfn.FLOOR.MATH(7+0.1*B422)</f>
        <v>18</v>
      </c>
      <c r="S422" s="102">
        <f>_xlfn.FLOOR.MATH(37+0.4*B422)</f>
        <v>81</v>
      </c>
      <c r="T422" s="105">
        <f>_xlfn.FLOOR.MATH(30+0.52*B422)</f>
        <v>87</v>
      </c>
      <c r="U422" s="102">
        <v>15</v>
      </c>
      <c r="V422" s="102">
        <v>34</v>
      </c>
      <c r="W422" s="106" t="s">
        <v>115</v>
      </c>
      <c r="Y422" s="102" t="s">
        <v>241</v>
      </c>
      <c r="Z422" s="102" t="s">
        <v>128</v>
      </c>
      <c r="AA422" s="104">
        <v>0</v>
      </c>
      <c r="AB422" s="105">
        <v>0</v>
      </c>
      <c r="AC422" s="104">
        <v>2</v>
      </c>
      <c r="AD422" s="123" t="s">
        <v>1164</v>
      </c>
      <c r="AE422" s="104">
        <v>15</v>
      </c>
      <c r="AF422" s="105">
        <v>20</v>
      </c>
      <c r="AG422" s="104">
        <v>0.48</v>
      </c>
      <c r="AH422" s="102">
        <v>0.9</v>
      </c>
      <c r="AI422" s="105">
        <v>0.5</v>
      </c>
      <c r="AJ422" s="104">
        <v>4</v>
      </c>
      <c r="AK422" s="102">
        <v>8</v>
      </c>
      <c r="AL422" s="102">
        <v>6</v>
      </c>
      <c r="AM422" s="105">
        <v>0</v>
      </c>
      <c r="AN422" s="104">
        <v>0</v>
      </c>
      <c r="AO422" s="102">
        <v>31</v>
      </c>
      <c r="AP422" s="102">
        <v>7</v>
      </c>
      <c r="AQ422" s="105">
        <v>0</v>
      </c>
      <c r="AT422" s="110">
        <v>0.0173611111111111</v>
      </c>
      <c r="AV422" s="112" t="s">
        <v>893</v>
      </c>
    </row>
    <row r="423" ht="79.2" spans="1:48">
      <c r="A423" s="100">
        <v>10045413</v>
      </c>
      <c r="B423" s="101">
        <v>110</v>
      </c>
      <c r="C423" s="102">
        <v>6</v>
      </c>
      <c r="D423" s="103" t="s">
        <v>1165</v>
      </c>
      <c r="F423" s="103" t="s">
        <v>49</v>
      </c>
      <c r="G423" s="103">
        <v>5</v>
      </c>
      <c r="H423" s="103">
        <v>6</v>
      </c>
      <c r="I423" s="104" t="s">
        <v>50</v>
      </c>
      <c r="J423" s="102" t="s">
        <v>61</v>
      </c>
      <c r="K423" s="102">
        <v>81</v>
      </c>
      <c r="L423" s="103">
        <v>-1</v>
      </c>
      <c r="M423" s="104">
        <v>110</v>
      </c>
      <c r="N423" s="102">
        <v>105</v>
      </c>
      <c r="O423" s="102">
        <v>0</v>
      </c>
      <c r="P423" s="102">
        <v>98</v>
      </c>
      <c r="Q423" s="104">
        <f>_xlfn.FLOOR.MATH(0+0*B423)</f>
        <v>0</v>
      </c>
      <c r="R423" s="102">
        <f>_xlfn.FLOOR.MATH(15+0.25*B423)</f>
        <v>42</v>
      </c>
      <c r="S423" s="102">
        <f>_xlfn.FLOOR.MATH(28+0.2*B423)</f>
        <v>50</v>
      </c>
      <c r="T423" s="105">
        <f>_xlfn.FLOOR.MATH(41+0.51*B423)</f>
        <v>97</v>
      </c>
      <c r="U423" s="102">
        <v>6</v>
      </c>
      <c r="V423" s="102">
        <v>28.25</v>
      </c>
      <c r="W423" s="106" t="s">
        <v>52</v>
      </c>
      <c r="Y423" s="102" t="s">
        <v>54</v>
      </c>
      <c r="Z423" s="102" t="s">
        <v>55</v>
      </c>
      <c r="AA423" s="104">
        <v>0</v>
      </c>
      <c r="AB423" s="105">
        <v>0</v>
      </c>
      <c r="AC423" s="104">
        <v>4</v>
      </c>
      <c r="AD423" s="123" t="s">
        <v>1166</v>
      </c>
      <c r="AE423" s="104">
        <v>125</v>
      </c>
      <c r="AF423" s="105">
        <v>175</v>
      </c>
      <c r="AG423" s="104">
        <v>4.8</v>
      </c>
      <c r="AH423" s="102">
        <v>9</v>
      </c>
      <c r="AI423" s="105">
        <v>1</v>
      </c>
      <c r="AJ423" s="104">
        <v>50</v>
      </c>
      <c r="AK423" s="102">
        <v>60</v>
      </c>
      <c r="AL423" s="102">
        <v>60</v>
      </c>
      <c r="AM423" s="105">
        <v>0</v>
      </c>
      <c r="AN423" s="104">
        <v>91</v>
      </c>
      <c r="AO423" s="102">
        <v>0</v>
      </c>
      <c r="AP423" s="102">
        <v>80</v>
      </c>
      <c r="AQ423" s="105">
        <v>66</v>
      </c>
      <c r="AR423" s="108" t="s">
        <v>1167</v>
      </c>
      <c r="AV423" s="112" t="s">
        <v>1168</v>
      </c>
    </row>
    <row r="424" ht="52.8" spans="1:48">
      <c r="A424" s="100">
        <v>10045513</v>
      </c>
      <c r="B424" s="101">
        <v>110</v>
      </c>
      <c r="C424" s="102">
        <v>6</v>
      </c>
      <c r="D424" s="103" t="s">
        <v>389</v>
      </c>
      <c r="F424" s="103" t="s">
        <v>49</v>
      </c>
      <c r="G424" s="103">
        <v>3</v>
      </c>
      <c r="H424" s="103">
        <v>3</v>
      </c>
      <c r="I424" s="104" t="s">
        <v>50</v>
      </c>
      <c r="J424" s="102" t="s">
        <v>380</v>
      </c>
      <c r="K424" s="102">
        <v>84</v>
      </c>
      <c r="L424" s="103">
        <v>0</v>
      </c>
      <c r="M424" s="104">
        <v>45</v>
      </c>
      <c r="N424" s="102">
        <v>95</v>
      </c>
      <c r="O424" s="102">
        <v>0</v>
      </c>
      <c r="P424" s="102">
        <v>110</v>
      </c>
      <c r="Q424" s="104">
        <f>_xlfn.FLOOR.MATH(0+0*B424)</f>
        <v>0</v>
      </c>
      <c r="R424" s="102">
        <f>_xlfn.FLOOR.MATH(40+0.25*B424)</f>
        <v>67</v>
      </c>
      <c r="S424" s="102">
        <f>_xlfn.FLOOR.MATH(29+0.2*B424)</f>
        <v>51</v>
      </c>
      <c r="T424" s="105">
        <f>_xlfn.FLOOR.MATH(32+0.52*B424)</f>
        <v>89</v>
      </c>
      <c r="U424" s="102">
        <v>15</v>
      </c>
      <c r="V424" s="102">
        <v>31.5</v>
      </c>
      <c r="W424" s="106" t="s">
        <v>115</v>
      </c>
      <c r="Y424" s="102" t="s">
        <v>54</v>
      </c>
      <c r="Z424" s="102" t="s">
        <v>55</v>
      </c>
      <c r="AA424" s="104" t="s">
        <v>1169</v>
      </c>
      <c r="AB424" s="105">
        <v>83</v>
      </c>
      <c r="AC424" s="104">
        <v>4</v>
      </c>
      <c r="AD424" s="123" t="s">
        <v>628</v>
      </c>
      <c r="AE424" s="104">
        <v>95</v>
      </c>
      <c r="AF424" s="105">
        <v>130</v>
      </c>
      <c r="AG424" s="104">
        <v>3.5</v>
      </c>
      <c r="AH424" s="102">
        <v>5.8</v>
      </c>
      <c r="AI424" s="105">
        <v>1.15</v>
      </c>
      <c r="AJ424" s="104">
        <v>20</v>
      </c>
      <c r="AK424" s="102">
        <v>20</v>
      </c>
      <c r="AL424" s="102">
        <v>40</v>
      </c>
      <c r="AM424" s="105">
        <v>10</v>
      </c>
      <c r="AN424" s="104">
        <v>3</v>
      </c>
      <c r="AO424" s="102">
        <v>0</v>
      </c>
      <c r="AP424" s="102">
        <v>33</v>
      </c>
      <c r="AQ424" s="105">
        <v>124</v>
      </c>
      <c r="AR424" s="108" t="s">
        <v>1170</v>
      </c>
      <c r="AV424" s="112" t="s">
        <v>1171</v>
      </c>
    </row>
    <row r="425" ht="26.4" spans="1:48">
      <c r="A425" s="100">
        <v>10045612</v>
      </c>
      <c r="B425" s="101">
        <v>110</v>
      </c>
      <c r="C425" s="102">
        <v>4</v>
      </c>
      <c r="D425" s="103" t="s">
        <v>1172</v>
      </c>
      <c r="F425" s="103" t="s">
        <v>49</v>
      </c>
      <c r="G425" s="103">
        <v>2</v>
      </c>
      <c r="H425" s="103">
        <v>3</v>
      </c>
      <c r="I425" s="104" t="s">
        <v>326</v>
      </c>
      <c r="J425" s="102" t="s">
        <v>157</v>
      </c>
      <c r="K425" s="102">
        <v>52</v>
      </c>
      <c r="L425" s="103">
        <v>0</v>
      </c>
      <c r="M425" s="104">
        <v>56</v>
      </c>
      <c r="N425" s="102">
        <v>51</v>
      </c>
      <c r="O425" s="102">
        <v>55</v>
      </c>
      <c r="P425" s="102">
        <v>67</v>
      </c>
      <c r="Q425" s="104">
        <f>_xlfn.FLOOR.MATH(0+0*B425)</f>
        <v>0</v>
      </c>
      <c r="R425" s="102">
        <f>_xlfn.FLOOR.MATH(15+0.33*B425)</f>
        <v>51</v>
      </c>
      <c r="S425" s="102">
        <f>_xlfn.FLOOR.MATH(30+0.4*B425)</f>
        <v>74</v>
      </c>
      <c r="T425" s="105">
        <f>_xlfn.FLOOR.MATH(35+0.51*B425)</f>
        <v>91</v>
      </c>
      <c r="U425" s="102">
        <v>10</v>
      </c>
      <c r="V425" s="102">
        <v>32.6</v>
      </c>
      <c r="W425" s="106" t="s">
        <v>158</v>
      </c>
      <c r="X425" s="106" t="s">
        <v>1173</v>
      </c>
      <c r="Y425" s="102" t="s">
        <v>127</v>
      </c>
      <c r="Z425" s="102" t="s">
        <v>128</v>
      </c>
      <c r="AA425" s="104">
        <v>0</v>
      </c>
      <c r="AB425" s="105">
        <v>0</v>
      </c>
      <c r="AC425" s="104">
        <v>3</v>
      </c>
      <c r="AD425" s="123" t="s">
        <v>174</v>
      </c>
      <c r="AE425" s="104">
        <v>35</v>
      </c>
      <c r="AF425" s="105">
        <v>65</v>
      </c>
      <c r="AG425" s="104">
        <v>1.28</v>
      </c>
      <c r="AH425" s="102">
        <v>2.6</v>
      </c>
      <c r="AI425" s="105">
        <v>0.8</v>
      </c>
      <c r="AJ425" s="104">
        <v>30</v>
      </c>
      <c r="AK425" s="102">
        <v>40</v>
      </c>
      <c r="AL425" s="102">
        <v>30</v>
      </c>
      <c r="AM425" s="105">
        <v>0</v>
      </c>
      <c r="AN425" s="104">
        <v>36</v>
      </c>
      <c r="AO425" s="102">
        <v>10</v>
      </c>
      <c r="AP425" s="102">
        <v>18</v>
      </c>
      <c r="AQ425" s="105">
        <v>20</v>
      </c>
      <c r="AV425" s="112" t="s">
        <v>1171</v>
      </c>
    </row>
    <row r="426" ht="26.4" spans="1:48">
      <c r="A426" s="100">
        <v>10045711</v>
      </c>
      <c r="B426" s="101">
        <v>110</v>
      </c>
      <c r="C426" s="102">
        <v>3</v>
      </c>
      <c r="D426" s="103" t="s">
        <v>1174</v>
      </c>
      <c r="E426" s="103" t="s">
        <v>1175</v>
      </c>
      <c r="F426" s="103" t="s">
        <v>49</v>
      </c>
      <c r="G426" s="103">
        <v>1</v>
      </c>
      <c r="H426" s="103">
        <v>2</v>
      </c>
      <c r="I426" s="104" t="s">
        <v>60</v>
      </c>
      <c r="J426" s="102" t="s">
        <v>246</v>
      </c>
      <c r="K426" s="102">
        <v>15</v>
      </c>
      <c r="L426" s="103">
        <v>1</v>
      </c>
      <c r="M426" s="104">
        <v>31</v>
      </c>
      <c r="N426" s="102">
        <v>22</v>
      </c>
      <c r="O426" s="102">
        <v>75</v>
      </c>
      <c r="P426" s="102">
        <v>43</v>
      </c>
      <c r="Q426" s="104">
        <f>_xlfn.FLOOR.MATH(16+0.3*B426)</f>
        <v>49</v>
      </c>
      <c r="R426" s="102">
        <f>_xlfn.FLOOR.MATH(6+0.1*B426)</f>
        <v>17</v>
      </c>
      <c r="S426" s="102">
        <f>_xlfn.FLOOR.MATH(45+0.4*B426)</f>
        <v>89</v>
      </c>
      <c r="T426" s="105">
        <f>_xlfn.FLOOR.MATH(30+0.52*B426)</f>
        <v>87</v>
      </c>
      <c r="U426" s="102">
        <v>19</v>
      </c>
      <c r="V426" s="102">
        <v>38</v>
      </c>
      <c r="W426" s="106" t="s">
        <v>115</v>
      </c>
      <c r="Y426" s="102" t="s">
        <v>241</v>
      </c>
      <c r="Z426" s="102" t="s">
        <v>128</v>
      </c>
      <c r="AA426" s="104">
        <v>0</v>
      </c>
      <c r="AB426" s="105">
        <v>0</v>
      </c>
      <c r="AC426" s="104">
        <v>2</v>
      </c>
      <c r="AD426" s="123" t="s">
        <v>1176</v>
      </c>
      <c r="AE426" s="104">
        <v>15</v>
      </c>
      <c r="AF426" s="105">
        <v>20</v>
      </c>
      <c r="AG426" s="104">
        <v>0.48</v>
      </c>
      <c r="AH426" s="102">
        <v>0.9</v>
      </c>
      <c r="AI426" s="105">
        <v>0.5</v>
      </c>
      <c r="AJ426" s="104">
        <v>4</v>
      </c>
      <c r="AK426" s="102">
        <v>8</v>
      </c>
      <c r="AL426" s="102">
        <v>6</v>
      </c>
      <c r="AM426" s="105">
        <v>0</v>
      </c>
      <c r="AN426" s="104">
        <v>0</v>
      </c>
      <c r="AO426" s="102">
        <v>28</v>
      </c>
      <c r="AP426" s="102">
        <v>7</v>
      </c>
      <c r="AQ426" s="105">
        <v>0</v>
      </c>
      <c r="AV426" s="112" t="s">
        <v>1171</v>
      </c>
    </row>
    <row r="427" ht="26.4" spans="1:48">
      <c r="A427" s="100">
        <v>10045811</v>
      </c>
      <c r="B427" s="101">
        <v>110</v>
      </c>
      <c r="C427" s="102">
        <v>4</v>
      </c>
      <c r="D427" s="103" t="s">
        <v>1177</v>
      </c>
      <c r="F427" s="103" t="s">
        <v>49</v>
      </c>
      <c r="G427" s="103">
        <v>5</v>
      </c>
      <c r="H427" s="103">
        <v>5</v>
      </c>
      <c r="I427" s="104" t="s">
        <v>919</v>
      </c>
      <c r="J427" s="102" t="s">
        <v>560</v>
      </c>
      <c r="K427" s="102">
        <v>8</v>
      </c>
      <c r="L427" s="103">
        <v>0</v>
      </c>
      <c r="M427" s="104">
        <v>21</v>
      </c>
      <c r="N427" s="102">
        <v>20</v>
      </c>
      <c r="O427" s="102">
        <v>65</v>
      </c>
      <c r="P427" s="102">
        <v>0</v>
      </c>
      <c r="Q427" s="104">
        <f>_xlfn.FLOOR.MATH(0+0*B427)</f>
        <v>0</v>
      </c>
      <c r="R427" s="102">
        <f>_xlfn.FLOOR.MATH(13+0.3*B427)</f>
        <v>46</v>
      </c>
      <c r="S427" s="102">
        <f>_xlfn.FLOOR.MATH(27+0.3*B427)</f>
        <v>60</v>
      </c>
      <c r="T427" s="105">
        <f>_xlfn.FLOOR.MATH(33+0.6*B427)</f>
        <v>99</v>
      </c>
      <c r="U427" s="102">
        <v>20</v>
      </c>
      <c r="V427" s="102">
        <v>12.6</v>
      </c>
      <c r="W427" s="106" t="s">
        <v>115</v>
      </c>
      <c r="Y427" s="102" t="s">
        <v>241</v>
      </c>
      <c r="Z427" s="102" t="s">
        <v>128</v>
      </c>
      <c r="AA427" s="104">
        <v>0</v>
      </c>
      <c r="AB427" s="105">
        <v>0</v>
      </c>
      <c r="AC427" s="104">
        <v>2</v>
      </c>
      <c r="AD427" s="123"/>
      <c r="AE427" s="104">
        <v>10</v>
      </c>
      <c r="AF427" s="105">
        <v>20</v>
      </c>
      <c r="AG427" s="104">
        <v>0.5</v>
      </c>
      <c r="AH427" s="102">
        <v>0.4</v>
      </c>
      <c r="AI427" s="105">
        <v>0.165</v>
      </c>
      <c r="AJ427" s="104">
        <v>10</v>
      </c>
      <c r="AK427" s="102">
        <v>10</v>
      </c>
      <c r="AL427" s="102">
        <v>20</v>
      </c>
      <c r="AM427" s="105">
        <v>0</v>
      </c>
      <c r="AN427" s="104">
        <v>0</v>
      </c>
      <c r="AO427" s="102">
        <v>15</v>
      </c>
      <c r="AP427" s="102">
        <v>5</v>
      </c>
      <c r="AQ427" s="105">
        <v>0</v>
      </c>
      <c r="AR427" s="108" t="s">
        <v>1178</v>
      </c>
      <c r="AV427" s="112" t="s">
        <v>1179</v>
      </c>
    </row>
    <row r="428" spans="1:48">
      <c r="A428" s="100">
        <v>10045912</v>
      </c>
      <c r="B428" s="101">
        <v>110</v>
      </c>
      <c r="C428" s="102">
        <v>3</v>
      </c>
      <c r="D428" s="103" t="s">
        <v>1180</v>
      </c>
      <c r="F428" s="103" t="s">
        <v>49</v>
      </c>
      <c r="G428" s="103">
        <v>2</v>
      </c>
      <c r="H428" s="103">
        <v>2</v>
      </c>
      <c r="I428" s="104" t="s">
        <v>86</v>
      </c>
      <c r="J428" s="102" t="s">
        <v>184</v>
      </c>
      <c r="K428" s="102">
        <v>28</v>
      </c>
      <c r="L428" s="103">
        <v>0</v>
      </c>
      <c r="M428" s="104">
        <v>45</v>
      </c>
      <c r="N428" s="102">
        <v>35</v>
      </c>
      <c r="O428" s="102">
        <v>58</v>
      </c>
      <c r="P428" s="102">
        <v>55</v>
      </c>
      <c r="Q428" s="104">
        <f>_xlfn.FLOOR.MATH(20+0.4*B428)</f>
        <v>64</v>
      </c>
      <c r="R428" s="102">
        <f>_xlfn.FLOOR.MATH(8+0.11*B428)</f>
        <v>20</v>
      </c>
      <c r="S428" s="102">
        <f>_xlfn.FLOOR.MATH(32+0.35*B428)</f>
        <v>70</v>
      </c>
      <c r="T428" s="105">
        <f>_xlfn.FLOOR.MATH(33+0.52*B428)</f>
        <v>90</v>
      </c>
      <c r="U428" s="102">
        <v>20</v>
      </c>
      <c r="V428" s="102">
        <v>35</v>
      </c>
      <c r="W428" s="106" t="s">
        <v>158</v>
      </c>
      <c r="Y428" s="102" t="s">
        <v>127</v>
      </c>
      <c r="Z428" s="102" t="s">
        <v>128</v>
      </c>
      <c r="AA428" s="104" t="s">
        <v>160</v>
      </c>
      <c r="AB428" s="105">
        <v>6</v>
      </c>
      <c r="AC428" s="104">
        <v>3</v>
      </c>
      <c r="AD428" s="123" t="s">
        <v>1018</v>
      </c>
      <c r="AE428" s="104">
        <v>25</v>
      </c>
      <c r="AF428" s="105">
        <v>25</v>
      </c>
      <c r="AG428" s="104">
        <v>0.8</v>
      </c>
      <c r="AH428" s="102">
        <v>1.5</v>
      </c>
      <c r="AI428" s="105">
        <v>0.4</v>
      </c>
      <c r="AJ428" s="104">
        <v>10</v>
      </c>
      <c r="AK428" s="102">
        <v>16</v>
      </c>
      <c r="AL428" s="102">
        <v>10</v>
      </c>
      <c r="AM428" s="105">
        <v>0</v>
      </c>
      <c r="AN428" s="104">
        <v>10</v>
      </c>
      <c r="AO428" s="102">
        <v>18</v>
      </c>
      <c r="AP428" s="102">
        <v>8</v>
      </c>
      <c r="AQ428" s="105">
        <v>18</v>
      </c>
      <c r="AV428" s="112" t="s">
        <v>1181</v>
      </c>
    </row>
    <row r="429" ht="66" spans="1:48">
      <c r="A429" s="100">
        <v>10046013</v>
      </c>
      <c r="B429" s="101">
        <v>110</v>
      </c>
      <c r="C429" s="102">
        <v>4</v>
      </c>
      <c r="D429" s="103" t="s">
        <v>1182</v>
      </c>
      <c r="F429" s="103" t="s">
        <v>49</v>
      </c>
      <c r="G429" s="103">
        <v>3</v>
      </c>
      <c r="H429" s="103">
        <v>2</v>
      </c>
      <c r="I429" s="104" t="s">
        <v>86</v>
      </c>
      <c r="J429" s="102" t="s">
        <v>61</v>
      </c>
      <c r="K429" s="102">
        <v>68</v>
      </c>
      <c r="L429" s="103">
        <v>0</v>
      </c>
      <c r="M429" s="104">
        <v>93</v>
      </c>
      <c r="N429" s="102">
        <v>87</v>
      </c>
      <c r="O429" s="102">
        <v>0</v>
      </c>
      <c r="P429" s="102">
        <v>66</v>
      </c>
      <c r="Q429" s="104">
        <f>_xlfn.FLOOR.MATH(0+0*B429)</f>
        <v>0</v>
      </c>
      <c r="R429" s="102">
        <f>_xlfn.FLOOR.MATH(12+0.25*B429)</f>
        <v>39</v>
      </c>
      <c r="S429" s="102">
        <f>_xlfn.FLOOR.MATH(15+0.2*B429)</f>
        <v>37</v>
      </c>
      <c r="T429" s="105">
        <f>_xlfn.FLOOR.MATH(38+0.51*B429)</f>
        <v>94</v>
      </c>
      <c r="U429" s="102">
        <v>20</v>
      </c>
      <c r="V429" s="102">
        <v>21</v>
      </c>
      <c r="W429" s="106" t="s">
        <v>52</v>
      </c>
      <c r="Y429" s="102" t="s">
        <v>54</v>
      </c>
      <c r="Z429" s="102" t="s">
        <v>55</v>
      </c>
      <c r="AA429" s="104" t="s">
        <v>56</v>
      </c>
      <c r="AB429" s="105">
        <v>12</v>
      </c>
      <c r="AC429" s="104">
        <v>4</v>
      </c>
      <c r="AD429" s="123" t="s">
        <v>355</v>
      </c>
      <c r="AE429" s="104">
        <v>85</v>
      </c>
      <c r="AF429" s="105">
        <v>120</v>
      </c>
      <c r="AG429" s="104">
        <v>2.5</v>
      </c>
      <c r="AH429" s="102">
        <v>5.2</v>
      </c>
      <c r="AI429" s="105">
        <v>0.85</v>
      </c>
      <c r="AJ429" s="104">
        <v>50</v>
      </c>
      <c r="AK429" s="102">
        <v>60</v>
      </c>
      <c r="AL429" s="102">
        <v>60</v>
      </c>
      <c r="AM429" s="105">
        <v>0</v>
      </c>
      <c r="AN429" s="104">
        <v>73</v>
      </c>
      <c r="AO429" s="102">
        <v>0</v>
      </c>
      <c r="AP429" s="102">
        <v>67</v>
      </c>
      <c r="AQ429" s="105">
        <v>23</v>
      </c>
      <c r="AR429" s="108" t="s">
        <v>1183</v>
      </c>
      <c r="AV429" s="112" t="s">
        <v>1184</v>
      </c>
    </row>
    <row r="430" ht="92.4" spans="1:48">
      <c r="A430" s="100">
        <v>10046113</v>
      </c>
      <c r="B430" s="101">
        <v>110</v>
      </c>
      <c r="C430" s="102">
        <v>6</v>
      </c>
      <c r="D430" s="103" t="s">
        <v>1185</v>
      </c>
      <c r="F430" s="103" t="s">
        <v>49</v>
      </c>
      <c r="G430" s="103">
        <v>6</v>
      </c>
      <c r="H430" s="103">
        <v>5</v>
      </c>
      <c r="I430" s="104" t="s">
        <v>50</v>
      </c>
      <c r="J430" s="102" t="s">
        <v>51</v>
      </c>
      <c r="K430" s="102">
        <v>84</v>
      </c>
      <c r="L430" s="103">
        <v>0</v>
      </c>
      <c r="M430" s="104">
        <v>110</v>
      </c>
      <c r="N430" s="102">
        <v>107</v>
      </c>
      <c r="O430" s="102">
        <v>0</v>
      </c>
      <c r="P430" s="102">
        <v>73</v>
      </c>
      <c r="Q430" s="104">
        <f>_xlfn.FLOOR.MATH(0+0*B430)</f>
        <v>0</v>
      </c>
      <c r="R430" s="102">
        <f>_xlfn.FLOOR.MATH(17+0.25*B430)</f>
        <v>44</v>
      </c>
      <c r="S430" s="102">
        <f>_xlfn.FLOOR.MATH(30+0.2*B430)</f>
        <v>52</v>
      </c>
      <c r="T430" s="105">
        <f>_xlfn.FLOOR.MATH(39+0.56*B430)</f>
        <v>100</v>
      </c>
      <c r="U430" s="102">
        <v>6</v>
      </c>
      <c r="V430" s="102">
        <v>32</v>
      </c>
      <c r="W430" s="106" t="s">
        <v>52</v>
      </c>
      <c r="Y430" s="102" t="s">
        <v>54</v>
      </c>
      <c r="Z430" s="102" t="s">
        <v>55</v>
      </c>
      <c r="AA430" s="104">
        <v>0</v>
      </c>
      <c r="AB430" s="105">
        <v>0</v>
      </c>
      <c r="AC430" s="104">
        <v>4</v>
      </c>
      <c r="AD430" s="123" t="s">
        <v>80</v>
      </c>
      <c r="AE430" s="104">
        <v>130</v>
      </c>
      <c r="AF430" s="105">
        <v>175</v>
      </c>
      <c r="AG430" s="104">
        <v>4.8</v>
      </c>
      <c r="AH430" s="102">
        <v>9.1</v>
      </c>
      <c r="AI430" s="105">
        <v>0.95</v>
      </c>
      <c r="AJ430" s="104">
        <v>40</v>
      </c>
      <c r="AK430" s="102">
        <v>50</v>
      </c>
      <c r="AL430" s="102">
        <v>40</v>
      </c>
      <c r="AM430" s="105">
        <v>0</v>
      </c>
      <c r="AN430" s="104">
        <v>91</v>
      </c>
      <c r="AO430" s="102">
        <v>0</v>
      </c>
      <c r="AP430" s="102">
        <v>82</v>
      </c>
      <c r="AQ430" s="105">
        <v>29</v>
      </c>
      <c r="AR430" s="108" t="s">
        <v>1186</v>
      </c>
      <c r="AT430" s="110">
        <v>0.25</v>
      </c>
      <c r="AV430" s="112" t="s">
        <v>1187</v>
      </c>
    </row>
    <row r="431" spans="1:48">
      <c r="A431" s="100">
        <v>10046212</v>
      </c>
      <c r="B431" s="101">
        <v>110</v>
      </c>
      <c r="C431" s="102">
        <v>3</v>
      </c>
      <c r="D431" s="103" t="s">
        <v>1188</v>
      </c>
      <c r="E431" s="103" t="s">
        <v>1189</v>
      </c>
      <c r="F431" s="103" t="s">
        <v>49</v>
      </c>
      <c r="G431" s="103">
        <v>1</v>
      </c>
      <c r="H431" s="103">
        <v>3</v>
      </c>
      <c r="I431" s="104" t="s">
        <v>60</v>
      </c>
      <c r="J431" s="102" t="s">
        <v>184</v>
      </c>
      <c r="K431" s="102">
        <v>25</v>
      </c>
      <c r="L431" s="103">
        <v>-1</v>
      </c>
      <c r="M431" s="104">
        <v>41</v>
      </c>
      <c r="N431" s="102">
        <v>29</v>
      </c>
      <c r="O431" s="102">
        <v>58</v>
      </c>
      <c r="P431" s="102">
        <v>43</v>
      </c>
      <c r="Q431" s="104">
        <f>_xlfn.FLOOR.MATH(20+0.4*B431)</f>
        <v>64</v>
      </c>
      <c r="R431" s="102">
        <f>_xlfn.FLOOR.MATH(10+0.1*B431)</f>
        <v>21</v>
      </c>
      <c r="S431" s="102">
        <f>_xlfn.FLOOR.MATH(40+0.35*B431)</f>
        <v>78</v>
      </c>
      <c r="T431" s="105">
        <f>_xlfn.FLOOR.MATH(34+0.5*B431)</f>
        <v>89</v>
      </c>
      <c r="U431" s="102">
        <v>13</v>
      </c>
      <c r="V431" s="102">
        <v>36</v>
      </c>
      <c r="W431" s="106" t="s">
        <v>158</v>
      </c>
      <c r="Y431" s="102" t="s">
        <v>127</v>
      </c>
      <c r="Z431" s="102" t="s">
        <v>128</v>
      </c>
      <c r="AA431" s="104" t="s">
        <v>160</v>
      </c>
      <c r="AB431" s="105">
        <v>6</v>
      </c>
      <c r="AC431" s="104">
        <v>3</v>
      </c>
      <c r="AD431" s="123" t="s">
        <v>186</v>
      </c>
      <c r="AE431" s="104">
        <v>25</v>
      </c>
      <c r="AF431" s="105">
        <v>25</v>
      </c>
      <c r="AG431" s="104">
        <v>0.8</v>
      </c>
      <c r="AH431" s="102">
        <v>1.5</v>
      </c>
      <c r="AI431" s="105">
        <v>0.5</v>
      </c>
      <c r="AJ431" s="104">
        <v>10</v>
      </c>
      <c r="AK431" s="102">
        <v>16</v>
      </c>
      <c r="AL431" s="102">
        <v>10</v>
      </c>
      <c r="AM431" s="105">
        <v>0</v>
      </c>
      <c r="AN431" s="104">
        <v>8</v>
      </c>
      <c r="AO431" s="102">
        <v>21</v>
      </c>
      <c r="AP431" s="102">
        <v>5</v>
      </c>
      <c r="AQ431" s="105">
        <v>7</v>
      </c>
      <c r="AT431" s="110">
        <v>0.0486111111111111</v>
      </c>
      <c r="AV431" s="112" t="s">
        <v>1187</v>
      </c>
    </row>
    <row r="432" spans="1:48">
      <c r="A432" s="100">
        <v>10046311</v>
      </c>
      <c r="B432" s="101">
        <v>110</v>
      </c>
      <c r="C432" s="102">
        <v>4</v>
      </c>
      <c r="D432" s="103" t="s">
        <v>859</v>
      </c>
      <c r="F432" s="103" t="s">
        <v>49</v>
      </c>
      <c r="G432" s="103">
        <v>5</v>
      </c>
      <c r="H432" s="103">
        <v>4</v>
      </c>
      <c r="I432" s="104" t="s">
        <v>885</v>
      </c>
      <c r="J432" s="102" t="s">
        <v>560</v>
      </c>
      <c r="K432" s="102">
        <v>12</v>
      </c>
      <c r="L432" s="103">
        <v>0</v>
      </c>
      <c r="M432" s="104">
        <v>25</v>
      </c>
      <c r="N432" s="102">
        <v>25</v>
      </c>
      <c r="O432" s="102">
        <v>74</v>
      </c>
      <c r="P432" s="102">
        <v>0</v>
      </c>
      <c r="Q432" s="104">
        <f>_xlfn.FLOOR.MATH(0+0*B432)</f>
        <v>0</v>
      </c>
      <c r="R432" s="102">
        <f>_xlfn.FLOOR.MATH(11+0.3*B432)</f>
        <v>44</v>
      </c>
      <c r="S432" s="102">
        <f>_xlfn.FLOOR.MATH(20+0.2*B432)</f>
        <v>42</v>
      </c>
      <c r="T432" s="105">
        <f>_xlfn.FLOOR.MATH(31+0.59*B432)</f>
        <v>95</v>
      </c>
      <c r="U432" s="102">
        <v>15</v>
      </c>
      <c r="V432" s="102">
        <v>19.4</v>
      </c>
      <c r="W432" s="106" t="s">
        <v>115</v>
      </c>
      <c r="Y432" s="102" t="s">
        <v>241</v>
      </c>
      <c r="Z432" s="102" t="s">
        <v>128</v>
      </c>
      <c r="AA432" s="104">
        <v>0</v>
      </c>
      <c r="AB432" s="105">
        <v>0</v>
      </c>
      <c r="AC432" s="104">
        <v>2</v>
      </c>
      <c r="AD432" s="123" t="s">
        <v>1190</v>
      </c>
      <c r="AE432" s="104">
        <v>15</v>
      </c>
      <c r="AF432" s="105">
        <v>20</v>
      </c>
      <c r="AG432" s="104">
        <v>0.6</v>
      </c>
      <c r="AH432" s="102">
        <v>0.5</v>
      </c>
      <c r="AI432" s="105">
        <v>0.25</v>
      </c>
      <c r="AJ432" s="104">
        <v>10</v>
      </c>
      <c r="AK432" s="102">
        <v>10</v>
      </c>
      <c r="AL432" s="102">
        <v>20</v>
      </c>
      <c r="AM432" s="105">
        <v>0</v>
      </c>
      <c r="AN432" s="104">
        <v>0</v>
      </c>
      <c r="AO432" s="102">
        <v>24</v>
      </c>
      <c r="AP432" s="102">
        <v>10</v>
      </c>
      <c r="AQ432" s="105">
        <v>0</v>
      </c>
      <c r="AT432" s="110">
        <v>0.00694444444444444</v>
      </c>
      <c r="AV432" s="112" t="s">
        <v>1187</v>
      </c>
    </row>
    <row r="433" ht="52.8" spans="1:48">
      <c r="A433" s="100">
        <v>10046413</v>
      </c>
      <c r="B433" s="101">
        <v>110</v>
      </c>
      <c r="C433" s="102">
        <v>6</v>
      </c>
      <c r="D433" s="103" t="s">
        <v>590</v>
      </c>
      <c r="F433" s="103" t="s">
        <v>49</v>
      </c>
      <c r="G433" s="103">
        <v>2</v>
      </c>
      <c r="H433" s="103">
        <v>4</v>
      </c>
      <c r="I433" s="104" t="s">
        <v>86</v>
      </c>
      <c r="J433" s="102" t="s">
        <v>61</v>
      </c>
      <c r="K433" s="102">
        <v>80</v>
      </c>
      <c r="L433" s="103">
        <v>0</v>
      </c>
      <c r="M433" s="104">
        <v>123</v>
      </c>
      <c r="N433" s="102">
        <v>95</v>
      </c>
      <c r="O433" s="102">
        <v>0</v>
      </c>
      <c r="P433" s="102">
        <v>65</v>
      </c>
      <c r="Q433" s="104">
        <f>_xlfn.FLOOR.MATH(0+0*B433)</f>
        <v>0</v>
      </c>
      <c r="R433" s="102">
        <f>_xlfn.FLOOR.MATH(12+0.25*B433)</f>
        <v>39</v>
      </c>
      <c r="S433" s="102">
        <f>_xlfn.FLOOR.MATH(18+0.2*B433)</f>
        <v>40</v>
      </c>
      <c r="T433" s="105">
        <f>_xlfn.FLOOR.MATH(38+0.51*B433)</f>
        <v>94</v>
      </c>
      <c r="U433" s="102">
        <v>8</v>
      </c>
      <c r="V433" s="102">
        <v>23</v>
      </c>
      <c r="W433" s="106" t="s">
        <v>52</v>
      </c>
      <c r="Y433" s="102" t="s">
        <v>54</v>
      </c>
      <c r="Z433" s="102" t="s">
        <v>55</v>
      </c>
      <c r="AA433" s="104">
        <v>0</v>
      </c>
      <c r="AB433" s="105">
        <v>0</v>
      </c>
      <c r="AC433" s="104">
        <v>4</v>
      </c>
      <c r="AD433" s="123" t="s">
        <v>1191</v>
      </c>
      <c r="AE433" s="104">
        <v>100</v>
      </c>
      <c r="AF433" s="105">
        <v>185</v>
      </c>
      <c r="AG433" s="104">
        <v>3.7</v>
      </c>
      <c r="AH433" s="102">
        <v>8.1</v>
      </c>
      <c r="AI433" s="105">
        <v>0.85</v>
      </c>
      <c r="AJ433" s="104">
        <v>50</v>
      </c>
      <c r="AK433" s="102">
        <v>60</v>
      </c>
      <c r="AL433" s="102">
        <v>60</v>
      </c>
      <c r="AM433" s="105">
        <v>0</v>
      </c>
      <c r="AN433" s="104">
        <v>98</v>
      </c>
      <c r="AO433" s="102">
        <v>0</v>
      </c>
      <c r="AP433" s="102">
        <v>75</v>
      </c>
      <c r="AQ433" s="105">
        <v>23</v>
      </c>
      <c r="AR433" s="108" t="s">
        <v>1192</v>
      </c>
      <c r="AV433" s="112" t="s">
        <v>1181</v>
      </c>
    </row>
    <row r="434" spans="1:48">
      <c r="A434" s="100">
        <v>10046512</v>
      </c>
      <c r="B434" s="101">
        <v>110</v>
      </c>
      <c r="C434" s="102">
        <v>3</v>
      </c>
      <c r="D434" s="103" t="s">
        <v>1193</v>
      </c>
      <c r="F434" s="103" t="s">
        <v>49</v>
      </c>
      <c r="G434" s="103">
        <v>2</v>
      </c>
      <c r="H434" s="103">
        <v>2</v>
      </c>
      <c r="I434" s="104" t="s">
        <v>490</v>
      </c>
      <c r="J434" s="102" t="s">
        <v>184</v>
      </c>
      <c r="K434" s="102">
        <v>28</v>
      </c>
      <c r="L434" s="103">
        <v>0</v>
      </c>
      <c r="M434" s="104">
        <v>50</v>
      </c>
      <c r="N434" s="102">
        <v>47</v>
      </c>
      <c r="O434" s="102">
        <v>0</v>
      </c>
      <c r="P434" s="102">
        <v>60</v>
      </c>
      <c r="Q434" s="104">
        <f>_xlfn.FLOOR.MATH(25+0.3*B434)</f>
        <v>58</v>
      </c>
      <c r="R434" s="102">
        <f>_xlfn.FLOOR.MATH(12+0.1*B434)</f>
        <v>23</v>
      </c>
      <c r="S434" s="102">
        <f>_xlfn.FLOOR.MATH(31+0.36*B434)</f>
        <v>70</v>
      </c>
      <c r="T434" s="105">
        <f>_xlfn.FLOOR.MATH(35+0.5*B434)</f>
        <v>90</v>
      </c>
      <c r="U434" s="102">
        <v>15</v>
      </c>
      <c r="V434" s="102">
        <v>31</v>
      </c>
      <c r="W434" s="106" t="s">
        <v>158</v>
      </c>
      <c r="Y434" s="102" t="s">
        <v>127</v>
      </c>
      <c r="Z434" s="102" t="s">
        <v>128</v>
      </c>
      <c r="AA434" s="104">
        <v>0</v>
      </c>
      <c r="AB434" s="105">
        <v>0</v>
      </c>
      <c r="AC434" s="104">
        <v>3</v>
      </c>
      <c r="AD434" s="123" t="s">
        <v>1144</v>
      </c>
      <c r="AE434" s="104">
        <v>25</v>
      </c>
      <c r="AF434" s="105">
        <v>25</v>
      </c>
      <c r="AG434" s="104">
        <v>0.8</v>
      </c>
      <c r="AH434" s="102">
        <v>1.2</v>
      </c>
      <c r="AI434" s="105">
        <v>0.5</v>
      </c>
      <c r="AJ434" s="104">
        <v>10</v>
      </c>
      <c r="AK434" s="102">
        <v>16</v>
      </c>
      <c r="AL434" s="102">
        <v>10</v>
      </c>
      <c r="AM434" s="105">
        <v>0</v>
      </c>
      <c r="AN434" s="104">
        <v>10</v>
      </c>
      <c r="AO434" s="102">
        <v>0</v>
      </c>
      <c r="AP434" s="102">
        <v>14</v>
      </c>
      <c r="AQ434" s="105">
        <v>15</v>
      </c>
      <c r="AV434" s="112" t="s">
        <v>1181</v>
      </c>
    </row>
    <row r="435" ht="52.8" spans="1:48">
      <c r="A435" s="100">
        <v>10046711</v>
      </c>
      <c r="B435" s="101">
        <v>110</v>
      </c>
      <c r="C435" s="102">
        <v>4</v>
      </c>
      <c r="D435" s="103" t="s">
        <v>1194</v>
      </c>
      <c r="F435" s="103" t="s">
        <v>49</v>
      </c>
      <c r="G435" s="103">
        <v>2</v>
      </c>
      <c r="H435" s="103">
        <v>5</v>
      </c>
      <c r="I435" s="104" t="s">
        <v>233</v>
      </c>
      <c r="J435" s="102" t="s">
        <v>891</v>
      </c>
      <c r="K435" s="102">
        <v>20</v>
      </c>
      <c r="L435" s="103">
        <v>0</v>
      </c>
      <c r="M435" s="104">
        <v>37</v>
      </c>
      <c r="N435" s="102">
        <v>24</v>
      </c>
      <c r="O435" s="102">
        <v>1</v>
      </c>
      <c r="P435" s="102">
        <v>60</v>
      </c>
      <c r="Q435" s="104">
        <f>_xlfn.FLOOR.MATH(0+0*B435)</f>
        <v>0</v>
      </c>
      <c r="R435" s="102">
        <f>_xlfn.FLOOR.MATH(15+0.1*B435)</f>
        <v>26</v>
      </c>
      <c r="S435" s="102">
        <f>_xlfn.FLOOR.MATH(35+0.4*B435)</f>
        <v>79</v>
      </c>
      <c r="T435" s="105">
        <f>_xlfn.FLOOR.MATH(35+0.55*B435)</f>
        <v>95</v>
      </c>
      <c r="U435" s="102">
        <v>20</v>
      </c>
      <c r="V435" s="102">
        <v>39</v>
      </c>
      <c r="W435" s="106" t="s">
        <v>115</v>
      </c>
      <c r="Y435" s="102" t="s">
        <v>241</v>
      </c>
      <c r="Z435" s="102" t="s">
        <v>55</v>
      </c>
      <c r="AA435" s="104">
        <v>0</v>
      </c>
      <c r="AB435" s="105">
        <v>0</v>
      </c>
      <c r="AC435" s="104">
        <v>3</v>
      </c>
      <c r="AD435" s="123" t="s">
        <v>1195</v>
      </c>
      <c r="AE435" s="104">
        <v>20</v>
      </c>
      <c r="AF435" s="105">
        <v>50</v>
      </c>
      <c r="AG435" s="104">
        <v>0.48</v>
      </c>
      <c r="AH435" s="102">
        <v>1.2</v>
      </c>
      <c r="AI435" s="105">
        <v>0.6</v>
      </c>
      <c r="AJ435" s="104">
        <v>8</v>
      </c>
      <c r="AK435" s="102">
        <v>12</v>
      </c>
      <c r="AL435" s="102">
        <v>10</v>
      </c>
      <c r="AM435" s="105">
        <v>16</v>
      </c>
      <c r="AN435" s="104">
        <v>12</v>
      </c>
      <c r="AO435" s="102">
        <v>1</v>
      </c>
      <c r="AP435" s="102">
        <v>9</v>
      </c>
      <c r="AQ435" s="105">
        <v>30</v>
      </c>
      <c r="AR435" s="108" t="s">
        <v>1196</v>
      </c>
      <c r="AV435" s="112" t="s">
        <v>1197</v>
      </c>
    </row>
    <row r="436" ht="105.6" spans="1:48">
      <c r="A436" s="100">
        <v>10046813</v>
      </c>
      <c r="B436" s="101">
        <v>110</v>
      </c>
      <c r="C436" s="102">
        <v>4</v>
      </c>
      <c r="D436" s="103" t="s">
        <v>1198</v>
      </c>
      <c r="F436" s="103" t="s">
        <v>49</v>
      </c>
      <c r="G436" s="103">
        <v>2</v>
      </c>
      <c r="H436" s="103">
        <v>2</v>
      </c>
      <c r="I436" s="104" t="s">
        <v>50</v>
      </c>
      <c r="J436" s="102" t="s">
        <v>61</v>
      </c>
      <c r="K436" s="102">
        <v>56</v>
      </c>
      <c r="L436" s="103">
        <v>0</v>
      </c>
      <c r="M436" s="104">
        <v>89</v>
      </c>
      <c r="N436" s="102">
        <v>81</v>
      </c>
      <c r="O436" s="102">
        <v>0</v>
      </c>
      <c r="P436" s="102">
        <v>45</v>
      </c>
      <c r="Q436" s="104">
        <f>_xlfn.FLOOR.MATH(0+0*B436)</f>
        <v>0</v>
      </c>
      <c r="R436" s="102">
        <f>_xlfn.FLOOR.MATH(12+0.25*B436)</f>
        <v>39</v>
      </c>
      <c r="S436" s="102">
        <f>_xlfn.FLOOR.MATH(16+0.2*B436)</f>
        <v>38</v>
      </c>
      <c r="T436" s="105">
        <f>_xlfn.FLOOR.MATH(38+0.53*B436)</f>
        <v>96</v>
      </c>
      <c r="U436" s="102">
        <v>19</v>
      </c>
      <c r="V436" s="102">
        <v>21</v>
      </c>
      <c r="W436" s="106" t="s">
        <v>52</v>
      </c>
      <c r="Y436" s="102" t="s">
        <v>54</v>
      </c>
      <c r="Z436" s="102" t="s">
        <v>55</v>
      </c>
      <c r="AA436" s="104">
        <v>0</v>
      </c>
      <c r="AB436" s="105">
        <v>0</v>
      </c>
      <c r="AC436" s="104">
        <v>4</v>
      </c>
      <c r="AD436" s="123"/>
      <c r="AE436" s="104">
        <v>55</v>
      </c>
      <c r="AF436" s="105">
        <v>110</v>
      </c>
      <c r="AG436" s="104">
        <v>2.8</v>
      </c>
      <c r="AH436" s="102">
        <v>5</v>
      </c>
      <c r="AI436" s="105">
        <v>0.8</v>
      </c>
      <c r="AJ436" s="104">
        <v>50</v>
      </c>
      <c r="AK436" s="102">
        <v>60</v>
      </c>
      <c r="AL436" s="102">
        <v>60</v>
      </c>
      <c r="AM436" s="105">
        <v>0</v>
      </c>
      <c r="AN436" s="104">
        <v>69</v>
      </c>
      <c r="AO436" s="102">
        <v>0</v>
      </c>
      <c r="AP436" s="102">
        <v>61</v>
      </c>
      <c r="AQ436" s="105">
        <v>8</v>
      </c>
      <c r="AR436" s="108" t="s">
        <v>1199</v>
      </c>
      <c r="AV436" s="112" t="s">
        <v>1200</v>
      </c>
    </row>
    <row r="437" ht="79.2" spans="1:48">
      <c r="A437" s="100">
        <v>10046913</v>
      </c>
      <c r="B437" s="101">
        <v>110</v>
      </c>
      <c r="C437" s="102">
        <v>5</v>
      </c>
      <c r="D437" s="103" t="s">
        <v>1201</v>
      </c>
      <c r="F437" s="103" t="s">
        <v>49</v>
      </c>
      <c r="G437" s="103">
        <v>3</v>
      </c>
      <c r="H437" s="103">
        <v>3</v>
      </c>
      <c r="I437" s="104" t="s">
        <v>86</v>
      </c>
      <c r="J437" s="102" t="s">
        <v>114</v>
      </c>
      <c r="K437" s="102">
        <v>60</v>
      </c>
      <c r="L437" s="103">
        <v>0</v>
      </c>
      <c r="M437" s="104">
        <v>40</v>
      </c>
      <c r="N437" s="102">
        <v>60</v>
      </c>
      <c r="O437" s="102">
        <v>0</v>
      </c>
      <c r="P437" s="102">
        <v>101</v>
      </c>
      <c r="Q437" s="104">
        <f>_xlfn.FLOOR.MATH(0+0*B437)</f>
        <v>0</v>
      </c>
      <c r="R437" s="102">
        <f>_xlfn.FLOOR.MATH(50+0.25*B437)</f>
        <v>77</v>
      </c>
      <c r="S437" s="102">
        <f>_xlfn.FLOOR.MATH(30+0.2*B437)</f>
        <v>52</v>
      </c>
      <c r="T437" s="105">
        <f>_xlfn.FLOOR.MATH(37+0.54*B437)</f>
        <v>96</v>
      </c>
      <c r="U437" s="102">
        <v>18</v>
      </c>
      <c r="V437" s="102">
        <v>33</v>
      </c>
      <c r="W437" s="106" t="s">
        <v>115</v>
      </c>
      <c r="Y437" s="102" t="s">
        <v>54</v>
      </c>
      <c r="Z437" s="102" t="s">
        <v>55</v>
      </c>
      <c r="AA437" s="104" t="s">
        <v>1202</v>
      </c>
      <c r="AB437" s="105">
        <v>91</v>
      </c>
      <c r="AC437" s="104">
        <v>4</v>
      </c>
      <c r="AD437" s="123" t="s">
        <v>1203</v>
      </c>
      <c r="AE437" s="104">
        <v>60</v>
      </c>
      <c r="AF437" s="105">
        <v>65</v>
      </c>
      <c r="AG437" s="104">
        <v>2.4</v>
      </c>
      <c r="AH437" s="102">
        <v>4.6</v>
      </c>
      <c r="AI437" s="105">
        <v>0.8</v>
      </c>
      <c r="AJ437" s="104">
        <v>30</v>
      </c>
      <c r="AK437" s="102">
        <v>40</v>
      </c>
      <c r="AL437" s="102">
        <v>60</v>
      </c>
      <c r="AM437" s="105">
        <v>40</v>
      </c>
      <c r="AN437" s="104">
        <v>0</v>
      </c>
      <c r="AO437" s="102">
        <v>0</v>
      </c>
      <c r="AP437" s="102">
        <v>18</v>
      </c>
      <c r="AQ437" s="105">
        <v>113</v>
      </c>
      <c r="AR437" s="108" t="s">
        <v>1204</v>
      </c>
      <c r="AV437" s="112" t="s">
        <v>1200</v>
      </c>
    </row>
    <row r="438" spans="1:48">
      <c r="A438" s="100">
        <v>10047012</v>
      </c>
      <c r="B438" s="101">
        <v>110</v>
      </c>
      <c r="C438" s="102">
        <v>4</v>
      </c>
      <c r="D438" s="103" t="s">
        <v>1205</v>
      </c>
      <c r="F438" s="103" t="s">
        <v>49</v>
      </c>
      <c r="G438" s="103">
        <v>2</v>
      </c>
      <c r="H438" s="103">
        <v>2</v>
      </c>
      <c r="I438" s="104" t="s">
        <v>86</v>
      </c>
      <c r="J438" s="102" t="s">
        <v>125</v>
      </c>
      <c r="K438" s="102">
        <v>36</v>
      </c>
      <c r="L438" s="103">
        <v>0</v>
      </c>
      <c r="M438" s="104">
        <v>20</v>
      </c>
      <c r="N438" s="102">
        <v>27</v>
      </c>
      <c r="O438" s="102">
        <v>0</v>
      </c>
      <c r="P438" s="102">
        <v>70</v>
      </c>
      <c r="Q438" s="104">
        <f>_xlfn.FLOOR.MATH(0+0*B438)</f>
        <v>0</v>
      </c>
      <c r="R438" s="102">
        <f>_xlfn.FLOOR.MATH(38+0.27*B438)</f>
        <v>67</v>
      </c>
      <c r="S438" s="102">
        <f>_xlfn.FLOOR.MATH(15+0.2*B438)</f>
        <v>37</v>
      </c>
      <c r="T438" s="105">
        <f>_xlfn.FLOOR.MATH(35+0.51*B438)</f>
        <v>91</v>
      </c>
      <c r="U438" s="102">
        <v>15</v>
      </c>
      <c r="V438" s="102">
        <v>18</v>
      </c>
      <c r="W438" s="106" t="s">
        <v>115</v>
      </c>
      <c r="Y438" s="102" t="s">
        <v>127</v>
      </c>
      <c r="Z438" s="102" t="s">
        <v>128</v>
      </c>
      <c r="AA438" s="104" t="s">
        <v>410</v>
      </c>
      <c r="AB438" s="105">
        <v>28</v>
      </c>
      <c r="AC438" s="104">
        <v>3</v>
      </c>
      <c r="AD438" s="123" t="s">
        <v>1206</v>
      </c>
      <c r="AE438" s="104">
        <v>35</v>
      </c>
      <c r="AF438" s="105">
        <v>40</v>
      </c>
      <c r="AG438" s="104">
        <v>1.28</v>
      </c>
      <c r="AH438" s="102">
        <v>2.4</v>
      </c>
      <c r="AI438" s="105">
        <v>0.625</v>
      </c>
      <c r="AJ438" s="104">
        <v>20</v>
      </c>
      <c r="AK438" s="102">
        <v>30</v>
      </c>
      <c r="AL438" s="102">
        <v>50</v>
      </c>
      <c r="AM438" s="105">
        <v>20</v>
      </c>
      <c r="AN438" s="104">
        <v>0</v>
      </c>
      <c r="AO438" s="102">
        <v>0</v>
      </c>
      <c r="AP438" s="102">
        <v>4</v>
      </c>
      <c r="AQ438" s="105">
        <v>49</v>
      </c>
      <c r="AV438" s="112" t="s">
        <v>1200</v>
      </c>
    </row>
    <row r="439" spans="1:43">
      <c r="A439" s="100">
        <v>10047213</v>
      </c>
      <c r="B439" s="101">
        <v>110</v>
      </c>
      <c r="C439" s="102">
        <v>4</v>
      </c>
      <c r="D439" s="103" t="s">
        <v>1207</v>
      </c>
      <c r="F439" s="103" t="s">
        <v>49</v>
      </c>
      <c r="G439" s="103">
        <v>2</v>
      </c>
      <c r="H439" s="103">
        <v>2</v>
      </c>
      <c r="I439" s="104" t="s">
        <v>330</v>
      </c>
      <c r="J439" s="102" t="s">
        <v>114</v>
      </c>
      <c r="K439" s="102">
        <v>52</v>
      </c>
      <c r="L439" s="103">
        <v>0</v>
      </c>
      <c r="M439" s="104">
        <v>40</v>
      </c>
      <c r="N439" s="102">
        <v>53</v>
      </c>
      <c r="O439" s="102">
        <v>0</v>
      </c>
      <c r="P439" s="102">
        <v>76</v>
      </c>
      <c r="Q439" s="104">
        <f>_xlfn.FLOOR.MATH(0+0*B439)</f>
        <v>0</v>
      </c>
      <c r="R439" s="102">
        <f>_xlfn.FLOOR.MATH(45+0.25*B439)</f>
        <v>72</v>
      </c>
      <c r="S439" s="102">
        <f>_xlfn.FLOOR.MATH(31+0.2*B439)</f>
        <v>53</v>
      </c>
      <c r="T439" s="105">
        <f>_xlfn.FLOOR.MATH(37+0.54*B439)</f>
        <v>96</v>
      </c>
      <c r="U439" s="102">
        <v>6</v>
      </c>
      <c r="V439" s="102">
        <v>33</v>
      </c>
      <c r="W439" s="106" t="s">
        <v>115</v>
      </c>
      <c r="Y439" s="102" t="s">
        <v>54</v>
      </c>
      <c r="Z439" s="102" t="s">
        <v>55</v>
      </c>
      <c r="AA439" s="104" t="s">
        <v>1208</v>
      </c>
      <c r="AB439" s="105">
        <v>48</v>
      </c>
      <c r="AC439" s="104">
        <v>4</v>
      </c>
      <c r="AD439" s="123" t="s">
        <v>1209</v>
      </c>
      <c r="AE439" s="104">
        <v>55</v>
      </c>
      <c r="AF439" s="105">
        <v>60</v>
      </c>
      <c r="AG439" s="104">
        <v>2.3</v>
      </c>
      <c r="AH439" s="102">
        <v>4.3</v>
      </c>
      <c r="AI439" s="105">
        <v>0.8</v>
      </c>
      <c r="AJ439" s="104">
        <v>30</v>
      </c>
      <c r="AK439" s="102">
        <v>40</v>
      </c>
      <c r="AL439" s="102">
        <v>60</v>
      </c>
      <c r="AM439" s="105">
        <v>40</v>
      </c>
      <c r="AN439" s="104">
        <v>0</v>
      </c>
      <c r="AO439" s="102">
        <v>0</v>
      </c>
      <c r="AP439" s="102">
        <v>14</v>
      </c>
      <c r="AQ439" s="105">
        <v>56</v>
      </c>
    </row>
    <row r="440" spans="1:48">
      <c r="A440" s="100">
        <v>10047312</v>
      </c>
      <c r="B440" s="101">
        <v>110</v>
      </c>
      <c r="C440" s="102">
        <v>5</v>
      </c>
      <c r="D440" s="103" t="s">
        <v>1210</v>
      </c>
      <c r="F440" s="103" t="s">
        <v>49</v>
      </c>
      <c r="G440" s="103">
        <v>2</v>
      </c>
      <c r="H440" s="103">
        <v>2</v>
      </c>
      <c r="I440" s="104" t="s">
        <v>91</v>
      </c>
      <c r="J440" s="102" t="s">
        <v>184</v>
      </c>
      <c r="K440" s="102">
        <v>24</v>
      </c>
      <c r="L440" s="103">
        <v>0</v>
      </c>
      <c r="M440" s="104">
        <v>43</v>
      </c>
      <c r="N440" s="102">
        <v>27</v>
      </c>
      <c r="O440" s="102">
        <v>59</v>
      </c>
      <c r="P440" s="102">
        <v>49</v>
      </c>
      <c r="Q440" s="104">
        <f>_xlfn.FLOOR.MATH(25+0.3*B440)</f>
        <v>58</v>
      </c>
      <c r="R440" s="102">
        <f>_xlfn.FLOOR.MATH(12+0.1*B440)</f>
        <v>23</v>
      </c>
      <c r="S440" s="102">
        <f>_xlfn.FLOOR.MATH(48+0.44*B440)</f>
        <v>96</v>
      </c>
      <c r="T440" s="105">
        <f>_xlfn.FLOOR.MATH(34+0.52*B440)</f>
        <v>91</v>
      </c>
      <c r="U440" s="102">
        <v>20</v>
      </c>
      <c r="V440" s="102">
        <v>40</v>
      </c>
      <c r="W440" s="106" t="s">
        <v>158</v>
      </c>
      <c r="Y440" s="102" t="s">
        <v>127</v>
      </c>
      <c r="Z440" s="102" t="s">
        <v>128</v>
      </c>
      <c r="AA440" s="104">
        <v>0</v>
      </c>
      <c r="AB440" s="105">
        <v>0</v>
      </c>
      <c r="AC440" s="104">
        <v>3</v>
      </c>
      <c r="AD440" s="123" t="s">
        <v>873</v>
      </c>
      <c r="AE440" s="104">
        <v>15</v>
      </c>
      <c r="AF440" s="105">
        <v>20</v>
      </c>
      <c r="AG440" s="104">
        <v>0.64</v>
      </c>
      <c r="AH440" s="102">
        <v>1.1</v>
      </c>
      <c r="AI440" s="105">
        <v>0.4</v>
      </c>
      <c r="AJ440" s="104">
        <v>10</v>
      </c>
      <c r="AK440" s="102">
        <v>16</v>
      </c>
      <c r="AL440" s="102">
        <v>10</v>
      </c>
      <c r="AM440" s="105">
        <v>0</v>
      </c>
      <c r="AN440" s="104">
        <v>9</v>
      </c>
      <c r="AO440" s="102">
        <v>24</v>
      </c>
      <c r="AP440" s="102">
        <v>6</v>
      </c>
      <c r="AQ440" s="105">
        <v>10</v>
      </c>
      <c r="AV440" s="112" t="s">
        <v>1200</v>
      </c>
    </row>
    <row r="441" ht="79.2" spans="1:45">
      <c r="A441" s="100">
        <v>11000113</v>
      </c>
      <c r="B441" s="101">
        <v>110</v>
      </c>
      <c r="C441" s="102">
        <v>6</v>
      </c>
      <c r="D441" s="103" t="s">
        <v>1211</v>
      </c>
      <c r="F441" s="103" t="s">
        <v>1212</v>
      </c>
      <c r="G441" s="103">
        <v>6</v>
      </c>
      <c r="H441" s="103">
        <v>6</v>
      </c>
      <c r="I441" s="104" t="s">
        <v>50</v>
      </c>
      <c r="J441" s="102" t="s">
        <v>51</v>
      </c>
      <c r="K441" s="102">
        <v>80</v>
      </c>
      <c r="L441" s="103">
        <v>0</v>
      </c>
      <c r="M441" s="104">
        <v>103</v>
      </c>
      <c r="N441" s="102">
        <v>87</v>
      </c>
      <c r="O441" s="102">
        <v>0</v>
      </c>
      <c r="P441" s="102">
        <v>85</v>
      </c>
      <c r="Q441" s="104">
        <f>_xlfn.FLOOR.MATH(0+0*B441)</f>
        <v>0</v>
      </c>
      <c r="R441" s="102">
        <f>_xlfn.FLOOR.MATH(18+0.25*B441)</f>
        <v>45</v>
      </c>
      <c r="S441" s="102">
        <f>_xlfn.FLOOR.MATH(33+0.32*B441)</f>
        <v>68</v>
      </c>
      <c r="T441" s="105">
        <f>_xlfn.FLOOR.MATH(45+0.52*B441)</f>
        <v>102</v>
      </c>
      <c r="U441" s="102">
        <v>8</v>
      </c>
      <c r="V441" s="102">
        <v>32</v>
      </c>
      <c r="W441" s="106" t="s">
        <v>52</v>
      </c>
      <c r="Y441" s="102" t="s">
        <v>54</v>
      </c>
      <c r="Z441" s="102" t="s">
        <v>55</v>
      </c>
      <c r="AA441" s="104" t="s">
        <v>56</v>
      </c>
      <c r="AB441" s="105">
        <v>12</v>
      </c>
      <c r="AC441" s="104">
        <v>4</v>
      </c>
      <c r="AD441" s="123" t="s">
        <v>1213</v>
      </c>
      <c r="AE441" s="104">
        <v>70</v>
      </c>
      <c r="AF441" s="105">
        <v>120</v>
      </c>
      <c r="AG441" s="104">
        <v>2.88</v>
      </c>
      <c r="AH441" s="102">
        <v>5.4</v>
      </c>
      <c r="AI441" s="105">
        <v>0.75</v>
      </c>
      <c r="AJ441" s="104">
        <v>40</v>
      </c>
      <c r="AK441" s="102">
        <v>50</v>
      </c>
      <c r="AL441" s="102">
        <v>40</v>
      </c>
      <c r="AM441" s="105">
        <v>0</v>
      </c>
      <c r="AN441" s="104">
        <v>83</v>
      </c>
      <c r="AO441" s="102">
        <v>0</v>
      </c>
      <c r="AP441" s="102">
        <v>72</v>
      </c>
      <c r="AQ441" s="105">
        <v>47</v>
      </c>
      <c r="AR441" s="108" t="s">
        <v>1214</v>
      </c>
      <c r="AS441" s="109" t="s">
        <v>1215</v>
      </c>
    </row>
    <row r="442" ht="52.8" spans="1:44">
      <c r="A442" s="100">
        <v>11000213</v>
      </c>
      <c r="B442" s="101">
        <v>110</v>
      </c>
      <c r="C442" s="102">
        <v>4</v>
      </c>
      <c r="D442" s="103" t="s">
        <v>1216</v>
      </c>
      <c r="E442" s="103" t="s">
        <v>1217</v>
      </c>
      <c r="F442" s="103" t="s">
        <v>1212</v>
      </c>
      <c r="G442" s="103">
        <v>4</v>
      </c>
      <c r="H442" s="103">
        <v>3</v>
      </c>
      <c r="I442" s="104" t="s">
        <v>60</v>
      </c>
      <c r="J442" s="102" t="s">
        <v>480</v>
      </c>
      <c r="K442" s="102">
        <v>72</v>
      </c>
      <c r="L442" s="103">
        <v>0</v>
      </c>
      <c r="M442" s="104">
        <v>88</v>
      </c>
      <c r="N442" s="102">
        <v>84</v>
      </c>
      <c r="O442" s="102">
        <v>0</v>
      </c>
      <c r="P442" s="102">
        <v>67</v>
      </c>
      <c r="Q442" s="104">
        <f>_xlfn.FLOOR.MATH(0+0*B442)</f>
        <v>0</v>
      </c>
      <c r="R442" s="102">
        <f>_xlfn.FLOOR.MATH(20+0.25*B442)</f>
        <v>47</v>
      </c>
      <c r="S442" s="102">
        <f>_xlfn.FLOOR.MATH(27+0.23*B442)</f>
        <v>52</v>
      </c>
      <c r="T442" s="105">
        <f>_xlfn.FLOOR.MATH(43+0.52*B442)</f>
        <v>100</v>
      </c>
      <c r="U442" s="102">
        <v>9</v>
      </c>
      <c r="V442" s="102">
        <v>24</v>
      </c>
      <c r="W442" s="106" t="s">
        <v>52</v>
      </c>
      <c r="Y442" s="102" t="s">
        <v>54</v>
      </c>
      <c r="Z442" s="102" t="s">
        <v>55</v>
      </c>
      <c r="AA442" s="104" t="s">
        <v>1218</v>
      </c>
      <c r="AB442" s="105">
        <v>30</v>
      </c>
      <c r="AC442" s="104">
        <v>4</v>
      </c>
      <c r="AD442" s="123" t="s">
        <v>1219</v>
      </c>
      <c r="AE442" s="104">
        <v>85</v>
      </c>
      <c r="AF442" s="105">
        <v>120</v>
      </c>
      <c r="AG442" s="104">
        <v>2.5</v>
      </c>
      <c r="AH442" s="102">
        <v>5.1</v>
      </c>
      <c r="AI442" s="105">
        <v>1</v>
      </c>
      <c r="AJ442" s="104">
        <v>50</v>
      </c>
      <c r="AK442" s="102">
        <v>60</v>
      </c>
      <c r="AL442" s="102">
        <v>60</v>
      </c>
      <c r="AM442" s="105">
        <v>10</v>
      </c>
      <c r="AN442" s="104">
        <v>34</v>
      </c>
      <c r="AO442" s="102">
        <v>0</v>
      </c>
      <c r="AP442" s="102">
        <v>64</v>
      </c>
      <c r="AQ442" s="105">
        <v>38</v>
      </c>
      <c r="AR442" s="108" t="s">
        <v>1220</v>
      </c>
    </row>
    <row r="443" ht="52.8" spans="1:44">
      <c r="A443" s="100">
        <v>11000313</v>
      </c>
      <c r="B443" s="101">
        <v>110</v>
      </c>
      <c r="C443" s="102">
        <v>4</v>
      </c>
      <c r="D443" s="103" t="s">
        <v>1221</v>
      </c>
      <c r="E443" s="103" t="s">
        <v>1222</v>
      </c>
      <c r="F443" s="103" t="s">
        <v>1212</v>
      </c>
      <c r="G443" s="103">
        <v>4</v>
      </c>
      <c r="H443" s="103">
        <v>3</v>
      </c>
      <c r="I443" s="104" t="s">
        <v>60</v>
      </c>
      <c r="J443" s="102" t="s">
        <v>61</v>
      </c>
      <c r="K443" s="102">
        <v>72</v>
      </c>
      <c r="L443" s="103">
        <v>0</v>
      </c>
      <c r="M443" s="104">
        <v>107</v>
      </c>
      <c r="N443" s="102">
        <v>84</v>
      </c>
      <c r="O443" s="102">
        <v>0</v>
      </c>
      <c r="P443" s="102">
        <v>50</v>
      </c>
      <c r="Q443" s="104">
        <f>_xlfn.FLOOR.MATH(0+0*B443)</f>
        <v>0</v>
      </c>
      <c r="R443" s="102">
        <f>_xlfn.FLOOR.MATH(10+0.25*B443)</f>
        <v>37</v>
      </c>
      <c r="S443" s="102">
        <f>_xlfn.FLOOR.MATH(24+0.23*B443)</f>
        <v>49</v>
      </c>
      <c r="T443" s="105">
        <f>_xlfn.FLOOR.MATH(42+0.5*B443)</f>
        <v>97</v>
      </c>
      <c r="U443" s="102">
        <v>9</v>
      </c>
      <c r="V443" s="102">
        <v>23</v>
      </c>
      <c r="W443" s="106" t="s">
        <v>52</v>
      </c>
      <c r="Y443" s="102" t="s">
        <v>54</v>
      </c>
      <c r="Z443" s="102" t="s">
        <v>55</v>
      </c>
      <c r="AA443" s="104" t="s">
        <v>337</v>
      </c>
      <c r="AB443" s="105">
        <v>8</v>
      </c>
      <c r="AC443" s="104">
        <v>4</v>
      </c>
      <c r="AD443" s="123" t="s">
        <v>1223</v>
      </c>
      <c r="AE443" s="104">
        <v>85</v>
      </c>
      <c r="AF443" s="105">
        <v>135</v>
      </c>
      <c r="AG443" s="104">
        <v>2.5</v>
      </c>
      <c r="AH443" s="102">
        <v>5.2</v>
      </c>
      <c r="AI443" s="105">
        <v>1</v>
      </c>
      <c r="AJ443" s="104">
        <v>50</v>
      </c>
      <c r="AK443" s="102">
        <v>60</v>
      </c>
      <c r="AL443" s="102">
        <v>60</v>
      </c>
      <c r="AM443" s="105">
        <v>0</v>
      </c>
      <c r="AN443" s="104">
        <v>87</v>
      </c>
      <c r="AO443" s="102">
        <v>0</v>
      </c>
      <c r="AP443" s="102">
        <v>64</v>
      </c>
      <c r="AQ443" s="105">
        <v>13</v>
      </c>
      <c r="AR443" s="108" t="s">
        <v>1220</v>
      </c>
    </row>
    <row r="444" ht="26.4" spans="1:44">
      <c r="A444" s="100">
        <v>11000413</v>
      </c>
      <c r="B444" s="101">
        <v>110</v>
      </c>
      <c r="C444" s="102">
        <v>4</v>
      </c>
      <c r="D444" s="103" t="s">
        <v>1224</v>
      </c>
      <c r="E444" s="103" t="s">
        <v>1225</v>
      </c>
      <c r="F444" s="103" t="s">
        <v>1212</v>
      </c>
      <c r="G444" s="103">
        <v>3</v>
      </c>
      <c r="H444" s="103">
        <v>3</v>
      </c>
      <c r="I444" s="104" t="s">
        <v>60</v>
      </c>
      <c r="J444" s="102" t="s">
        <v>480</v>
      </c>
      <c r="K444" s="102">
        <v>79</v>
      </c>
      <c r="L444" s="103">
        <v>1</v>
      </c>
      <c r="M444" s="104">
        <v>87</v>
      </c>
      <c r="N444" s="102">
        <v>87</v>
      </c>
      <c r="O444" s="102">
        <v>0</v>
      </c>
      <c r="P444" s="102">
        <v>78</v>
      </c>
      <c r="Q444" s="104">
        <f>_xlfn.FLOOR.MATH(0+0*B444)</f>
        <v>0</v>
      </c>
      <c r="R444" s="102">
        <f>_xlfn.FLOOR.MATH(20+0.25*B444)</f>
        <v>47</v>
      </c>
      <c r="S444" s="102">
        <f>_xlfn.FLOOR.MATH(28+0.23*B444)</f>
        <v>53</v>
      </c>
      <c r="T444" s="105">
        <f>_xlfn.FLOOR.MATH(45+0.5*B444)</f>
        <v>100</v>
      </c>
      <c r="U444" s="102">
        <v>15</v>
      </c>
      <c r="V444" s="102">
        <v>24.5</v>
      </c>
      <c r="W444" s="106" t="s">
        <v>52</v>
      </c>
      <c r="Y444" s="102" t="s">
        <v>54</v>
      </c>
      <c r="Z444" s="102" t="s">
        <v>55</v>
      </c>
      <c r="AA444" s="104" t="s">
        <v>1226</v>
      </c>
      <c r="AB444" s="105">
        <v>24</v>
      </c>
      <c r="AC444" s="104">
        <v>4</v>
      </c>
      <c r="AD444" s="123" t="s">
        <v>1227</v>
      </c>
      <c r="AE444" s="104">
        <v>85</v>
      </c>
      <c r="AF444" s="105">
        <v>120</v>
      </c>
      <c r="AG444" s="104">
        <v>2.5</v>
      </c>
      <c r="AH444" s="102">
        <v>5.1</v>
      </c>
      <c r="AI444" s="105">
        <v>1</v>
      </c>
      <c r="AJ444" s="104">
        <v>50</v>
      </c>
      <c r="AK444" s="102">
        <v>60</v>
      </c>
      <c r="AL444" s="102">
        <v>60</v>
      </c>
      <c r="AM444" s="105">
        <v>10</v>
      </c>
      <c r="AN444" s="104">
        <v>34</v>
      </c>
      <c r="AO444" s="102">
        <v>0</v>
      </c>
      <c r="AP444" s="102">
        <v>67</v>
      </c>
      <c r="AQ444" s="105">
        <v>60</v>
      </c>
      <c r="AR444" s="108" t="s">
        <v>1228</v>
      </c>
    </row>
    <row r="445" ht="26.4" spans="1:44">
      <c r="A445" s="100">
        <v>11000513</v>
      </c>
      <c r="B445" s="101">
        <v>110</v>
      </c>
      <c r="C445" s="102">
        <v>4</v>
      </c>
      <c r="D445" s="103" t="s">
        <v>1229</v>
      </c>
      <c r="E445" s="103" t="s">
        <v>1230</v>
      </c>
      <c r="F445" s="103" t="s">
        <v>1212</v>
      </c>
      <c r="G445" s="103">
        <v>3</v>
      </c>
      <c r="H445" s="103">
        <v>3</v>
      </c>
      <c r="I445" s="104" t="s">
        <v>60</v>
      </c>
      <c r="J445" s="102" t="s">
        <v>480</v>
      </c>
      <c r="K445" s="102">
        <v>79</v>
      </c>
      <c r="L445" s="103">
        <v>1</v>
      </c>
      <c r="M445" s="104">
        <v>87</v>
      </c>
      <c r="N445" s="102">
        <v>87</v>
      </c>
      <c r="O445" s="102">
        <v>0</v>
      </c>
      <c r="P445" s="102">
        <v>78</v>
      </c>
      <c r="Q445" s="104">
        <f>_xlfn.FLOOR.MATH(0+0*B445)</f>
        <v>0</v>
      </c>
      <c r="R445" s="102">
        <f>_xlfn.FLOOR.MATH(20+0.25*B445)</f>
        <v>47</v>
      </c>
      <c r="S445" s="102">
        <f>_xlfn.FLOOR.MATH(28+0.23*B445)</f>
        <v>53</v>
      </c>
      <c r="T445" s="105">
        <f>_xlfn.FLOOR.MATH(45+0.5*B445)</f>
        <v>100</v>
      </c>
      <c r="U445" s="102">
        <v>15</v>
      </c>
      <c r="V445" s="102">
        <v>24.5</v>
      </c>
      <c r="W445" s="106" t="s">
        <v>52</v>
      </c>
      <c r="Y445" s="102" t="s">
        <v>54</v>
      </c>
      <c r="Z445" s="102" t="s">
        <v>55</v>
      </c>
      <c r="AA445" s="104" t="s">
        <v>1226</v>
      </c>
      <c r="AB445" s="105">
        <v>24</v>
      </c>
      <c r="AC445" s="104">
        <v>4</v>
      </c>
      <c r="AD445" s="123" t="s">
        <v>1227</v>
      </c>
      <c r="AE445" s="104">
        <v>85</v>
      </c>
      <c r="AF445" s="105">
        <v>120</v>
      </c>
      <c r="AG445" s="104">
        <v>2.5</v>
      </c>
      <c r="AH445" s="102">
        <v>5.1</v>
      </c>
      <c r="AI445" s="105">
        <v>1</v>
      </c>
      <c r="AJ445" s="104">
        <v>50</v>
      </c>
      <c r="AK445" s="102">
        <v>60</v>
      </c>
      <c r="AL445" s="102">
        <v>60</v>
      </c>
      <c r="AM445" s="105">
        <v>10</v>
      </c>
      <c r="AN445" s="104">
        <v>34</v>
      </c>
      <c r="AO445" s="102">
        <v>0</v>
      </c>
      <c r="AP445" s="102">
        <v>67</v>
      </c>
      <c r="AQ445" s="105">
        <v>60</v>
      </c>
      <c r="AR445" s="108" t="s">
        <v>1231</v>
      </c>
    </row>
    <row r="446" ht="52.8" spans="1:45">
      <c r="A446" s="100">
        <v>11000613</v>
      </c>
      <c r="B446" s="101">
        <v>110</v>
      </c>
      <c r="C446" s="102">
        <v>6</v>
      </c>
      <c r="D446" s="103" t="s">
        <v>1232</v>
      </c>
      <c r="F446" s="103" t="s">
        <v>1212</v>
      </c>
      <c r="G446" s="103">
        <v>4</v>
      </c>
      <c r="H446" s="103">
        <v>4</v>
      </c>
      <c r="I446" s="104" t="s">
        <v>73</v>
      </c>
      <c r="J446" s="102" t="s">
        <v>61</v>
      </c>
      <c r="K446" s="102">
        <v>100</v>
      </c>
      <c r="L446" s="103">
        <v>0</v>
      </c>
      <c r="M446" s="104">
        <v>102</v>
      </c>
      <c r="N446" s="102">
        <v>100</v>
      </c>
      <c r="O446" s="102">
        <v>0</v>
      </c>
      <c r="P446" s="102">
        <v>67</v>
      </c>
      <c r="Q446" s="104">
        <f>_xlfn.FLOOR.MATH(0+0*B446)</f>
        <v>0</v>
      </c>
      <c r="R446" s="102">
        <f>_xlfn.FLOOR.MATH(22+0.25*B446)</f>
        <v>49</v>
      </c>
      <c r="S446" s="102">
        <f>_xlfn.FLOOR.MATH(30+0.23*B446)</f>
        <v>55</v>
      </c>
      <c r="T446" s="105">
        <f>_xlfn.FLOOR.MATH(46+0.51*B446)</f>
        <v>102</v>
      </c>
      <c r="U446" s="102">
        <v>18</v>
      </c>
      <c r="V446" s="102">
        <v>30.8</v>
      </c>
      <c r="W446" s="106" t="s">
        <v>52</v>
      </c>
      <c r="Y446" s="102" t="s">
        <v>54</v>
      </c>
      <c r="Z446" s="102" t="s">
        <v>55</v>
      </c>
      <c r="AA446" s="104" t="s">
        <v>75</v>
      </c>
      <c r="AB446" s="105">
        <v>16</v>
      </c>
      <c r="AC446" s="104">
        <v>4</v>
      </c>
      <c r="AD446" s="123" t="s">
        <v>1233</v>
      </c>
      <c r="AE446" s="104">
        <v>90</v>
      </c>
      <c r="AF446" s="105">
        <v>130</v>
      </c>
      <c r="AG446" s="104">
        <v>4.2</v>
      </c>
      <c r="AH446" s="102">
        <v>8.8</v>
      </c>
      <c r="AI446" s="105">
        <v>1</v>
      </c>
      <c r="AJ446" s="104">
        <v>50</v>
      </c>
      <c r="AK446" s="102">
        <v>60</v>
      </c>
      <c r="AL446" s="102">
        <v>60</v>
      </c>
      <c r="AM446" s="105">
        <v>0</v>
      </c>
      <c r="AN446" s="104">
        <v>82</v>
      </c>
      <c r="AO446" s="102">
        <v>0</v>
      </c>
      <c r="AP446" s="102">
        <v>84</v>
      </c>
      <c r="AQ446" s="105">
        <v>20</v>
      </c>
      <c r="AR446" s="108" t="s">
        <v>1234</v>
      </c>
      <c r="AS446" s="109" t="s">
        <v>1235</v>
      </c>
    </row>
    <row r="447" ht="66" spans="1:44">
      <c r="A447" s="100">
        <v>11000713</v>
      </c>
      <c r="B447" s="101">
        <v>110</v>
      </c>
      <c r="C447" s="102">
        <v>6</v>
      </c>
      <c r="D447" s="103" t="s">
        <v>1236</v>
      </c>
      <c r="F447" s="103" t="s">
        <v>1212</v>
      </c>
      <c r="G447" s="103">
        <v>4</v>
      </c>
      <c r="H447" s="103">
        <v>4</v>
      </c>
      <c r="I447" s="104" t="s">
        <v>73</v>
      </c>
      <c r="J447" s="102" t="s">
        <v>61</v>
      </c>
      <c r="K447" s="102">
        <v>101</v>
      </c>
      <c r="L447" s="103">
        <v>-1</v>
      </c>
      <c r="M447" s="104">
        <v>102</v>
      </c>
      <c r="N447" s="102">
        <v>100</v>
      </c>
      <c r="O447" s="102">
        <v>30</v>
      </c>
      <c r="P447" s="102">
        <v>69</v>
      </c>
      <c r="Q447" s="104">
        <f>_xlfn.FLOOR.MATH(0+0*B447)</f>
        <v>0</v>
      </c>
      <c r="R447" s="102">
        <f>_xlfn.FLOOR.MATH(22+0.25*B447)</f>
        <v>49</v>
      </c>
      <c r="S447" s="102">
        <f>_xlfn.FLOOR.MATH(30+0.23*B447)</f>
        <v>55</v>
      </c>
      <c r="T447" s="105">
        <f>_xlfn.FLOOR.MATH(46+0.51*B447)</f>
        <v>102</v>
      </c>
      <c r="U447" s="102">
        <v>16</v>
      </c>
      <c r="V447" s="102">
        <v>30</v>
      </c>
      <c r="W447" s="106" t="s">
        <v>52</v>
      </c>
      <c r="Y447" s="102" t="s">
        <v>54</v>
      </c>
      <c r="Z447" s="102" t="s">
        <v>55</v>
      </c>
      <c r="AA447" s="104" t="s">
        <v>75</v>
      </c>
      <c r="AB447" s="105">
        <v>16</v>
      </c>
      <c r="AC447" s="104">
        <v>4</v>
      </c>
      <c r="AD447" s="123" t="s">
        <v>1237</v>
      </c>
      <c r="AE447" s="104">
        <v>90</v>
      </c>
      <c r="AF447" s="105">
        <v>130</v>
      </c>
      <c r="AG447" s="104">
        <v>4.2</v>
      </c>
      <c r="AH447" s="102">
        <v>8.8</v>
      </c>
      <c r="AI447" s="105">
        <v>1</v>
      </c>
      <c r="AJ447" s="104">
        <v>50</v>
      </c>
      <c r="AK447" s="102">
        <v>60</v>
      </c>
      <c r="AL447" s="102">
        <v>60</v>
      </c>
      <c r="AM447" s="105">
        <v>0</v>
      </c>
      <c r="AN447" s="104">
        <v>82</v>
      </c>
      <c r="AO447" s="102">
        <v>0</v>
      </c>
      <c r="AP447" s="102">
        <v>84</v>
      </c>
      <c r="AQ447" s="105">
        <v>23</v>
      </c>
      <c r="AR447" s="108" t="s">
        <v>1238</v>
      </c>
    </row>
    <row r="448" ht="39.6" spans="1:44">
      <c r="A448" s="100">
        <v>11000813</v>
      </c>
      <c r="B448" s="101">
        <v>110</v>
      </c>
      <c r="C448" s="102">
        <v>5</v>
      </c>
      <c r="D448" s="103" t="s">
        <v>1239</v>
      </c>
      <c r="F448" s="103" t="s">
        <v>1212</v>
      </c>
      <c r="G448" s="103">
        <v>4</v>
      </c>
      <c r="H448" s="103">
        <v>4</v>
      </c>
      <c r="I448" s="104" t="s">
        <v>50</v>
      </c>
      <c r="J448" s="102" t="s">
        <v>61</v>
      </c>
      <c r="K448" s="102">
        <v>77</v>
      </c>
      <c r="L448" s="103">
        <v>-1</v>
      </c>
      <c r="M448" s="104">
        <v>109</v>
      </c>
      <c r="N448" s="102">
        <v>102</v>
      </c>
      <c r="O448" s="102">
        <v>0</v>
      </c>
      <c r="P448" s="102">
        <v>77</v>
      </c>
      <c r="Q448" s="104">
        <f>_xlfn.FLOOR.MATH(0+0*B448)</f>
        <v>0</v>
      </c>
      <c r="R448" s="102">
        <f>_xlfn.FLOOR.MATH(16+0.25*B448)</f>
        <v>43</v>
      </c>
      <c r="S448" s="102">
        <f>_xlfn.FLOOR.MATH(23+0.23*B448)</f>
        <v>48</v>
      </c>
      <c r="T448" s="105">
        <f>_xlfn.FLOOR.MATH(45+0.51*B448)</f>
        <v>101</v>
      </c>
      <c r="U448" s="102">
        <v>20</v>
      </c>
      <c r="V448" s="102">
        <v>23.5</v>
      </c>
      <c r="W448" s="106" t="s">
        <v>52</v>
      </c>
      <c r="Y448" s="102" t="s">
        <v>54</v>
      </c>
      <c r="Z448" s="102" t="s">
        <v>55</v>
      </c>
      <c r="AA448" s="104">
        <v>0</v>
      </c>
      <c r="AB448" s="105">
        <v>0</v>
      </c>
      <c r="AC448" s="104">
        <v>4</v>
      </c>
      <c r="AD448" s="123" t="s">
        <v>1240</v>
      </c>
      <c r="AE448" s="104">
        <v>90</v>
      </c>
      <c r="AF448" s="105">
        <v>140</v>
      </c>
      <c r="AG448" s="104">
        <v>3.2</v>
      </c>
      <c r="AH448" s="102">
        <v>6</v>
      </c>
      <c r="AI448" s="105">
        <v>1</v>
      </c>
      <c r="AJ448" s="104">
        <v>50</v>
      </c>
      <c r="AK448" s="102">
        <v>60</v>
      </c>
      <c r="AL448" s="102">
        <v>60</v>
      </c>
      <c r="AM448" s="105">
        <v>0</v>
      </c>
      <c r="AN448" s="104">
        <v>95</v>
      </c>
      <c r="AO448" s="102">
        <v>0</v>
      </c>
      <c r="AP448" s="102">
        <v>82</v>
      </c>
      <c r="AQ448" s="105">
        <v>35</v>
      </c>
      <c r="AR448" s="108" t="s">
        <v>1241</v>
      </c>
    </row>
    <row r="449" ht="39.6" spans="1:45">
      <c r="A449" s="100">
        <v>11000913</v>
      </c>
      <c r="B449" s="101">
        <v>110</v>
      </c>
      <c r="C449" s="102">
        <v>5</v>
      </c>
      <c r="D449" s="103" t="s">
        <v>1242</v>
      </c>
      <c r="F449" s="103" t="s">
        <v>1212</v>
      </c>
      <c r="G449" s="103">
        <v>4</v>
      </c>
      <c r="H449" s="103">
        <v>4</v>
      </c>
      <c r="I449" s="104" t="s">
        <v>50</v>
      </c>
      <c r="J449" s="102" t="s">
        <v>61</v>
      </c>
      <c r="K449" s="102">
        <v>76</v>
      </c>
      <c r="L449" s="103">
        <v>0</v>
      </c>
      <c r="M449" s="104">
        <v>109</v>
      </c>
      <c r="N449" s="102">
        <v>102</v>
      </c>
      <c r="O449" s="102">
        <v>0</v>
      </c>
      <c r="P449" s="102">
        <v>77</v>
      </c>
      <c r="Q449" s="104">
        <f>_xlfn.FLOOR.MATH(0+0*B449)</f>
        <v>0</v>
      </c>
      <c r="R449" s="102">
        <f>_xlfn.FLOOR.MATH(16+0.25*B449)</f>
        <v>43</v>
      </c>
      <c r="S449" s="102">
        <f>_xlfn.FLOOR.MATH(23+0.23*B449)</f>
        <v>48</v>
      </c>
      <c r="T449" s="105">
        <f>_xlfn.FLOOR.MATH(45+0.51*B449)</f>
        <v>101</v>
      </c>
      <c r="U449" s="102">
        <v>20</v>
      </c>
      <c r="V449" s="102">
        <v>23.5</v>
      </c>
      <c r="W449" s="106" t="s">
        <v>52</v>
      </c>
      <c r="Y449" s="102" t="s">
        <v>54</v>
      </c>
      <c r="Z449" s="102" t="s">
        <v>55</v>
      </c>
      <c r="AA449" s="104" t="s">
        <v>337</v>
      </c>
      <c r="AB449" s="105">
        <v>8</v>
      </c>
      <c r="AC449" s="104">
        <v>4</v>
      </c>
      <c r="AD449" s="123" t="s">
        <v>1243</v>
      </c>
      <c r="AE449" s="104">
        <v>90</v>
      </c>
      <c r="AF449" s="105">
        <v>140</v>
      </c>
      <c r="AG449" s="104">
        <v>3.2</v>
      </c>
      <c r="AH449" s="102">
        <v>6</v>
      </c>
      <c r="AI449" s="105">
        <v>1</v>
      </c>
      <c r="AJ449" s="104">
        <v>50</v>
      </c>
      <c r="AK449" s="102">
        <v>60</v>
      </c>
      <c r="AL449" s="102">
        <v>60</v>
      </c>
      <c r="AM449" s="105">
        <v>0</v>
      </c>
      <c r="AN449" s="104">
        <v>95</v>
      </c>
      <c r="AO449" s="102">
        <v>0</v>
      </c>
      <c r="AP449" s="102">
        <v>82</v>
      </c>
      <c r="AQ449" s="105">
        <v>35</v>
      </c>
      <c r="AR449" s="108" t="s">
        <v>1241</v>
      </c>
      <c r="AS449" s="109" t="s">
        <v>1244</v>
      </c>
    </row>
    <row r="450" ht="52.8" spans="1:45">
      <c r="A450" s="100">
        <v>11001013</v>
      </c>
      <c r="B450" s="101">
        <v>110</v>
      </c>
      <c r="C450" s="102">
        <v>6</v>
      </c>
      <c r="D450" s="103" t="s">
        <v>1245</v>
      </c>
      <c r="F450" s="103" t="s">
        <v>1212</v>
      </c>
      <c r="G450" s="103">
        <v>3</v>
      </c>
      <c r="H450" s="103">
        <v>3</v>
      </c>
      <c r="I450" s="104" t="s">
        <v>50</v>
      </c>
      <c r="J450" s="102" t="s">
        <v>61</v>
      </c>
      <c r="K450" s="102">
        <v>79</v>
      </c>
      <c r="L450" s="103">
        <v>1</v>
      </c>
      <c r="M450" s="104">
        <v>100</v>
      </c>
      <c r="N450" s="102">
        <v>100</v>
      </c>
      <c r="O450" s="102">
        <v>0</v>
      </c>
      <c r="P450" s="102">
        <v>92</v>
      </c>
      <c r="Q450" s="104">
        <f>_xlfn.FLOOR.MATH(0+0*B450)</f>
        <v>0</v>
      </c>
      <c r="R450" s="102">
        <f>_xlfn.FLOOR.MATH(18+0.25*B450)</f>
        <v>45</v>
      </c>
      <c r="S450" s="102">
        <f>_xlfn.FLOOR.MATH(30+0.23*B450)</f>
        <v>55</v>
      </c>
      <c r="T450" s="105">
        <f>_xlfn.FLOOR.MATH(46+0.51*B450)</f>
        <v>102</v>
      </c>
      <c r="U450" s="102">
        <v>10</v>
      </c>
      <c r="V450" s="102">
        <v>29</v>
      </c>
      <c r="W450" s="106" t="s">
        <v>52</v>
      </c>
      <c r="Y450" s="102" t="s">
        <v>54</v>
      </c>
      <c r="Z450" s="102" t="s">
        <v>55</v>
      </c>
      <c r="AA450" s="104" t="s">
        <v>75</v>
      </c>
      <c r="AB450" s="105">
        <v>16</v>
      </c>
      <c r="AC450" s="104">
        <v>4</v>
      </c>
      <c r="AD450" s="123" t="s">
        <v>1246</v>
      </c>
      <c r="AE450" s="104">
        <v>90</v>
      </c>
      <c r="AF450" s="105">
        <v>140</v>
      </c>
      <c r="AG450" s="104">
        <v>4.2</v>
      </c>
      <c r="AH450" s="102">
        <v>8</v>
      </c>
      <c r="AI450" s="105">
        <v>1</v>
      </c>
      <c r="AJ450" s="104">
        <v>50</v>
      </c>
      <c r="AK450" s="102">
        <v>60</v>
      </c>
      <c r="AL450" s="102">
        <v>60</v>
      </c>
      <c r="AM450" s="105">
        <v>0</v>
      </c>
      <c r="AN450" s="104">
        <v>85</v>
      </c>
      <c r="AO450" s="102">
        <v>0</v>
      </c>
      <c r="AP450" s="102">
        <v>80</v>
      </c>
      <c r="AQ450" s="105">
        <v>57</v>
      </c>
      <c r="AR450" s="108" t="s">
        <v>1247</v>
      </c>
      <c r="AS450" s="109" t="s">
        <v>1248</v>
      </c>
    </row>
    <row r="451" ht="52.8" spans="1:44">
      <c r="A451" s="100">
        <v>11001113</v>
      </c>
      <c r="B451" s="101">
        <v>110</v>
      </c>
      <c r="C451" s="102">
        <v>4</v>
      </c>
      <c r="D451" s="103" t="s">
        <v>1249</v>
      </c>
      <c r="F451" s="103" t="s">
        <v>1212</v>
      </c>
      <c r="G451" s="103">
        <v>2</v>
      </c>
      <c r="H451" s="103">
        <v>2</v>
      </c>
      <c r="I451" s="104" t="s">
        <v>86</v>
      </c>
      <c r="J451" s="102" t="s">
        <v>61</v>
      </c>
      <c r="K451" s="102">
        <v>72</v>
      </c>
      <c r="L451" s="103">
        <v>0</v>
      </c>
      <c r="M451" s="104">
        <v>90</v>
      </c>
      <c r="N451" s="102">
        <v>93</v>
      </c>
      <c r="O451" s="102">
        <v>0</v>
      </c>
      <c r="P451" s="102">
        <v>97</v>
      </c>
      <c r="Q451" s="104">
        <f>_xlfn.FLOOR.MATH(0+0*B451)</f>
        <v>0</v>
      </c>
      <c r="R451" s="102">
        <f>_xlfn.FLOOR.MATH(15+0.25*B451)</f>
        <v>42</v>
      </c>
      <c r="S451" s="102">
        <f>_xlfn.FLOOR.MATH(19+0.23*B451)</f>
        <v>44</v>
      </c>
      <c r="T451" s="105">
        <f>_xlfn.FLOOR.MATH(44+0.51*B451)</f>
        <v>100</v>
      </c>
      <c r="U451" s="102">
        <v>30</v>
      </c>
      <c r="V451" s="102">
        <v>21</v>
      </c>
      <c r="W451" s="106" t="s">
        <v>52</v>
      </c>
      <c r="Y451" s="102" t="s">
        <v>54</v>
      </c>
      <c r="Z451" s="102" t="s">
        <v>55</v>
      </c>
      <c r="AA451" s="104" t="s">
        <v>56</v>
      </c>
      <c r="AB451" s="105">
        <v>12</v>
      </c>
      <c r="AC451" s="104">
        <v>4</v>
      </c>
      <c r="AD451" s="123" t="s">
        <v>1250</v>
      </c>
      <c r="AE451" s="104">
        <v>85</v>
      </c>
      <c r="AF451" s="105">
        <v>125</v>
      </c>
      <c r="AG451" s="104">
        <v>2.5</v>
      </c>
      <c r="AH451" s="102">
        <v>5.1</v>
      </c>
      <c r="AI451" s="105">
        <v>0.8</v>
      </c>
      <c r="AJ451" s="104">
        <v>50</v>
      </c>
      <c r="AK451" s="102">
        <v>60</v>
      </c>
      <c r="AL451" s="102">
        <v>60</v>
      </c>
      <c r="AM451" s="105">
        <v>0</v>
      </c>
      <c r="AN451" s="104">
        <v>70</v>
      </c>
      <c r="AO451" s="102">
        <v>0</v>
      </c>
      <c r="AP451" s="102">
        <v>73</v>
      </c>
      <c r="AQ451" s="105">
        <v>71</v>
      </c>
      <c r="AR451" s="108" t="s">
        <v>1251</v>
      </c>
    </row>
    <row r="452" ht="52.8" spans="1:44">
      <c r="A452" s="100">
        <v>11001213</v>
      </c>
      <c r="B452" s="101">
        <v>110</v>
      </c>
      <c r="C452" s="102">
        <v>4</v>
      </c>
      <c r="D452" s="103" t="s">
        <v>1252</v>
      </c>
      <c r="F452" s="103" t="s">
        <v>1212</v>
      </c>
      <c r="G452" s="103">
        <v>2</v>
      </c>
      <c r="H452" s="103">
        <v>2</v>
      </c>
      <c r="I452" s="104" t="s">
        <v>86</v>
      </c>
      <c r="J452" s="102" t="s">
        <v>61</v>
      </c>
      <c r="K452" s="102">
        <v>72</v>
      </c>
      <c r="L452" s="103">
        <v>0</v>
      </c>
      <c r="M452" s="104">
        <v>90</v>
      </c>
      <c r="N452" s="102">
        <v>93</v>
      </c>
      <c r="O452" s="102">
        <v>0</v>
      </c>
      <c r="P452" s="102">
        <v>97</v>
      </c>
      <c r="Q452" s="104">
        <f>_xlfn.FLOOR.MATH(0+0*B452)</f>
        <v>0</v>
      </c>
      <c r="R452" s="102">
        <f>_xlfn.FLOOR.MATH(15+0.25*B452)</f>
        <v>42</v>
      </c>
      <c r="S452" s="102">
        <f>_xlfn.FLOOR.MATH(19+0.23*B452)</f>
        <v>44</v>
      </c>
      <c r="T452" s="105">
        <f>_xlfn.FLOOR.MATH(44+0.51*B452)</f>
        <v>100</v>
      </c>
      <c r="U452" s="102">
        <v>10</v>
      </c>
      <c r="V452" s="102">
        <v>21</v>
      </c>
      <c r="W452" s="106" t="s">
        <v>52</v>
      </c>
      <c r="Y452" s="102" t="s">
        <v>54</v>
      </c>
      <c r="Z452" s="102" t="s">
        <v>55</v>
      </c>
      <c r="AA452" s="104" t="s">
        <v>56</v>
      </c>
      <c r="AB452" s="105">
        <v>12</v>
      </c>
      <c r="AC452" s="104">
        <v>4</v>
      </c>
      <c r="AD452" s="123" t="s">
        <v>1250</v>
      </c>
      <c r="AE452" s="104">
        <v>85</v>
      </c>
      <c r="AF452" s="105">
        <v>125</v>
      </c>
      <c r="AG452" s="104">
        <v>2.5</v>
      </c>
      <c r="AH452" s="102">
        <v>5.1</v>
      </c>
      <c r="AI452" s="105">
        <v>0.8</v>
      </c>
      <c r="AJ452" s="104">
        <v>50</v>
      </c>
      <c r="AK452" s="102">
        <v>60</v>
      </c>
      <c r="AL452" s="102">
        <v>60</v>
      </c>
      <c r="AM452" s="105">
        <v>0</v>
      </c>
      <c r="AN452" s="104">
        <v>70</v>
      </c>
      <c r="AO452" s="102">
        <v>0</v>
      </c>
      <c r="AP452" s="102">
        <v>73</v>
      </c>
      <c r="AQ452" s="105">
        <v>71</v>
      </c>
      <c r="AR452" s="108" t="s">
        <v>1251</v>
      </c>
    </row>
    <row r="453" ht="52.8" spans="1:44">
      <c r="A453" s="100">
        <v>11001313</v>
      </c>
      <c r="B453" s="101">
        <v>110</v>
      </c>
      <c r="C453" s="102">
        <v>6</v>
      </c>
      <c r="D453" s="103" t="s">
        <v>1253</v>
      </c>
      <c r="F453" s="103" t="s">
        <v>1212</v>
      </c>
      <c r="G453" s="103">
        <v>3</v>
      </c>
      <c r="H453" s="103">
        <v>3</v>
      </c>
      <c r="I453" s="104" t="s">
        <v>91</v>
      </c>
      <c r="J453" s="102" t="s">
        <v>61</v>
      </c>
      <c r="K453" s="102">
        <v>64</v>
      </c>
      <c r="L453" s="103">
        <v>0</v>
      </c>
      <c r="M453" s="104">
        <v>89</v>
      </c>
      <c r="N453" s="102">
        <v>89</v>
      </c>
      <c r="O453" s="102">
        <v>0</v>
      </c>
      <c r="P453" s="102">
        <v>70</v>
      </c>
      <c r="Q453" s="104">
        <f>_xlfn.FLOOR.MATH(0+0*B453)</f>
        <v>0</v>
      </c>
      <c r="R453" s="102">
        <f>_xlfn.FLOOR.MATH(13+0.25*B453)</f>
        <v>40</v>
      </c>
      <c r="S453" s="102">
        <f>_xlfn.FLOOR.MATH(30+0.3*B453)</f>
        <v>63</v>
      </c>
      <c r="T453" s="105">
        <f>_xlfn.FLOOR.MATH(46+0.51*B453)</f>
        <v>102</v>
      </c>
      <c r="U453" s="102">
        <v>20</v>
      </c>
      <c r="V453" s="102">
        <v>27</v>
      </c>
      <c r="W453" s="106" t="s">
        <v>52</v>
      </c>
      <c r="Y453" s="102" t="s">
        <v>54</v>
      </c>
      <c r="Z453" s="102" t="s">
        <v>55</v>
      </c>
      <c r="AA453" s="104" t="s">
        <v>56</v>
      </c>
      <c r="AB453" s="105">
        <v>12</v>
      </c>
      <c r="AC453" s="104">
        <v>4</v>
      </c>
      <c r="AD453" s="123" t="s">
        <v>1254</v>
      </c>
      <c r="AE453" s="104">
        <v>70</v>
      </c>
      <c r="AF453" s="105">
        <v>110</v>
      </c>
      <c r="AG453" s="104">
        <v>2.25</v>
      </c>
      <c r="AH453" s="102">
        <v>4.55</v>
      </c>
      <c r="AI453" s="105">
        <v>1</v>
      </c>
      <c r="AJ453" s="104">
        <v>50</v>
      </c>
      <c r="AK453" s="102">
        <v>60</v>
      </c>
      <c r="AL453" s="102">
        <v>60</v>
      </c>
      <c r="AM453" s="105">
        <v>0</v>
      </c>
      <c r="AN453" s="104">
        <v>64</v>
      </c>
      <c r="AO453" s="102">
        <v>0</v>
      </c>
      <c r="AP453" s="102">
        <v>64</v>
      </c>
      <c r="AQ453" s="105">
        <v>22</v>
      </c>
      <c r="AR453" s="108" t="s">
        <v>1255</v>
      </c>
    </row>
    <row r="454" ht="39.6" spans="1:44">
      <c r="A454" s="100">
        <v>11001413</v>
      </c>
      <c r="B454" s="101">
        <v>110</v>
      </c>
      <c r="C454" s="102">
        <v>4</v>
      </c>
      <c r="D454" s="103" t="s">
        <v>1256</v>
      </c>
      <c r="E454" s="103" t="s">
        <v>1257</v>
      </c>
      <c r="F454" s="103" t="s">
        <v>1212</v>
      </c>
      <c r="G454" s="103">
        <v>4</v>
      </c>
      <c r="H454" s="103">
        <v>3</v>
      </c>
      <c r="I454" s="104" t="s">
        <v>60</v>
      </c>
      <c r="J454" s="102" t="s">
        <v>61</v>
      </c>
      <c r="K454" s="102">
        <v>68</v>
      </c>
      <c r="L454" s="103">
        <v>0</v>
      </c>
      <c r="M454" s="104">
        <v>96</v>
      </c>
      <c r="N454" s="102">
        <v>73</v>
      </c>
      <c r="O454" s="102">
        <v>0</v>
      </c>
      <c r="P454" s="102">
        <v>67</v>
      </c>
      <c r="Q454" s="104">
        <f>_xlfn.FLOOR.MATH(0+0*B454)</f>
        <v>0</v>
      </c>
      <c r="R454" s="102">
        <f>_xlfn.FLOOR.MATH(18+0.25*B454)</f>
        <v>45</v>
      </c>
      <c r="S454" s="102">
        <f>_xlfn.FLOOR.MATH(37+0.32*B454)</f>
        <v>72</v>
      </c>
      <c r="T454" s="105">
        <f>_xlfn.FLOOR.MATH(44+0.51*B454)</f>
        <v>100</v>
      </c>
      <c r="U454" s="102">
        <v>15</v>
      </c>
      <c r="V454" s="102">
        <v>30.3</v>
      </c>
      <c r="W454" s="106" t="s">
        <v>52</v>
      </c>
      <c r="Y454" s="102" t="s">
        <v>54</v>
      </c>
      <c r="Z454" s="102" t="s">
        <v>55</v>
      </c>
      <c r="AA454" s="104" t="s">
        <v>56</v>
      </c>
      <c r="AB454" s="105">
        <v>12</v>
      </c>
      <c r="AC454" s="104">
        <v>4</v>
      </c>
      <c r="AD454" s="123" t="s">
        <v>1258</v>
      </c>
      <c r="AE454" s="104">
        <v>80</v>
      </c>
      <c r="AF454" s="105">
        <v>110</v>
      </c>
      <c r="AG454" s="104">
        <v>2.88</v>
      </c>
      <c r="AH454" s="102">
        <v>5.4</v>
      </c>
      <c r="AI454" s="105">
        <v>0.75</v>
      </c>
      <c r="AJ454" s="104">
        <v>50</v>
      </c>
      <c r="AK454" s="102">
        <v>60</v>
      </c>
      <c r="AL454" s="102">
        <v>60</v>
      </c>
      <c r="AM454" s="105">
        <v>0</v>
      </c>
      <c r="AN454" s="104">
        <v>71</v>
      </c>
      <c r="AO454" s="102">
        <v>0</v>
      </c>
      <c r="AP454" s="102">
        <v>58</v>
      </c>
      <c r="AQ454" s="105">
        <v>20</v>
      </c>
      <c r="AR454" s="108" t="s">
        <v>1259</v>
      </c>
    </row>
    <row r="455" ht="66" spans="1:45">
      <c r="A455" s="100">
        <v>11001813</v>
      </c>
      <c r="B455" s="101">
        <v>110</v>
      </c>
      <c r="C455" s="102">
        <v>5</v>
      </c>
      <c r="D455" s="103" t="s">
        <v>1260</v>
      </c>
      <c r="F455" s="103" t="s">
        <v>1212</v>
      </c>
      <c r="G455" s="103">
        <v>3</v>
      </c>
      <c r="H455" s="103">
        <v>3</v>
      </c>
      <c r="I455" s="104" t="s">
        <v>50</v>
      </c>
      <c r="J455" s="102" t="s">
        <v>51</v>
      </c>
      <c r="K455" s="102">
        <v>70</v>
      </c>
      <c r="L455" s="103">
        <v>2</v>
      </c>
      <c r="M455" s="104">
        <v>93</v>
      </c>
      <c r="N455" s="102">
        <v>80</v>
      </c>
      <c r="O455" s="102">
        <v>0</v>
      </c>
      <c r="P455" s="102">
        <v>97</v>
      </c>
      <c r="Q455" s="104">
        <f>_xlfn.FLOOR.MATH(0+0*B455)</f>
        <v>0</v>
      </c>
      <c r="R455" s="102">
        <f>_xlfn.FLOOR.MATH(17+0.25*B455)</f>
        <v>44</v>
      </c>
      <c r="S455" s="102">
        <f>_xlfn.FLOOR.MATH(36+0.32*B455)</f>
        <v>71</v>
      </c>
      <c r="T455" s="105">
        <f>_xlfn.FLOOR.MATH(44+0.52*B455)</f>
        <v>101</v>
      </c>
      <c r="U455" s="102">
        <v>35</v>
      </c>
      <c r="V455" s="102">
        <v>31.5</v>
      </c>
      <c r="W455" s="106" t="s">
        <v>52</v>
      </c>
      <c r="Y455" s="102" t="s">
        <v>54</v>
      </c>
      <c r="Z455" s="102" t="s">
        <v>55</v>
      </c>
      <c r="AA455" s="104" t="s">
        <v>75</v>
      </c>
      <c r="AB455" s="105">
        <v>16</v>
      </c>
      <c r="AC455" s="104">
        <v>4</v>
      </c>
      <c r="AD455" s="123" t="s">
        <v>1261</v>
      </c>
      <c r="AE455" s="104">
        <v>70</v>
      </c>
      <c r="AF455" s="105">
        <v>120</v>
      </c>
      <c r="AG455" s="104">
        <v>2.88</v>
      </c>
      <c r="AH455" s="102">
        <v>5.4</v>
      </c>
      <c r="AI455" s="105">
        <v>0.75</v>
      </c>
      <c r="AJ455" s="104">
        <v>40</v>
      </c>
      <c r="AK455" s="102">
        <v>50</v>
      </c>
      <c r="AL455" s="102">
        <v>40</v>
      </c>
      <c r="AM455" s="105">
        <v>0</v>
      </c>
      <c r="AN455" s="104">
        <v>68</v>
      </c>
      <c r="AO455" s="102">
        <v>0</v>
      </c>
      <c r="AP455" s="102">
        <v>60</v>
      </c>
      <c r="AQ455" s="105">
        <v>62</v>
      </c>
      <c r="AR455" s="108" t="s">
        <v>1262</v>
      </c>
      <c r="AS455" s="109" t="s">
        <v>1263</v>
      </c>
    </row>
    <row r="456" ht="66" spans="1:44">
      <c r="A456" s="100">
        <v>11001913</v>
      </c>
      <c r="B456" s="101">
        <v>110</v>
      </c>
      <c r="C456" s="102">
        <v>4</v>
      </c>
      <c r="D456" s="103" t="s">
        <v>1264</v>
      </c>
      <c r="F456" s="103" t="s">
        <v>1212</v>
      </c>
      <c r="G456" s="103">
        <v>2</v>
      </c>
      <c r="H456" s="103">
        <v>3</v>
      </c>
      <c r="I456" s="104" t="s">
        <v>50</v>
      </c>
      <c r="J456" s="102" t="s">
        <v>51</v>
      </c>
      <c r="K456" s="102">
        <v>70</v>
      </c>
      <c r="L456" s="103">
        <v>2</v>
      </c>
      <c r="M456" s="104">
        <v>88</v>
      </c>
      <c r="N456" s="102">
        <v>78</v>
      </c>
      <c r="O456" s="102">
        <v>0</v>
      </c>
      <c r="P456" s="102">
        <v>75</v>
      </c>
      <c r="Q456" s="104">
        <f>_xlfn.FLOOR.MATH(0+0*B456)</f>
        <v>0</v>
      </c>
      <c r="R456" s="102">
        <f>_xlfn.FLOOR.MATH(14+0.25*B456)</f>
        <v>41</v>
      </c>
      <c r="S456" s="102">
        <f>_xlfn.FLOOR.MATH(39+0.32*B456)</f>
        <v>74</v>
      </c>
      <c r="T456" s="105">
        <f>_xlfn.FLOOR.MATH(43+0.52*B456)</f>
        <v>100</v>
      </c>
      <c r="U456" s="102">
        <v>12</v>
      </c>
      <c r="V456" s="102">
        <v>31.5</v>
      </c>
      <c r="W456" s="106" t="s">
        <v>52</v>
      </c>
      <c r="Y456" s="102" t="s">
        <v>54</v>
      </c>
      <c r="Z456" s="102" t="s">
        <v>55</v>
      </c>
      <c r="AA456" s="104" t="s">
        <v>75</v>
      </c>
      <c r="AB456" s="105">
        <v>16</v>
      </c>
      <c r="AC456" s="104">
        <v>4</v>
      </c>
      <c r="AD456" s="123" t="s">
        <v>1265</v>
      </c>
      <c r="AE456" s="104">
        <v>70</v>
      </c>
      <c r="AF456" s="105">
        <v>120</v>
      </c>
      <c r="AG456" s="104">
        <v>2.88</v>
      </c>
      <c r="AH456" s="102">
        <v>5.4</v>
      </c>
      <c r="AI456" s="105">
        <v>0.75</v>
      </c>
      <c r="AJ456" s="104">
        <v>40</v>
      </c>
      <c r="AK456" s="102">
        <v>50</v>
      </c>
      <c r="AL456" s="102">
        <v>40</v>
      </c>
      <c r="AM456" s="105">
        <v>0</v>
      </c>
      <c r="AN456" s="104">
        <v>68</v>
      </c>
      <c r="AO456" s="102">
        <v>0</v>
      </c>
      <c r="AP456" s="102">
        <v>63</v>
      </c>
      <c r="AQ456" s="105">
        <v>32</v>
      </c>
      <c r="AR456" s="108" t="s">
        <v>1266</v>
      </c>
    </row>
    <row r="457" ht="66" spans="1:44">
      <c r="A457" s="100">
        <v>11002013</v>
      </c>
      <c r="B457" s="101">
        <v>110</v>
      </c>
      <c r="C457" s="102">
        <v>6</v>
      </c>
      <c r="D457" s="103" t="s">
        <v>1267</v>
      </c>
      <c r="F457" s="103" t="s">
        <v>1212</v>
      </c>
      <c r="G457" s="103">
        <v>5</v>
      </c>
      <c r="H457" s="103">
        <v>5</v>
      </c>
      <c r="I457" s="104" t="s">
        <v>86</v>
      </c>
      <c r="J457" s="102" t="s">
        <v>1268</v>
      </c>
      <c r="K457" s="102">
        <v>63</v>
      </c>
      <c r="L457" s="103">
        <v>1</v>
      </c>
      <c r="M457" s="104">
        <v>90</v>
      </c>
      <c r="N457" s="102">
        <v>73</v>
      </c>
      <c r="O457" s="102">
        <v>0</v>
      </c>
      <c r="P457" s="102">
        <v>110</v>
      </c>
      <c r="Q457" s="104">
        <f>_xlfn.FLOOR.MATH(0+0*B457)</f>
        <v>0</v>
      </c>
      <c r="R457" s="102">
        <f>_xlfn.FLOOR.MATH(28+0.25*B457)</f>
        <v>55</v>
      </c>
      <c r="S457" s="102">
        <f>_xlfn.FLOOR.MATH(37+0.32*B457)</f>
        <v>72</v>
      </c>
      <c r="T457" s="105">
        <f>_xlfn.FLOOR.MATH(45+0.52*B457)</f>
        <v>102</v>
      </c>
      <c r="U457" s="102">
        <v>15</v>
      </c>
      <c r="V457" s="102">
        <v>33</v>
      </c>
      <c r="W457" s="106" t="s">
        <v>52</v>
      </c>
      <c r="Y457" s="102" t="s">
        <v>54</v>
      </c>
      <c r="Z457" s="102" t="s">
        <v>55</v>
      </c>
      <c r="AA457" s="104">
        <v>0</v>
      </c>
      <c r="AB457" s="105">
        <v>0</v>
      </c>
      <c r="AC457" s="104">
        <v>4</v>
      </c>
      <c r="AD457" s="123" t="s">
        <v>1269</v>
      </c>
      <c r="AE457" s="104">
        <v>85</v>
      </c>
      <c r="AF457" s="105">
        <v>135</v>
      </c>
      <c r="AG457" s="104">
        <v>2.9</v>
      </c>
      <c r="AH457" s="102">
        <v>5.6</v>
      </c>
      <c r="AI457" s="105">
        <v>0.625</v>
      </c>
      <c r="AJ457" s="104">
        <v>50</v>
      </c>
      <c r="AK457" s="102">
        <v>60</v>
      </c>
      <c r="AL457" s="102">
        <v>60</v>
      </c>
      <c r="AM457" s="105">
        <v>0</v>
      </c>
      <c r="AN457" s="104">
        <v>60</v>
      </c>
      <c r="AO457" s="102">
        <v>0</v>
      </c>
      <c r="AP457" s="102">
        <v>58</v>
      </c>
      <c r="AQ457" s="105">
        <v>91</v>
      </c>
      <c r="AR457" s="108" t="s">
        <v>1270</v>
      </c>
    </row>
    <row r="458" ht="52.8" spans="1:44">
      <c r="A458" s="100">
        <v>11002113</v>
      </c>
      <c r="B458" s="101">
        <v>110</v>
      </c>
      <c r="C458" s="102">
        <v>6</v>
      </c>
      <c r="D458" s="103" t="s">
        <v>1271</v>
      </c>
      <c r="F458" s="103" t="s">
        <v>1212</v>
      </c>
      <c r="G458" s="103">
        <v>5</v>
      </c>
      <c r="H458" s="103">
        <v>5</v>
      </c>
      <c r="I458" s="104" t="s">
        <v>86</v>
      </c>
      <c r="J458" s="102" t="s">
        <v>1268</v>
      </c>
      <c r="K458" s="102">
        <v>63</v>
      </c>
      <c r="L458" s="103">
        <v>1</v>
      </c>
      <c r="M458" s="104">
        <v>95</v>
      </c>
      <c r="N458" s="102">
        <v>72</v>
      </c>
      <c r="O458" s="102">
        <v>0</v>
      </c>
      <c r="P458" s="102">
        <v>105</v>
      </c>
      <c r="Q458" s="104">
        <f>_xlfn.FLOOR.MATH(0+0*B458)</f>
        <v>0</v>
      </c>
      <c r="R458" s="102">
        <f>_xlfn.FLOOR.MATH(28+0.25*B458)</f>
        <v>55</v>
      </c>
      <c r="S458" s="102">
        <f>_xlfn.FLOOR.MATH(37+0.32*B458)</f>
        <v>72</v>
      </c>
      <c r="T458" s="105">
        <f>_xlfn.FLOOR.MATH(45+0.52*B458)</f>
        <v>102</v>
      </c>
      <c r="U458" s="102">
        <v>15</v>
      </c>
      <c r="V458" s="102">
        <v>33</v>
      </c>
      <c r="W458" s="106" t="s">
        <v>52</v>
      </c>
      <c r="Y458" s="102" t="s">
        <v>54</v>
      </c>
      <c r="Z458" s="102" t="s">
        <v>55</v>
      </c>
      <c r="AA458" s="104">
        <v>0</v>
      </c>
      <c r="AB458" s="105">
        <v>0</v>
      </c>
      <c r="AC458" s="104">
        <v>4</v>
      </c>
      <c r="AD458" s="123" t="s">
        <v>1272</v>
      </c>
      <c r="AE458" s="104">
        <v>85</v>
      </c>
      <c r="AF458" s="105">
        <v>140</v>
      </c>
      <c r="AG458" s="104">
        <v>2.88</v>
      </c>
      <c r="AH458" s="102">
        <v>5.6</v>
      </c>
      <c r="AI458" s="105">
        <v>0.625</v>
      </c>
      <c r="AJ458" s="104">
        <v>50</v>
      </c>
      <c r="AK458" s="102">
        <v>60</v>
      </c>
      <c r="AL458" s="102">
        <v>60</v>
      </c>
      <c r="AM458" s="105">
        <v>0</v>
      </c>
      <c r="AN458" s="104">
        <v>65</v>
      </c>
      <c r="AO458" s="102">
        <v>0</v>
      </c>
      <c r="AP458" s="102">
        <v>57</v>
      </c>
      <c r="AQ458" s="105">
        <v>84</v>
      </c>
      <c r="AR458" s="108" t="s">
        <v>1273</v>
      </c>
    </row>
    <row r="459" ht="66" spans="1:45">
      <c r="A459" s="100">
        <v>11002213</v>
      </c>
      <c r="B459" s="101">
        <v>110</v>
      </c>
      <c r="C459" s="102">
        <v>6</v>
      </c>
      <c r="D459" s="103" t="s">
        <v>1274</v>
      </c>
      <c r="E459" s="103" t="s">
        <v>1275</v>
      </c>
      <c r="F459" s="103" t="s">
        <v>1212</v>
      </c>
      <c r="G459" s="103">
        <v>6</v>
      </c>
      <c r="H459" s="103">
        <v>6</v>
      </c>
      <c r="I459" s="104" t="s">
        <v>60</v>
      </c>
      <c r="J459" s="102" t="s">
        <v>114</v>
      </c>
      <c r="K459" s="102">
        <v>79</v>
      </c>
      <c r="L459" s="103">
        <v>1</v>
      </c>
      <c r="M459" s="104">
        <v>40</v>
      </c>
      <c r="N459" s="102">
        <v>61</v>
      </c>
      <c r="O459" s="102">
        <v>0</v>
      </c>
      <c r="P459" s="102">
        <v>62</v>
      </c>
      <c r="Q459" s="104">
        <f>_xlfn.FLOOR.MATH(0+0*B459)</f>
        <v>0</v>
      </c>
      <c r="R459" s="102">
        <f>_xlfn.FLOOR.MATH(50+0.25*B459)</f>
        <v>77</v>
      </c>
      <c r="S459" s="102">
        <f>_xlfn.FLOOR.MATH(35+0.2*B459)</f>
        <v>57</v>
      </c>
      <c r="T459" s="105">
        <f>_xlfn.FLOOR.MATH(41+0.56*B459)</f>
        <v>102</v>
      </c>
      <c r="U459" s="102">
        <v>10</v>
      </c>
      <c r="V459" s="102">
        <v>31.2</v>
      </c>
      <c r="W459" s="106" t="s">
        <v>115</v>
      </c>
      <c r="Y459" s="102" t="s">
        <v>54</v>
      </c>
      <c r="Z459" s="102" t="s">
        <v>55</v>
      </c>
      <c r="AA459" s="104" t="s">
        <v>1276</v>
      </c>
      <c r="AB459" s="105">
        <v>86</v>
      </c>
      <c r="AC459" s="104">
        <v>4</v>
      </c>
      <c r="AD459" s="123" t="s">
        <v>1277</v>
      </c>
      <c r="AE459" s="104">
        <v>60</v>
      </c>
      <c r="AF459" s="105">
        <v>55</v>
      </c>
      <c r="AG459" s="104">
        <v>2.4</v>
      </c>
      <c r="AH459" s="102">
        <v>4.5</v>
      </c>
      <c r="AI459" s="105">
        <v>1</v>
      </c>
      <c r="AJ459" s="104">
        <v>30</v>
      </c>
      <c r="AK459" s="102">
        <v>40</v>
      </c>
      <c r="AL459" s="102">
        <v>60</v>
      </c>
      <c r="AM459" s="105">
        <v>40</v>
      </c>
      <c r="AN459" s="104">
        <v>0</v>
      </c>
      <c r="AO459" s="102">
        <v>0</v>
      </c>
      <c r="AP459" s="102">
        <v>18</v>
      </c>
      <c r="AQ459" s="105">
        <v>32</v>
      </c>
      <c r="AR459" s="108" t="s">
        <v>1278</v>
      </c>
      <c r="AS459" s="109" t="s">
        <v>1279</v>
      </c>
    </row>
    <row r="460" ht="105.6" spans="1:45">
      <c r="A460" s="100">
        <v>11002313</v>
      </c>
      <c r="B460" s="101">
        <v>110</v>
      </c>
      <c r="C460" s="102">
        <v>6</v>
      </c>
      <c r="D460" s="103" t="s">
        <v>1280</v>
      </c>
      <c r="E460" s="103" t="s">
        <v>1281</v>
      </c>
      <c r="F460" s="103" t="s">
        <v>1212</v>
      </c>
      <c r="G460" s="103">
        <v>4</v>
      </c>
      <c r="H460" s="103">
        <v>5</v>
      </c>
      <c r="I460" s="104" t="s">
        <v>60</v>
      </c>
      <c r="J460" s="102" t="s">
        <v>114</v>
      </c>
      <c r="K460" s="102">
        <v>81</v>
      </c>
      <c r="L460" s="103">
        <v>-1</v>
      </c>
      <c r="M460" s="104">
        <v>40</v>
      </c>
      <c r="N460" s="102">
        <v>68</v>
      </c>
      <c r="O460" s="102">
        <v>0</v>
      </c>
      <c r="P460" s="102">
        <v>67</v>
      </c>
      <c r="Q460" s="104">
        <f>_xlfn.FLOOR.MATH(0+0*B460)</f>
        <v>0</v>
      </c>
      <c r="R460" s="102">
        <f>_xlfn.FLOOR.MATH(48+0.25*B460)</f>
        <v>75</v>
      </c>
      <c r="S460" s="102">
        <f>_xlfn.FLOOR.MATH(32+0.22*B460)</f>
        <v>56</v>
      </c>
      <c r="T460" s="105">
        <f>_xlfn.FLOOR.MATH(41+0.56*B460)</f>
        <v>102</v>
      </c>
      <c r="U460" s="102">
        <v>10</v>
      </c>
      <c r="V460" s="102">
        <v>28</v>
      </c>
      <c r="W460" s="106" t="s">
        <v>115</v>
      </c>
      <c r="Y460" s="102" t="s">
        <v>54</v>
      </c>
      <c r="Z460" s="102" t="s">
        <v>55</v>
      </c>
      <c r="AA460" s="104" t="s">
        <v>1282</v>
      </c>
      <c r="AB460" s="105">
        <v>95</v>
      </c>
      <c r="AC460" s="104">
        <v>4</v>
      </c>
      <c r="AD460" s="123" t="s">
        <v>1283</v>
      </c>
      <c r="AE460" s="104">
        <v>60</v>
      </c>
      <c r="AF460" s="105">
        <v>55</v>
      </c>
      <c r="AG460" s="104">
        <v>2.56</v>
      </c>
      <c r="AH460" s="102">
        <v>4.8</v>
      </c>
      <c r="AI460" s="105">
        <v>1</v>
      </c>
      <c r="AJ460" s="104">
        <v>30</v>
      </c>
      <c r="AK460" s="102">
        <v>40</v>
      </c>
      <c r="AL460" s="102">
        <v>60</v>
      </c>
      <c r="AM460" s="105">
        <v>40</v>
      </c>
      <c r="AN460" s="104">
        <v>0</v>
      </c>
      <c r="AO460" s="102">
        <v>0</v>
      </c>
      <c r="AP460" s="102">
        <v>19</v>
      </c>
      <c r="AQ460" s="105">
        <v>38</v>
      </c>
      <c r="AR460" s="108" t="s">
        <v>1284</v>
      </c>
      <c r="AS460" s="109" t="s">
        <v>1285</v>
      </c>
    </row>
    <row r="461" ht="66" spans="1:44">
      <c r="A461" s="100">
        <v>11002412</v>
      </c>
      <c r="B461" s="101">
        <v>110</v>
      </c>
      <c r="C461" s="102">
        <v>5</v>
      </c>
      <c r="D461" s="103" t="s">
        <v>1286</v>
      </c>
      <c r="E461" s="103" t="s">
        <v>1287</v>
      </c>
      <c r="F461" s="103" t="s">
        <v>1212</v>
      </c>
      <c r="G461" s="103">
        <v>3</v>
      </c>
      <c r="H461" s="103">
        <v>4</v>
      </c>
      <c r="I461" s="104" t="s">
        <v>60</v>
      </c>
      <c r="J461" s="102" t="s">
        <v>125</v>
      </c>
      <c r="K461" s="102">
        <v>47</v>
      </c>
      <c r="L461" s="103">
        <v>1</v>
      </c>
      <c r="M461" s="104">
        <v>30</v>
      </c>
      <c r="N461" s="102">
        <v>50</v>
      </c>
      <c r="O461" s="102">
        <v>0</v>
      </c>
      <c r="P461" s="102">
        <v>53</v>
      </c>
      <c r="Q461" s="104">
        <f>_xlfn.FLOOR.MATH(0+0*B461)</f>
        <v>0</v>
      </c>
      <c r="R461" s="102">
        <f>_xlfn.FLOOR.MATH(36+0.25*B461)</f>
        <v>63</v>
      </c>
      <c r="S461" s="102">
        <f>_xlfn.FLOOR.MATH(38+0.21*B461)</f>
        <v>61</v>
      </c>
      <c r="T461" s="105">
        <f>_xlfn.FLOOR.MATH(38+0.53*B461)</f>
        <v>96</v>
      </c>
      <c r="U461" s="102">
        <v>10</v>
      </c>
      <c r="V461" s="102">
        <v>29</v>
      </c>
      <c r="W461" s="106" t="s">
        <v>115</v>
      </c>
      <c r="Y461" s="102" t="s">
        <v>127</v>
      </c>
      <c r="Z461" s="102" t="s">
        <v>128</v>
      </c>
      <c r="AA461" s="104" t="s">
        <v>1288</v>
      </c>
      <c r="AB461" s="105">
        <v>39</v>
      </c>
      <c r="AC461" s="104">
        <v>3</v>
      </c>
      <c r="AD461" s="123" t="s">
        <v>1289</v>
      </c>
      <c r="AE461" s="104">
        <v>35</v>
      </c>
      <c r="AF461" s="105">
        <v>35</v>
      </c>
      <c r="AG461" s="104">
        <v>1.28</v>
      </c>
      <c r="AH461" s="102">
        <v>2.4</v>
      </c>
      <c r="AI461" s="105">
        <v>0.75</v>
      </c>
      <c r="AJ461" s="104">
        <v>20</v>
      </c>
      <c r="AK461" s="102">
        <v>30</v>
      </c>
      <c r="AL461" s="102">
        <v>50</v>
      </c>
      <c r="AM461" s="105">
        <v>20</v>
      </c>
      <c r="AN461" s="104">
        <v>0</v>
      </c>
      <c r="AO461" s="102">
        <v>0</v>
      </c>
      <c r="AP461" s="102">
        <v>15</v>
      </c>
      <c r="AQ461" s="105">
        <v>23</v>
      </c>
      <c r="AR461" s="108" t="s">
        <v>1290</v>
      </c>
    </row>
    <row r="462" ht="39.6" spans="1:44">
      <c r="A462" s="100">
        <v>11002512</v>
      </c>
      <c r="B462" s="101">
        <v>110</v>
      </c>
      <c r="C462" s="102">
        <v>5</v>
      </c>
      <c r="D462" s="103" t="s">
        <v>1291</v>
      </c>
      <c r="E462" s="103" t="s">
        <v>1292</v>
      </c>
      <c r="F462" s="103" t="s">
        <v>1212</v>
      </c>
      <c r="G462" s="103">
        <v>3</v>
      </c>
      <c r="H462" s="103">
        <v>4</v>
      </c>
      <c r="I462" s="104" t="s">
        <v>60</v>
      </c>
      <c r="J462" s="102" t="s">
        <v>125</v>
      </c>
      <c r="K462" s="102">
        <v>47</v>
      </c>
      <c r="L462" s="103">
        <v>1</v>
      </c>
      <c r="M462" s="104">
        <v>30</v>
      </c>
      <c r="N462" s="102">
        <v>53</v>
      </c>
      <c r="O462" s="102">
        <v>0</v>
      </c>
      <c r="P462" s="102">
        <v>58</v>
      </c>
      <c r="Q462" s="104">
        <f>_xlfn.FLOOR.MATH(0+0*B462)</f>
        <v>0</v>
      </c>
      <c r="R462" s="102">
        <f>_xlfn.FLOOR.MATH(36+0.25*B462)</f>
        <v>63</v>
      </c>
      <c r="S462" s="102">
        <f>_xlfn.FLOOR.MATH(38+0.21*B462)</f>
        <v>61</v>
      </c>
      <c r="T462" s="105">
        <f>_xlfn.FLOOR.MATH(38+0.53*B462)</f>
        <v>96</v>
      </c>
      <c r="U462" s="102">
        <v>20</v>
      </c>
      <c r="V462" s="102">
        <v>29</v>
      </c>
      <c r="W462" s="106" t="s">
        <v>115</v>
      </c>
      <c r="Y462" s="102" t="s">
        <v>127</v>
      </c>
      <c r="Z462" s="102" t="s">
        <v>128</v>
      </c>
      <c r="AA462" s="104" t="s">
        <v>1293</v>
      </c>
      <c r="AB462" s="105">
        <v>37</v>
      </c>
      <c r="AC462" s="104">
        <v>3</v>
      </c>
      <c r="AD462" s="123" t="s">
        <v>1294</v>
      </c>
      <c r="AE462" s="104">
        <v>40</v>
      </c>
      <c r="AF462" s="105">
        <v>35</v>
      </c>
      <c r="AG462" s="104">
        <v>1.28</v>
      </c>
      <c r="AH462" s="102">
        <v>2.4</v>
      </c>
      <c r="AI462" s="105">
        <v>0.75</v>
      </c>
      <c r="AJ462" s="104">
        <v>20</v>
      </c>
      <c r="AK462" s="102">
        <v>30</v>
      </c>
      <c r="AL462" s="102">
        <v>50</v>
      </c>
      <c r="AM462" s="105">
        <v>20</v>
      </c>
      <c r="AN462" s="104">
        <v>0</v>
      </c>
      <c r="AO462" s="102">
        <v>0</v>
      </c>
      <c r="AP462" s="102">
        <v>17</v>
      </c>
      <c r="AQ462" s="105">
        <v>28</v>
      </c>
      <c r="AR462" s="108" t="s">
        <v>1295</v>
      </c>
    </row>
    <row r="463" ht="52.8" spans="1:44">
      <c r="A463" s="100">
        <v>11002612</v>
      </c>
      <c r="B463" s="101">
        <v>110</v>
      </c>
      <c r="C463" s="102">
        <v>4</v>
      </c>
      <c r="D463" s="103" t="s">
        <v>1296</v>
      </c>
      <c r="F463" s="103" t="s">
        <v>1212</v>
      </c>
      <c r="G463" s="103">
        <v>1</v>
      </c>
      <c r="H463" s="103">
        <v>2</v>
      </c>
      <c r="I463" s="104" t="s">
        <v>50</v>
      </c>
      <c r="J463" s="102" t="s">
        <v>125</v>
      </c>
      <c r="K463" s="102">
        <v>38</v>
      </c>
      <c r="L463" s="103">
        <v>2</v>
      </c>
      <c r="M463" s="104">
        <v>25</v>
      </c>
      <c r="N463" s="102">
        <v>35</v>
      </c>
      <c r="O463" s="102">
        <v>0</v>
      </c>
      <c r="P463" s="102">
        <v>63</v>
      </c>
      <c r="Q463" s="104">
        <f>_xlfn.FLOOR.MATH(0+0*B463)</f>
        <v>0</v>
      </c>
      <c r="R463" s="102">
        <f>_xlfn.FLOOR.MATH(40+0.35*B463)</f>
        <v>78</v>
      </c>
      <c r="S463" s="102">
        <f>_xlfn.FLOOR.MATH(24+0.21*B463)</f>
        <v>47</v>
      </c>
      <c r="T463" s="105">
        <f>_xlfn.FLOOR.MATH(37+0.53*B463)</f>
        <v>95</v>
      </c>
      <c r="U463" s="102">
        <v>20</v>
      </c>
      <c r="V463" s="102">
        <v>20.7</v>
      </c>
      <c r="W463" s="106" t="s">
        <v>115</v>
      </c>
      <c r="Y463" s="102" t="s">
        <v>127</v>
      </c>
      <c r="Z463" s="102" t="s">
        <v>128</v>
      </c>
      <c r="AA463" s="104" t="s">
        <v>1297</v>
      </c>
      <c r="AB463" s="105">
        <v>28</v>
      </c>
      <c r="AC463" s="104">
        <v>3</v>
      </c>
      <c r="AD463" s="123" t="s">
        <v>1298</v>
      </c>
      <c r="AE463" s="104">
        <v>20</v>
      </c>
      <c r="AF463" s="105">
        <v>30</v>
      </c>
      <c r="AG463" s="104">
        <v>0.96</v>
      </c>
      <c r="AH463" s="102">
        <v>1.8</v>
      </c>
      <c r="AI463" s="105">
        <v>0.75</v>
      </c>
      <c r="AJ463" s="104">
        <v>20</v>
      </c>
      <c r="AK463" s="102">
        <v>30</v>
      </c>
      <c r="AL463" s="102">
        <v>50</v>
      </c>
      <c r="AM463" s="105">
        <v>20</v>
      </c>
      <c r="AN463" s="104">
        <v>2</v>
      </c>
      <c r="AO463" s="102">
        <v>0</v>
      </c>
      <c r="AP463" s="102">
        <v>8</v>
      </c>
      <c r="AQ463" s="105">
        <v>33</v>
      </c>
      <c r="AR463" s="108" t="s">
        <v>1299</v>
      </c>
    </row>
    <row r="464" ht="52.8" spans="1:47">
      <c r="A464" s="100">
        <v>11002712</v>
      </c>
      <c r="B464" s="101">
        <v>110</v>
      </c>
      <c r="C464" s="102">
        <v>4</v>
      </c>
      <c r="D464" s="103" t="s">
        <v>1300</v>
      </c>
      <c r="F464" s="103" t="s">
        <v>1212</v>
      </c>
      <c r="G464" s="103">
        <v>1</v>
      </c>
      <c r="H464" s="103">
        <v>2</v>
      </c>
      <c r="I464" s="104" t="s">
        <v>86</v>
      </c>
      <c r="J464" s="102" t="s">
        <v>125</v>
      </c>
      <c r="K464" s="102">
        <v>39</v>
      </c>
      <c r="L464" s="103">
        <v>1</v>
      </c>
      <c r="M464" s="104">
        <v>25</v>
      </c>
      <c r="N464" s="102">
        <v>36</v>
      </c>
      <c r="O464" s="102">
        <v>0</v>
      </c>
      <c r="P464" s="102">
        <v>72</v>
      </c>
      <c r="Q464" s="104">
        <f>_xlfn.FLOOR.MATH(0+0*B464)</f>
        <v>0</v>
      </c>
      <c r="R464" s="102">
        <f>_xlfn.FLOOR.MATH(42+0.35*B464)</f>
        <v>80</v>
      </c>
      <c r="S464" s="102">
        <f>_xlfn.FLOOR.MATH(19+0.21*B464)</f>
        <v>42</v>
      </c>
      <c r="T464" s="105">
        <f>_xlfn.FLOOR.MATH(37+0.53*B464)</f>
        <v>95</v>
      </c>
      <c r="U464" s="102">
        <v>20</v>
      </c>
      <c r="V464" s="102">
        <v>15</v>
      </c>
      <c r="W464" s="106" t="s">
        <v>115</v>
      </c>
      <c r="Y464" s="102" t="s">
        <v>127</v>
      </c>
      <c r="Z464" s="102" t="s">
        <v>128</v>
      </c>
      <c r="AA464" s="104" t="s">
        <v>1301</v>
      </c>
      <c r="AB464" s="105">
        <v>35</v>
      </c>
      <c r="AC464" s="104">
        <v>3</v>
      </c>
      <c r="AD464" s="123" t="s">
        <v>1206</v>
      </c>
      <c r="AE464" s="104">
        <v>25</v>
      </c>
      <c r="AF464" s="105">
        <v>30</v>
      </c>
      <c r="AG464" s="104">
        <v>0.96</v>
      </c>
      <c r="AH464" s="102">
        <v>1.8</v>
      </c>
      <c r="AI464" s="105">
        <v>0.625</v>
      </c>
      <c r="AJ464" s="104">
        <v>20</v>
      </c>
      <c r="AK464" s="102">
        <v>30</v>
      </c>
      <c r="AL464" s="102">
        <v>50</v>
      </c>
      <c r="AM464" s="105">
        <v>20</v>
      </c>
      <c r="AN464" s="104">
        <v>0</v>
      </c>
      <c r="AO464" s="102">
        <v>0</v>
      </c>
      <c r="AP464" s="102">
        <v>8</v>
      </c>
      <c r="AQ464" s="105">
        <v>54</v>
      </c>
      <c r="AR464" s="108" t="s">
        <v>1302</v>
      </c>
      <c r="AU464" s="128"/>
    </row>
    <row r="465" ht="39.6" spans="1:44">
      <c r="A465" s="100">
        <v>11002812</v>
      </c>
      <c r="B465" s="101">
        <v>110</v>
      </c>
      <c r="C465" s="102">
        <v>4</v>
      </c>
      <c r="D465" s="103" t="s">
        <v>1303</v>
      </c>
      <c r="F465" s="103" t="s">
        <v>1212</v>
      </c>
      <c r="G465" s="103">
        <v>3</v>
      </c>
      <c r="H465" s="103">
        <v>5</v>
      </c>
      <c r="I465" s="104" t="s">
        <v>86</v>
      </c>
      <c r="J465" s="102" t="s">
        <v>114</v>
      </c>
      <c r="K465" s="102">
        <v>48</v>
      </c>
      <c r="L465" s="103">
        <v>0</v>
      </c>
      <c r="M465" s="104">
        <v>30</v>
      </c>
      <c r="N465" s="102">
        <v>48</v>
      </c>
      <c r="O465" s="102">
        <v>0</v>
      </c>
      <c r="P465" s="102">
        <v>65</v>
      </c>
      <c r="Q465" s="104">
        <f>_xlfn.FLOOR.MATH(0+0*B465)</f>
        <v>0</v>
      </c>
      <c r="R465" s="102">
        <f>_xlfn.FLOOR.MATH(50+0.35*B465)</f>
        <v>88</v>
      </c>
      <c r="S465" s="102">
        <f>_xlfn.FLOOR.MATH(43+0.3*B465)</f>
        <v>76</v>
      </c>
      <c r="T465" s="105">
        <f>_xlfn.FLOOR.MATH(39+0.56*B465)</f>
        <v>100</v>
      </c>
      <c r="U465" s="102">
        <v>25</v>
      </c>
      <c r="V465" s="102">
        <v>29.2</v>
      </c>
      <c r="W465" s="106" t="s">
        <v>115</v>
      </c>
      <c r="Y465" s="102" t="s">
        <v>54</v>
      </c>
      <c r="Z465" s="102" t="s">
        <v>55</v>
      </c>
      <c r="AA465" s="104" t="s">
        <v>1304</v>
      </c>
      <c r="AB465" s="105">
        <v>65</v>
      </c>
      <c r="AC465" s="104">
        <v>4</v>
      </c>
      <c r="AD465" s="123" t="s">
        <v>1305</v>
      </c>
      <c r="AE465" s="104">
        <v>45</v>
      </c>
      <c r="AF465" s="105">
        <v>50</v>
      </c>
      <c r="AG465" s="104">
        <v>1.68</v>
      </c>
      <c r="AH465" s="102">
        <v>3.2</v>
      </c>
      <c r="AI465" s="105">
        <v>0.7</v>
      </c>
      <c r="AJ465" s="104">
        <v>30</v>
      </c>
      <c r="AK465" s="102">
        <v>40</v>
      </c>
      <c r="AL465" s="102">
        <v>60</v>
      </c>
      <c r="AM465" s="105">
        <v>40</v>
      </c>
      <c r="AN465" s="104">
        <v>0</v>
      </c>
      <c r="AO465" s="102">
        <v>0</v>
      </c>
      <c r="AP465" s="102">
        <v>14</v>
      </c>
      <c r="AQ465" s="105">
        <v>40</v>
      </c>
      <c r="AR465" s="108" t="s">
        <v>1306</v>
      </c>
    </row>
    <row r="466" ht="39.6" spans="1:44">
      <c r="A466" s="100">
        <v>11002913</v>
      </c>
      <c r="B466" s="101">
        <v>110</v>
      </c>
      <c r="C466" s="102">
        <v>5</v>
      </c>
      <c r="D466" s="103" t="s">
        <v>1307</v>
      </c>
      <c r="F466" s="103" t="s">
        <v>1212</v>
      </c>
      <c r="G466" s="103">
        <v>4</v>
      </c>
      <c r="H466" s="103">
        <v>5</v>
      </c>
      <c r="I466" s="104" t="s">
        <v>86</v>
      </c>
      <c r="J466" s="102" t="s">
        <v>114</v>
      </c>
      <c r="K466" s="102">
        <v>73</v>
      </c>
      <c r="L466" s="103">
        <v>-1</v>
      </c>
      <c r="M466" s="104">
        <v>40</v>
      </c>
      <c r="N466" s="102">
        <v>74</v>
      </c>
      <c r="O466" s="102">
        <v>0</v>
      </c>
      <c r="P466" s="102">
        <v>77</v>
      </c>
      <c r="Q466" s="104">
        <f>_xlfn.FLOOR.MATH(0+0*B466)</f>
        <v>0</v>
      </c>
      <c r="R466" s="102">
        <f>_xlfn.FLOOR.MATH(52+0.35*B466)</f>
        <v>90</v>
      </c>
      <c r="S466" s="102">
        <f>_xlfn.FLOOR.MATH(36+0.2*B466)</f>
        <v>58</v>
      </c>
      <c r="T466" s="105">
        <f>_xlfn.FLOOR.MATH(40+0.56*B466)</f>
        <v>101</v>
      </c>
      <c r="U466" s="102">
        <v>20</v>
      </c>
      <c r="V466" s="102">
        <v>33.2</v>
      </c>
      <c r="W466" s="106" t="s">
        <v>115</v>
      </c>
      <c r="Y466" s="102" t="s">
        <v>54</v>
      </c>
      <c r="Z466" s="102" t="s">
        <v>55</v>
      </c>
      <c r="AA466" s="104" t="s">
        <v>1308</v>
      </c>
      <c r="AB466" s="105">
        <v>85</v>
      </c>
      <c r="AC466" s="104">
        <v>4</v>
      </c>
      <c r="AD466" s="123" t="s">
        <v>1309</v>
      </c>
      <c r="AE466" s="104">
        <v>55</v>
      </c>
      <c r="AF466" s="105">
        <v>60</v>
      </c>
      <c r="AG466" s="104">
        <v>2.08</v>
      </c>
      <c r="AH466" s="102">
        <v>3.9</v>
      </c>
      <c r="AI466" s="105">
        <v>0.8</v>
      </c>
      <c r="AJ466" s="104">
        <v>30</v>
      </c>
      <c r="AK466" s="102">
        <v>40</v>
      </c>
      <c r="AL466" s="102">
        <v>60</v>
      </c>
      <c r="AM466" s="105">
        <v>40</v>
      </c>
      <c r="AN466" s="104">
        <v>0</v>
      </c>
      <c r="AO466" s="102">
        <v>0</v>
      </c>
      <c r="AP466" s="102">
        <v>25</v>
      </c>
      <c r="AQ466" s="105">
        <v>64</v>
      </c>
      <c r="AR466" s="108" t="s">
        <v>1310</v>
      </c>
    </row>
    <row r="467" ht="52.8" spans="1:45">
      <c r="A467" s="100">
        <v>11003013</v>
      </c>
      <c r="B467" s="101">
        <v>110</v>
      </c>
      <c r="C467" s="102">
        <v>5</v>
      </c>
      <c r="D467" s="103" t="s">
        <v>1311</v>
      </c>
      <c r="F467" s="103" t="s">
        <v>1212</v>
      </c>
      <c r="G467" s="103">
        <v>5</v>
      </c>
      <c r="H467" s="103">
        <v>5</v>
      </c>
      <c r="I467" s="104" t="s">
        <v>86</v>
      </c>
      <c r="J467" s="102" t="s">
        <v>114</v>
      </c>
      <c r="K467" s="102">
        <v>73</v>
      </c>
      <c r="L467" s="103">
        <v>-1</v>
      </c>
      <c r="M467" s="104">
        <v>40</v>
      </c>
      <c r="N467" s="102">
        <v>74</v>
      </c>
      <c r="O467" s="102">
        <v>0</v>
      </c>
      <c r="P467" s="102">
        <v>90</v>
      </c>
      <c r="Q467" s="104">
        <f>_xlfn.FLOOR.MATH(0+0*B467)</f>
        <v>0</v>
      </c>
      <c r="R467" s="102">
        <f>_xlfn.FLOOR.MATH(52+0.35*B467)</f>
        <v>90</v>
      </c>
      <c r="S467" s="102">
        <f>_xlfn.FLOOR.MATH(36+0.2*B467)</f>
        <v>58</v>
      </c>
      <c r="T467" s="105">
        <f>_xlfn.FLOOR.MATH(40+0.56*B467)</f>
        <v>101</v>
      </c>
      <c r="U467" s="102">
        <v>32</v>
      </c>
      <c r="V467" s="102">
        <v>33.2</v>
      </c>
      <c r="W467" s="106" t="s">
        <v>115</v>
      </c>
      <c r="Y467" s="102" t="s">
        <v>54</v>
      </c>
      <c r="Z467" s="102" t="s">
        <v>55</v>
      </c>
      <c r="AA467" s="104" t="s">
        <v>1308</v>
      </c>
      <c r="AB467" s="105">
        <v>85</v>
      </c>
      <c r="AC467" s="104">
        <v>4</v>
      </c>
      <c r="AD467" s="123" t="s">
        <v>1312</v>
      </c>
      <c r="AE467" s="104">
        <v>55</v>
      </c>
      <c r="AF467" s="105">
        <v>60</v>
      </c>
      <c r="AG467" s="104">
        <v>2.08</v>
      </c>
      <c r="AH467" s="102">
        <v>3.9</v>
      </c>
      <c r="AI467" s="105">
        <v>0.8</v>
      </c>
      <c r="AJ467" s="104">
        <v>30</v>
      </c>
      <c r="AK467" s="102">
        <v>40</v>
      </c>
      <c r="AL467" s="102">
        <v>60</v>
      </c>
      <c r="AM467" s="105">
        <v>40</v>
      </c>
      <c r="AN467" s="104">
        <v>0</v>
      </c>
      <c r="AO467" s="102">
        <v>0</v>
      </c>
      <c r="AP467" s="102">
        <v>25</v>
      </c>
      <c r="AQ467" s="105">
        <v>90</v>
      </c>
      <c r="AR467" s="108" t="s">
        <v>1310</v>
      </c>
      <c r="AS467" s="109" t="s">
        <v>1313</v>
      </c>
    </row>
    <row r="468" ht="26.4" spans="1:44">
      <c r="A468" s="100">
        <v>11003212</v>
      </c>
      <c r="B468" s="101">
        <v>110</v>
      </c>
      <c r="C468" s="102">
        <v>4</v>
      </c>
      <c r="D468" s="103" t="s">
        <v>1314</v>
      </c>
      <c r="E468" s="103" t="s">
        <v>1315</v>
      </c>
      <c r="F468" s="103" t="s">
        <v>1212</v>
      </c>
      <c r="G468" s="103">
        <v>3</v>
      </c>
      <c r="H468" s="103">
        <v>3</v>
      </c>
      <c r="I468" s="104" t="s">
        <v>60</v>
      </c>
      <c r="J468" s="102" t="s">
        <v>157</v>
      </c>
      <c r="K468" s="102">
        <v>55</v>
      </c>
      <c r="L468" s="103">
        <v>1</v>
      </c>
      <c r="M468" s="104">
        <v>70</v>
      </c>
      <c r="N468" s="102">
        <v>53</v>
      </c>
      <c r="O468" s="102">
        <v>72</v>
      </c>
      <c r="P468" s="102">
        <v>58</v>
      </c>
      <c r="Q468" s="104">
        <f>_xlfn.FLOOR.MATH(0+0*B468)</f>
        <v>0</v>
      </c>
      <c r="R468" s="102">
        <f>_xlfn.FLOOR.MATH(20+0.35*B468)</f>
        <v>58</v>
      </c>
      <c r="S468" s="102">
        <f>_xlfn.FLOOR.MATH(43+0.42*B468)</f>
        <v>89</v>
      </c>
      <c r="T468" s="105">
        <f>_xlfn.FLOOR.MATH(40+0.52*B468)</f>
        <v>97</v>
      </c>
      <c r="U468" s="102">
        <v>10</v>
      </c>
      <c r="V468" s="102">
        <v>35</v>
      </c>
      <c r="W468" s="106" t="s">
        <v>158</v>
      </c>
      <c r="Y468" s="102" t="s">
        <v>127</v>
      </c>
      <c r="Z468" s="102" t="s">
        <v>128</v>
      </c>
      <c r="AA468" s="104" t="s">
        <v>160</v>
      </c>
      <c r="AB468" s="105">
        <v>6</v>
      </c>
      <c r="AC468" s="104">
        <v>4</v>
      </c>
      <c r="AD468" s="123" t="s">
        <v>1316</v>
      </c>
      <c r="AE468" s="104">
        <v>40</v>
      </c>
      <c r="AF468" s="105">
        <v>65</v>
      </c>
      <c r="AG468" s="104">
        <v>1.28</v>
      </c>
      <c r="AH468" s="102">
        <v>2.4</v>
      </c>
      <c r="AI468" s="105">
        <v>0.75</v>
      </c>
      <c r="AJ468" s="104">
        <v>30</v>
      </c>
      <c r="AK468" s="102">
        <v>40</v>
      </c>
      <c r="AL468" s="102">
        <v>30</v>
      </c>
      <c r="AM468" s="105">
        <v>0</v>
      </c>
      <c r="AN468" s="104">
        <v>45</v>
      </c>
      <c r="AO468" s="102">
        <v>19</v>
      </c>
      <c r="AP468" s="102">
        <v>19</v>
      </c>
      <c r="AQ468" s="105">
        <v>14</v>
      </c>
      <c r="AR468" s="108" t="s">
        <v>1317</v>
      </c>
    </row>
    <row r="469" ht="26.4" spans="1:44">
      <c r="A469" s="100">
        <v>11003312</v>
      </c>
      <c r="B469" s="101">
        <v>110</v>
      </c>
      <c r="C469" s="102">
        <v>4</v>
      </c>
      <c r="D469" s="103" t="s">
        <v>1318</v>
      </c>
      <c r="E469" s="103" t="s">
        <v>1319</v>
      </c>
      <c r="F469" s="103" t="s">
        <v>1212</v>
      </c>
      <c r="G469" s="103">
        <v>3</v>
      </c>
      <c r="H469" s="103">
        <v>3</v>
      </c>
      <c r="I469" s="104" t="s">
        <v>60</v>
      </c>
      <c r="J469" s="102" t="s">
        <v>157</v>
      </c>
      <c r="K469" s="102">
        <v>55</v>
      </c>
      <c r="L469" s="103">
        <v>1</v>
      </c>
      <c r="M469" s="104">
        <v>70</v>
      </c>
      <c r="N469" s="102">
        <v>53</v>
      </c>
      <c r="O469" s="102">
        <v>72</v>
      </c>
      <c r="P469" s="102">
        <v>58</v>
      </c>
      <c r="Q469" s="104">
        <f>_xlfn.FLOOR.MATH(0+0*B469)</f>
        <v>0</v>
      </c>
      <c r="R469" s="102">
        <f>_xlfn.FLOOR.MATH(20+0.35*B469)</f>
        <v>58</v>
      </c>
      <c r="S469" s="102">
        <f>_xlfn.FLOOR.MATH(43+0.42*B469)</f>
        <v>89</v>
      </c>
      <c r="T469" s="105">
        <f>_xlfn.FLOOR.MATH(40+0.52*B469)</f>
        <v>97</v>
      </c>
      <c r="U469" s="102">
        <v>10</v>
      </c>
      <c r="V469" s="102">
        <v>35</v>
      </c>
      <c r="W469" s="106" t="s">
        <v>158</v>
      </c>
      <c r="Y469" s="102" t="s">
        <v>127</v>
      </c>
      <c r="Z469" s="102" t="s">
        <v>128</v>
      </c>
      <c r="AA469" s="104" t="s">
        <v>160</v>
      </c>
      <c r="AB469" s="105">
        <v>6</v>
      </c>
      <c r="AC469" s="104">
        <v>4</v>
      </c>
      <c r="AD469" s="123" t="s">
        <v>1316</v>
      </c>
      <c r="AE469" s="104">
        <v>40</v>
      </c>
      <c r="AF469" s="105">
        <v>65</v>
      </c>
      <c r="AG469" s="104">
        <v>1.28</v>
      </c>
      <c r="AH469" s="102">
        <v>2.4</v>
      </c>
      <c r="AI469" s="105">
        <v>0.75</v>
      </c>
      <c r="AJ469" s="104">
        <v>30</v>
      </c>
      <c r="AK469" s="102">
        <v>40</v>
      </c>
      <c r="AL469" s="102">
        <v>30</v>
      </c>
      <c r="AM469" s="105">
        <v>0</v>
      </c>
      <c r="AN469" s="104">
        <v>45</v>
      </c>
      <c r="AO469" s="102">
        <v>19</v>
      </c>
      <c r="AP469" s="102">
        <v>19</v>
      </c>
      <c r="AQ469" s="105">
        <v>14</v>
      </c>
      <c r="AR469" s="108" t="s">
        <v>1320</v>
      </c>
    </row>
    <row r="470" ht="39.6" spans="1:48">
      <c r="A470" s="100">
        <v>11003412</v>
      </c>
      <c r="B470" s="101">
        <v>110</v>
      </c>
      <c r="C470" s="102">
        <v>4</v>
      </c>
      <c r="D470" s="103" t="s">
        <v>1321</v>
      </c>
      <c r="E470" s="103" t="s">
        <v>1322</v>
      </c>
      <c r="F470" s="103" t="s">
        <v>1212</v>
      </c>
      <c r="G470" s="103">
        <v>3</v>
      </c>
      <c r="H470" s="103">
        <v>3</v>
      </c>
      <c r="I470" s="104" t="s">
        <v>60</v>
      </c>
      <c r="J470" s="102" t="s">
        <v>157</v>
      </c>
      <c r="K470" s="102">
        <v>55</v>
      </c>
      <c r="L470" s="103">
        <v>1</v>
      </c>
      <c r="M470" s="104">
        <v>68</v>
      </c>
      <c r="N470" s="102">
        <v>52</v>
      </c>
      <c r="O470" s="102">
        <v>72</v>
      </c>
      <c r="P470" s="102">
        <v>67</v>
      </c>
      <c r="Q470" s="104">
        <f>_xlfn.FLOOR.MATH(0+0*B470)</f>
        <v>0</v>
      </c>
      <c r="R470" s="102">
        <f>_xlfn.FLOOR.MATH(20+0.35*B470)</f>
        <v>58</v>
      </c>
      <c r="S470" s="102">
        <f>_xlfn.FLOOR.MATH(43+0.42*B470)</f>
        <v>89</v>
      </c>
      <c r="T470" s="105">
        <f>_xlfn.FLOOR.MATH(40+0.52*B470)</f>
        <v>97</v>
      </c>
      <c r="U470" s="102">
        <v>10</v>
      </c>
      <c r="V470" s="102">
        <v>35</v>
      </c>
      <c r="W470" s="106" t="s">
        <v>158</v>
      </c>
      <c r="Y470" s="102" t="s">
        <v>127</v>
      </c>
      <c r="Z470" s="102" t="s">
        <v>128</v>
      </c>
      <c r="AA470" s="104" t="s">
        <v>160</v>
      </c>
      <c r="AB470" s="105">
        <v>6</v>
      </c>
      <c r="AC470" s="104">
        <v>4</v>
      </c>
      <c r="AD470" s="123" t="s">
        <v>1323</v>
      </c>
      <c r="AE470" s="104">
        <v>40</v>
      </c>
      <c r="AF470" s="105">
        <v>65</v>
      </c>
      <c r="AG470" s="104">
        <v>1.28</v>
      </c>
      <c r="AH470" s="102">
        <v>2.4</v>
      </c>
      <c r="AI470" s="105">
        <v>0.75</v>
      </c>
      <c r="AJ470" s="104">
        <v>30</v>
      </c>
      <c r="AK470" s="102">
        <v>40</v>
      </c>
      <c r="AL470" s="102">
        <v>30</v>
      </c>
      <c r="AM470" s="105">
        <v>0</v>
      </c>
      <c r="AN470" s="104">
        <v>43</v>
      </c>
      <c r="AO470" s="102">
        <v>19</v>
      </c>
      <c r="AP470" s="102">
        <v>19</v>
      </c>
      <c r="AQ470" s="105">
        <v>20</v>
      </c>
      <c r="AR470" s="108" t="s">
        <v>1324</v>
      </c>
      <c r="AV470" s="129"/>
    </row>
    <row r="471" ht="52.8" spans="1:48">
      <c r="A471" s="100">
        <v>11003512</v>
      </c>
      <c r="B471" s="101">
        <v>110</v>
      </c>
      <c r="C471" s="102">
        <v>4</v>
      </c>
      <c r="D471" s="103" t="s">
        <v>1325</v>
      </c>
      <c r="E471" s="103" t="s">
        <v>1326</v>
      </c>
      <c r="F471" s="103" t="s">
        <v>1212</v>
      </c>
      <c r="G471" s="103">
        <v>3</v>
      </c>
      <c r="H471" s="103">
        <v>3</v>
      </c>
      <c r="I471" s="104" t="s">
        <v>60</v>
      </c>
      <c r="J471" s="102" t="s">
        <v>157</v>
      </c>
      <c r="K471" s="102">
        <v>55</v>
      </c>
      <c r="L471" s="103">
        <v>1</v>
      </c>
      <c r="M471" s="104">
        <v>70</v>
      </c>
      <c r="N471" s="102">
        <v>53</v>
      </c>
      <c r="O471" s="102">
        <v>72</v>
      </c>
      <c r="P471" s="102">
        <v>55</v>
      </c>
      <c r="Q471" s="104">
        <f>_xlfn.FLOOR.MATH(0+0*B471)</f>
        <v>0</v>
      </c>
      <c r="R471" s="102">
        <f>_xlfn.FLOOR.MATH(20+0.35*B471)</f>
        <v>58</v>
      </c>
      <c r="S471" s="102">
        <f>_xlfn.FLOOR.MATH(43+0.42*B471)</f>
        <v>89</v>
      </c>
      <c r="T471" s="105">
        <f>_xlfn.FLOOR.MATH(40+0.52*B471)</f>
        <v>97</v>
      </c>
      <c r="U471" s="102">
        <v>10</v>
      </c>
      <c r="V471" s="102">
        <v>35</v>
      </c>
      <c r="W471" s="106" t="s">
        <v>158</v>
      </c>
      <c r="Y471" s="102" t="s">
        <v>127</v>
      </c>
      <c r="Z471" s="102" t="s">
        <v>128</v>
      </c>
      <c r="AA471" s="104" t="s">
        <v>160</v>
      </c>
      <c r="AB471" s="105">
        <v>6</v>
      </c>
      <c r="AC471" s="104">
        <v>4</v>
      </c>
      <c r="AD471" s="123" t="s">
        <v>1316</v>
      </c>
      <c r="AE471" s="104">
        <v>40</v>
      </c>
      <c r="AF471" s="105">
        <v>65</v>
      </c>
      <c r="AG471" s="104">
        <v>1.28</v>
      </c>
      <c r="AH471" s="102">
        <v>2.4</v>
      </c>
      <c r="AI471" s="105">
        <v>0.75</v>
      </c>
      <c r="AJ471" s="104">
        <v>30</v>
      </c>
      <c r="AK471" s="102">
        <v>40</v>
      </c>
      <c r="AL471" s="102">
        <v>30</v>
      </c>
      <c r="AM471" s="105">
        <v>0</v>
      </c>
      <c r="AN471" s="104">
        <v>45</v>
      </c>
      <c r="AO471" s="102">
        <v>19</v>
      </c>
      <c r="AP471" s="102">
        <v>19</v>
      </c>
      <c r="AQ471" s="105">
        <v>13</v>
      </c>
      <c r="AR471" s="108" t="s">
        <v>1327</v>
      </c>
      <c r="AV471" s="130"/>
    </row>
    <row r="472" ht="39.6" spans="1:44">
      <c r="A472" s="100">
        <v>11003612</v>
      </c>
      <c r="B472" s="101">
        <v>110</v>
      </c>
      <c r="C472" s="102">
        <v>4</v>
      </c>
      <c r="D472" s="103" t="s">
        <v>1328</v>
      </c>
      <c r="F472" s="103" t="s">
        <v>1212</v>
      </c>
      <c r="G472" s="103">
        <v>3</v>
      </c>
      <c r="H472" s="103">
        <v>3</v>
      </c>
      <c r="I472" s="104" t="s">
        <v>73</v>
      </c>
      <c r="J472" s="102" t="s">
        <v>157</v>
      </c>
      <c r="K472" s="102">
        <v>61</v>
      </c>
      <c r="L472" s="103">
        <v>-1</v>
      </c>
      <c r="M472" s="104">
        <v>69</v>
      </c>
      <c r="N472" s="102">
        <v>50</v>
      </c>
      <c r="O472" s="102">
        <v>65</v>
      </c>
      <c r="P472" s="102">
        <v>57</v>
      </c>
      <c r="Q472" s="104">
        <f>_xlfn.FLOOR.MATH(0+0*B472)</f>
        <v>0</v>
      </c>
      <c r="R472" s="102">
        <f>_xlfn.FLOOR.MATH(27+0.35*B472)</f>
        <v>65</v>
      </c>
      <c r="S472" s="102">
        <f>_xlfn.FLOOR.MATH(36+0.42*B472)</f>
        <v>82</v>
      </c>
      <c r="T472" s="105">
        <f>_xlfn.FLOOR.MATH(40+0.52*B472)</f>
        <v>97</v>
      </c>
      <c r="U472" s="102">
        <v>15</v>
      </c>
      <c r="V472" s="102">
        <v>32.5</v>
      </c>
      <c r="W472" s="106" t="s">
        <v>158</v>
      </c>
      <c r="Y472" s="102" t="s">
        <v>127</v>
      </c>
      <c r="Z472" s="102" t="s">
        <v>128</v>
      </c>
      <c r="AA472" s="104" t="s">
        <v>56</v>
      </c>
      <c r="AB472" s="105">
        <v>12</v>
      </c>
      <c r="AC472" s="104">
        <v>4</v>
      </c>
      <c r="AD472" s="123" t="s">
        <v>1329</v>
      </c>
      <c r="AE472" s="104">
        <v>35</v>
      </c>
      <c r="AF472" s="105">
        <v>65</v>
      </c>
      <c r="AG472" s="104">
        <v>1.28</v>
      </c>
      <c r="AH472" s="102">
        <v>2.64</v>
      </c>
      <c r="AI472" s="105">
        <v>0.75</v>
      </c>
      <c r="AJ472" s="104">
        <v>30</v>
      </c>
      <c r="AK472" s="102">
        <v>40</v>
      </c>
      <c r="AL472" s="102">
        <v>30</v>
      </c>
      <c r="AM472" s="105">
        <v>0</v>
      </c>
      <c r="AN472" s="104">
        <v>44</v>
      </c>
      <c r="AO472" s="102">
        <v>13</v>
      </c>
      <c r="AP472" s="102">
        <v>21</v>
      </c>
      <c r="AQ472" s="105">
        <v>14</v>
      </c>
      <c r="AR472" s="108" t="s">
        <v>1330</v>
      </c>
    </row>
    <row r="473" ht="26.4" spans="1:44">
      <c r="A473" s="100">
        <v>11003712</v>
      </c>
      <c r="B473" s="101">
        <v>110</v>
      </c>
      <c r="C473" s="102">
        <v>4</v>
      </c>
      <c r="D473" s="103" t="s">
        <v>1331</v>
      </c>
      <c r="F473" s="103" t="s">
        <v>1212</v>
      </c>
      <c r="G473" s="103">
        <v>3</v>
      </c>
      <c r="H473" s="103">
        <v>3</v>
      </c>
      <c r="I473" s="104" t="s">
        <v>73</v>
      </c>
      <c r="J473" s="102" t="s">
        <v>157</v>
      </c>
      <c r="K473" s="102">
        <v>62</v>
      </c>
      <c r="L473" s="103">
        <v>2</v>
      </c>
      <c r="M473" s="104">
        <v>66</v>
      </c>
      <c r="N473" s="102">
        <v>52</v>
      </c>
      <c r="O473" s="102">
        <v>65</v>
      </c>
      <c r="P473" s="102">
        <v>57</v>
      </c>
      <c r="Q473" s="104">
        <f>_xlfn.FLOOR.MATH(0+0*B473)</f>
        <v>0</v>
      </c>
      <c r="R473" s="102">
        <f>_xlfn.FLOOR.MATH(24+0.35*B473)</f>
        <v>62</v>
      </c>
      <c r="S473" s="102">
        <f>_xlfn.FLOOR.MATH(41+0.42*B473)</f>
        <v>87</v>
      </c>
      <c r="T473" s="105">
        <f>_xlfn.FLOOR.MATH(40+0.52*B473)</f>
        <v>97</v>
      </c>
      <c r="U473" s="102">
        <v>15</v>
      </c>
      <c r="V473" s="102">
        <v>32.5</v>
      </c>
      <c r="W473" s="106" t="s">
        <v>158</v>
      </c>
      <c r="Y473" s="102" t="s">
        <v>127</v>
      </c>
      <c r="Z473" s="102" t="s">
        <v>128</v>
      </c>
      <c r="AA473" s="104" t="s">
        <v>56</v>
      </c>
      <c r="AB473" s="105">
        <v>12</v>
      </c>
      <c r="AC473" s="104">
        <v>4</v>
      </c>
      <c r="AD473" s="123" t="s">
        <v>1332</v>
      </c>
      <c r="AE473" s="104">
        <v>35</v>
      </c>
      <c r="AF473" s="105">
        <v>65</v>
      </c>
      <c r="AG473" s="104">
        <v>1.28</v>
      </c>
      <c r="AH473" s="102">
        <v>2.64</v>
      </c>
      <c r="AI473" s="105">
        <v>0.75</v>
      </c>
      <c r="AJ473" s="104">
        <v>30</v>
      </c>
      <c r="AK473" s="102">
        <v>40</v>
      </c>
      <c r="AL473" s="102">
        <v>30</v>
      </c>
      <c r="AM473" s="105">
        <v>0</v>
      </c>
      <c r="AN473" s="104">
        <v>41</v>
      </c>
      <c r="AO473" s="102">
        <v>13</v>
      </c>
      <c r="AP473" s="102">
        <v>22</v>
      </c>
      <c r="AQ473" s="105">
        <v>14</v>
      </c>
      <c r="AR473" s="108" t="s">
        <v>1333</v>
      </c>
    </row>
    <row r="474" ht="66" spans="1:45">
      <c r="A474" s="100">
        <v>11003812</v>
      </c>
      <c r="B474" s="101">
        <v>110</v>
      </c>
      <c r="C474" s="102">
        <v>6</v>
      </c>
      <c r="D474" s="103" t="s">
        <v>1334</v>
      </c>
      <c r="F474" s="103" t="s">
        <v>1212</v>
      </c>
      <c r="G474" s="103">
        <v>3</v>
      </c>
      <c r="H474" s="103">
        <v>4</v>
      </c>
      <c r="I474" s="104" t="s">
        <v>73</v>
      </c>
      <c r="J474" s="102" t="s">
        <v>157</v>
      </c>
      <c r="K474" s="102">
        <v>69</v>
      </c>
      <c r="L474" s="103">
        <v>-1</v>
      </c>
      <c r="M474" s="104">
        <v>61</v>
      </c>
      <c r="N474" s="102">
        <v>70</v>
      </c>
      <c r="O474" s="102">
        <v>55</v>
      </c>
      <c r="P474" s="102">
        <v>65</v>
      </c>
      <c r="Q474" s="104">
        <f>_xlfn.FLOOR.MATH(0+0*B474)</f>
        <v>0</v>
      </c>
      <c r="R474" s="102">
        <f>_xlfn.FLOOR.MATH(24+0.4*B474)</f>
        <v>68</v>
      </c>
      <c r="S474" s="102">
        <f>_xlfn.FLOOR.MATH(36+0.42*B474)</f>
        <v>82</v>
      </c>
      <c r="T474" s="105">
        <f>_xlfn.FLOOR.MATH(42+0.52*B474)</f>
        <v>99</v>
      </c>
      <c r="U474" s="102">
        <v>35</v>
      </c>
      <c r="V474" s="102">
        <v>32</v>
      </c>
      <c r="W474" s="106" t="s">
        <v>158</v>
      </c>
      <c r="Y474" s="102" t="s">
        <v>127</v>
      </c>
      <c r="Z474" s="102" t="s">
        <v>128</v>
      </c>
      <c r="AA474" s="104" t="s">
        <v>56</v>
      </c>
      <c r="AB474" s="105">
        <v>12</v>
      </c>
      <c r="AC474" s="104">
        <v>4</v>
      </c>
      <c r="AD474" s="107" t="s">
        <v>1335</v>
      </c>
      <c r="AE474" s="104">
        <v>35</v>
      </c>
      <c r="AF474" s="105">
        <v>65</v>
      </c>
      <c r="AG474" s="104">
        <v>1.28</v>
      </c>
      <c r="AH474" s="102">
        <v>2.64</v>
      </c>
      <c r="AI474" s="105">
        <v>0.75</v>
      </c>
      <c r="AJ474" s="104">
        <v>30</v>
      </c>
      <c r="AK474" s="102">
        <v>40</v>
      </c>
      <c r="AL474" s="102">
        <v>30</v>
      </c>
      <c r="AM474" s="105">
        <v>0</v>
      </c>
      <c r="AN474" s="104">
        <v>36</v>
      </c>
      <c r="AO474" s="102">
        <v>10</v>
      </c>
      <c r="AP474" s="102">
        <v>26</v>
      </c>
      <c r="AQ474" s="105">
        <v>18</v>
      </c>
      <c r="AR474" s="108" t="s">
        <v>1336</v>
      </c>
      <c r="AS474" s="109" t="s">
        <v>1337</v>
      </c>
    </row>
    <row r="475" ht="52.8" spans="1:44">
      <c r="A475" s="100">
        <v>11003912</v>
      </c>
      <c r="B475" s="101">
        <v>110</v>
      </c>
      <c r="C475" s="102">
        <v>5</v>
      </c>
      <c r="D475" s="103" t="s">
        <v>1338</v>
      </c>
      <c r="F475" s="103" t="s">
        <v>1212</v>
      </c>
      <c r="G475" s="103">
        <v>3</v>
      </c>
      <c r="H475" s="103">
        <v>4</v>
      </c>
      <c r="I475" s="104" t="s">
        <v>86</v>
      </c>
      <c r="J475" s="102" t="s">
        <v>157</v>
      </c>
      <c r="K475" s="102">
        <v>46</v>
      </c>
      <c r="L475" s="103">
        <v>2</v>
      </c>
      <c r="M475" s="104">
        <v>78</v>
      </c>
      <c r="N475" s="102">
        <v>52</v>
      </c>
      <c r="O475" s="102">
        <v>0</v>
      </c>
      <c r="P475" s="102">
        <v>93</v>
      </c>
      <c r="Q475" s="104">
        <f>_xlfn.FLOOR.MATH(0+0*B475)</f>
        <v>0</v>
      </c>
      <c r="R475" s="102">
        <f>_xlfn.FLOOR.MATH(24+0.35*B475)</f>
        <v>62</v>
      </c>
      <c r="S475" s="102">
        <f>_xlfn.FLOOR.MATH(37+0.42*B475)</f>
        <v>83</v>
      </c>
      <c r="T475" s="105">
        <f>_xlfn.FLOOR.MATH(42+0.51*B475)</f>
        <v>98</v>
      </c>
      <c r="U475" s="102">
        <v>20</v>
      </c>
      <c r="V475" s="102">
        <v>33</v>
      </c>
      <c r="W475" s="106" t="s">
        <v>158</v>
      </c>
      <c r="Y475" s="102" t="s">
        <v>127</v>
      </c>
      <c r="Z475" s="102" t="s">
        <v>128</v>
      </c>
      <c r="AA475" s="104" t="s">
        <v>160</v>
      </c>
      <c r="AB475" s="105">
        <v>6</v>
      </c>
      <c r="AC475" s="104">
        <v>4</v>
      </c>
      <c r="AD475" s="107" t="s">
        <v>1339</v>
      </c>
      <c r="AE475" s="104">
        <v>40</v>
      </c>
      <c r="AF475" s="105">
        <v>70</v>
      </c>
      <c r="AG475" s="104">
        <v>1.28</v>
      </c>
      <c r="AH475" s="102">
        <v>2.4</v>
      </c>
      <c r="AI475" s="105">
        <v>0.625</v>
      </c>
      <c r="AJ475" s="104">
        <v>30</v>
      </c>
      <c r="AK475" s="102">
        <v>40</v>
      </c>
      <c r="AL475" s="102">
        <v>30</v>
      </c>
      <c r="AM475" s="105">
        <v>0</v>
      </c>
      <c r="AN475" s="104">
        <v>43</v>
      </c>
      <c r="AO475" s="102">
        <v>0</v>
      </c>
      <c r="AP475" s="102">
        <v>16</v>
      </c>
      <c r="AQ475" s="105">
        <v>60</v>
      </c>
      <c r="AR475" s="108" t="s">
        <v>1340</v>
      </c>
    </row>
    <row r="476" ht="39.6" spans="1:45">
      <c r="A476" s="100">
        <v>11004012</v>
      </c>
      <c r="B476" s="101">
        <v>110</v>
      </c>
      <c r="C476" s="102">
        <v>4</v>
      </c>
      <c r="D476" s="103" t="s">
        <v>1341</v>
      </c>
      <c r="F476" s="103" t="s">
        <v>1212</v>
      </c>
      <c r="G476" s="103">
        <v>2</v>
      </c>
      <c r="H476" s="103">
        <v>3</v>
      </c>
      <c r="I476" s="104" t="s">
        <v>86</v>
      </c>
      <c r="J476" s="102" t="s">
        <v>157</v>
      </c>
      <c r="K476" s="102">
        <v>58</v>
      </c>
      <c r="L476" s="103">
        <v>2</v>
      </c>
      <c r="M476" s="104">
        <v>73</v>
      </c>
      <c r="N476" s="102">
        <v>56</v>
      </c>
      <c r="O476" s="102">
        <v>0</v>
      </c>
      <c r="P476" s="102">
        <v>80</v>
      </c>
      <c r="Q476" s="104">
        <f>_xlfn.FLOOR.MATH(0+0*B476)</f>
        <v>0</v>
      </c>
      <c r="R476" s="102">
        <f>_xlfn.FLOOR.MATH(25+0.35*B476)</f>
        <v>63</v>
      </c>
      <c r="S476" s="102">
        <f>_xlfn.FLOOR.MATH(37+0.42*B476)</f>
        <v>83</v>
      </c>
      <c r="T476" s="105">
        <f>_xlfn.FLOOR.MATH(41+0.51*B476)</f>
        <v>97</v>
      </c>
      <c r="U476" s="102">
        <v>12</v>
      </c>
      <c r="V476" s="102">
        <v>32.7</v>
      </c>
      <c r="W476" s="106" t="s">
        <v>158</v>
      </c>
      <c r="Y476" s="102" t="s">
        <v>127</v>
      </c>
      <c r="Z476" s="102" t="s">
        <v>128</v>
      </c>
      <c r="AA476" s="104" t="s">
        <v>337</v>
      </c>
      <c r="AB476" s="105">
        <v>8</v>
      </c>
      <c r="AC476" s="104">
        <v>4</v>
      </c>
      <c r="AD476" s="107" t="s">
        <v>1342</v>
      </c>
      <c r="AE476" s="104">
        <v>40</v>
      </c>
      <c r="AF476" s="105">
        <v>70</v>
      </c>
      <c r="AG476" s="104">
        <v>1.28</v>
      </c>
      <c r="AH476" s="102">
        <v>2.4</v>
      </c>
      <c r="AI476" s="105">
        <v>0.625</v>
      </c>
      <c r="AJ476" s="104">
        <v>30</v>
      </c>
      <c r="AK476" s="102">
        <v>40</v>
      </c>
      <c r="AL476" s="102">
        <v>30</v>
      </c>
      <c r="AM476" s="105">
        <v>0</v>
      </c>
      <c r="AN476" s="104">
        <v>43</v>
      </c>
      <c r="AO476" s="102">
        <v>0</v>
      </c>
      <c r="AP476" s="102">
        <v>18</v>
      </c>
      <c r="AQ476" s="105">
        <v>45</v>
      </c>
      <c r="AR476" s="108" t="s">
        <v>717</v>
      </c>
      <c r="AS476" s="109" t="s">
        <v>1343</v>
      </c>
    </row>
    <row r="477" ht="26.4" spans="1:44">
      <c r="A477" s="100">
        <v>11004112</v>
      </c>
      <c r="B477" s="101">
        <v>110</v>
      </c>
      <c r="C477" s="102">
        <v>3</v>
      </c>
      <c r="D477" s="103" t="s">
        <v>1344</v>
      </c>
      <c r="E477" s="103" t="s">
        <v>1345</v>
      </c>
      <c r="F477" s="103" t="s">
        <v>1212</v>
      </c>
      <c r="G477" s="103">
        <v>1</v>
      </c>
      <c r="H477" s="103">
        <v>2</v>
      </c>
      <c r="I477" s="104" t="s">
        <v>60</v>
      </c>
      <c r="J477" s="102" t="s">
        <v>184</v>
      </c>
      <c r="K477" s="102">
        <v>38</v>
      </c>
      <c r="L477" s="103">
        <v>2</v>
      </c>
      <c r="M477" s="104">
        <v>46</v>
      </c>
      <c r="N477" s="102">
        <v>32</v>
      </c>
      <c r="O477" s="102">
        <v>73</v>
      </c>
      <c r="P477" s="102">
        <v>53</v>
      </c>
      <c r="Q477" s="104">
        <f>_xlfn.FLOOR.MATH(28+0.4*B477)</f>
        <v>72</v>
      </c>
      <c r="R477" s="102">
        <f>_xlfn.FLOOR.MATH(10+0.2*B477)</f>
        <v>32</v>
      </c>
      <c r="S477" s="102">
        <f>_xlfn.FLOOR.MATH(46+0.36*B477)</f>
        <v>85</v>
      </c>
      <c r="T477" s="105">
        <f>_xlfn.FLOOR.MATH(36+0.54*B477)</f>
        <v>95</v>
      </c>
      <c r="U477" s="102">
        <v>17</v>
      </c>
      <c r="V477" s="102">
        <v>33</v>
      </c>
      <c r="W477" s="106" t="s">
        <v>158</v>
      </c>
      <c r="Y477" s="102" t="s">
        <v>127</v>
      </c>
      <c r="Z477" s="102" t="s">
        <v>128</v>
      </c>
      <c r="AA477" s="104">
        <v>0</v>
      </c>
      <c r="AB477" s="105">
        <v>0</v>
      </c>
      <c r="AC477" s="104">
        <v>3</v>
      </c>
      <c r="AD477" s="107" t="s">
        <v>1346</v>
      </c>
      <c r="AE477" s="104">
        <v>25</v>
      </c>
      <c r="AF477" s="105">
        <v>20</v>
      </c>
      <c r="AG477" s="104">
        <v>0.8</v>
      </c>
      <c r="AH477" s="102">
        <v>1.5</v>
      </c>
      <c r="AI477" s="105">
        <v>0.5</v>
      </c>
      <c r="AJ477" s="104">
        <v>10</v>
      </c>
      <c r="AK477" s="102">
        <v>16</v>
      </c>
      <c r="AL477" s="102">
        <v>10</v>
      </c>
      <c r="AM477" s="105">
        <v>0</v>
      </c>
      <c r="AN477" s="104">
        <v>8</v>
      </c>
      <c r="AO477" s="102">
        <v>31</v>
      </c>
      <c r="AP477" s="102">
        <v>6</v>
      </c>
      <c r="AQ477" s="105">
        <v>12</v>
      </c>
      <c r="AR477" s="108" t="s">
        <v>1347</v>
      </c>
    </row>
    <row r="478" ht="26.4" spans="1:44">
      <c r="A478" s="100">
        <v>11004212</v>
      </c>
      <c r="B478" s="101">
        <v>110</v>
      </c>
      <c r="C478" s="102">
        <v>3</v>
      </c>
      <c r="D478" s="103" t="s">
        <v>1348</v>
      </c>
      <c r="E478" s="103" t="s">
        <v>1349</v>
      </c>
      <c r="F478" s="103" t="s">
        <v>1212</v>
      </c>
      <c r="G478" s="103">
        <v>1</v>
      </c>
      <c r="H478" s="103">
        <v>2</v>
      </c>
      <c r="I478" s="104" t="s">
        <v>60</v>
      </c>
      <c r="J478" s="102" t="s">
        <v>184</v>
      </c>
      <c r="K478" s="102">
        <v>38</v>
      </c>
      <c r="L478" s="103">
        <v>2</v>
      </c>
      <c r="M478" s="104">
        <v>46</v>
      </c>
      <c r="N478" s="102">
        <v>32</v>
      </c>
      <c r="O478" s="102">
        <v>73</v>
      </c>
      <c r="P478" s="102">
        <v>53</v>
      </c>
      <c r="Q478" s="104">
        <f>_xlfn.FLOOR.MATH(28+0.4*B478)</f>
        <v>72</v>
      </c>
      <c r="R478" s="102">
        <f>_xlfn.FLOOR.MATH(10+0.2*B478)</f>
        <v>32</v>
      </c>
      <c r="S478" s="102">
        <f>_xlfn.FLOOR.MATH(46+0.36*B478)</f>
        <v>85</v>
      </c>
      <c r="T478" s="105">
        <f>_xlfn.FLOOR.MATH(36+0.54*B478)</f>
        <v>95</v>
      </c>
      <c r="U478" s="102">
        <v>17</v>
      </c>
      <c r="V478" s="102">
        <v>33</v>
      </c>
      <c r="W478" s="106" t="s">
        <v>158</v>
      </c>
      <c r="Y478" s="102" t="s">
        <v>127</v>
      </c>
      <c r="Z478" s="102" t="s">
        <v>128</v>
      </c>
      <c r="AA478" s="104">
        <v>0</v>
      </c>
      <c r="AB478" s="105">
        <v>0</v>
      </c>
      <c r="AC478" s="104">
        <v>3</v>
      </c>
      <c r="AD478" s="107" t="s">
        <v>186</v>
      </c>
      <c r="AE478" s="104">
        <v>25</v>
      </c>
      <c r="AF478" s="105">
        <v>20</v>
      </c>
      <c r="AG478" s="104">
        <v>0.8</v>
      </c>
      <c r="AH478" s="102">
        <v>1.5</v>
      </c>
      <c r="AI478" s="105">
        <v>0.5</v>
      </c>
      <c r="AJ478" s="104">
        <v>10</v>
      </c>
      <c r="AK478" s="102">
        <v>16</v>
      </c>
      <c r="AL478" s="102">
        <v>10</v>
      </c>
      <c r="AM478" s="105">
        <v>0</v>
      </c>
      <c r="AN478" s="104">
        <v>8</v>
      </c>
      <c r="AO478" s="102">
        <v>31</v>
      </c>
      <c r="AP478" s="102">
        <v>6</v>
      </c>
      <c r="AQ478" s="105">
        <v>12</v>
      </c>
      <c r="AR478" s="108" t="s">
        <v>1350</v>
      </c>
    </row>
    <row r="479" ht="92.4" spans="1:45">
      <c r="A479" s="100">
        <v>11004312</v>
      </c>
      <c r="B479" s="101">
        <v>110</v>
      </c>
      <c r="C479" s="102">
        <v>5</v>
      </c>
      <c r="D479" s="103" t="s">
        <v>1351</v>
      </c>
      <c r="E479" s="103" t="s">
        <v>1352</v>
      </c>
      <c r="F479" s="103" t="s">
        <v>1212</v>
      </c>
      <c r="G479" s="103">
        <v>3</v>
      </c>
      <c r="H479" s="103">
        <v>3</v>
      </c>
      <c r="I479" s="104" t="s">
        <v>60</v>
      </c>
      <c r="J479" s="102" t="s">
        <v>974</v>
      </c>
      <c r="K479" s="102">
        <v>35</v>
      </c>
      <c r="L479" s="103">
        <v>1</v>
      </c>
      <c r="M479" s="104">
        <v>36</v>
      </c>
      <c r="N479" s="102">
        <v>33</v>
      </c>
      <c r="O479" s="102">
        <v>120</v>
      </c>
      <c r="P479" s="102">
        <v>55</v>
      </c>
      <c r="Q479" s="104">
        <f>_xlfn.FLOOR.MATH(2+0*B479)</f>
        <v>2</v>
      </c>
      <c r="R479" s="102">
        <f>_xlfn.FLOOR.MATH(10+0.1*B479)</f>
        <v>21</v>
      </c>
      <c r="S479" s="102">
        <f>_xlfn.FLOOR.MATH(40+0.35*B479)</f>
        <v>78</v>
      </c>
      <c r="T479" s="105">
        <f>_xlfn.FLOOR.MATH(38+0.54*B479)</f>
        <v>97</v>
      </c>
      <c r="U479" s="102">
        <v>20</v>
      </c>
      <c r="V479" s="102">
        <v>36</v>
      </c>
      <c r="W479" s="106" t="s">
        <v>158</v>
      </c>
      <c r="Y479" s="102" t="s">
        <v>127</v>
      </c>
      <c r="Z479" s="102" t="s">
        <v>128</v>
      </c>
      <c r="AA479" s="104">
        <v>0</v>
      </c>
      <c r="AB479" s="105">
        <v>0</v>
      </c>
      <c r="AC479" s="104">
        <v>3</v>
      </c>
      <c r="AD479" s="107" t="s">
        <v>1353</v>
      </c>
      <c r="AE479" s="104">
        <v>25</v>
      </c>
      <c r="AF479" s="105">
        <v>100</v>
      </c>
      <c r="AG479" s="104">
        <v>0.8</v>
      </c>
      <c r="AH479" s="102">
        <v>1.5</v>
      </c>
      <c r="AI479" s="105">
        <v>0.75</v>
      </c>
      <c r="AJ479" s="104">
        <v>40</v>
      </c>
      <c r="AK479" s="102">
        <v>36</v>
      </c>
      <c r="AL479" s="102">
        <v>50</v>
      </c>
      <c r="AM479" s="105">
        <v>0</v>
      </c>
      <c r="AN479" s="104">
        <v>16</v>
      </c>
      <c r="AO479" s="102">
        <v>94</v>
      </c>
      <c r="AP479" s="102">
        <v>7</v>
      </c>
      <c r="AQ479" s="105">
        <v>0</v>
      </c>
      <c r="AR479" s="108" t="s">
        <v>976</v>
      </c>
      <c r="AS479" s="109" t="s">
        <v>1354</v>
      </c>
    </row>
    <row r="480" ht="92.4" spans="1:45">
      <c r="A480" s="100">
        <v>11004412</v>
      </c>
      <c r="B480" s="101">
        <v>110</v>
      </c>
      <c r="C480" s="102">
        <v>5</v>
      </c>
      <c r="D480" s="103" t="s">
        <v>1355</v>
      </c>
      <c r="E480" s="103" t="s">
        <v>1356</v>
      </c>
      <c r="F480" s="103" t="s">
        <v>1212</v>
      </c>
      <c r="G480" s="103">
        <v>3</v>
      </c>
      <c r="H480" s="103">
        <v>3</v>
      </c>
      <c r="I480" s="104" t="s">
        <v>60</v>
      </c>
      <c r="J480" s="102" t="s">
        <v>974</v>
      </c>
      <c r="K480" s="102">
        <v>35</v>
      </c>
      <c r="L480" s="103">
        <v>1</v>
      </c>
      <c r="M480" s="104">
        <v>36</v>
      </c>
      <c r="N480" s="102">
        <v>33</v>
      </c>
      <c r="O480" s="102">
        <v>120</v>
      </c>
      <c r="P480" s="102">
        <v>55</v>
      </c>
      <c r="Q480" s="104">
        <f>_xlfn.FLOOR.MATH(2+0*B480)</f>
        <v>2</v>
      </c>
      <c r="R480" s="102">
        <f>_xlfn.FLOOR.MATH(10+0.1*B480)</f>
        <v>21</v>
      </c>
      <c r="S480" s="102">
        <f>_xlfn.FLOOR.MATH(40+0.35*B480)</f>
        <v>78</v>
      </c>
      <c r="T480" s="105">
        <f>_xlfn.FLOOR.MATH(38+0.54*B480)</f>
        <v>97</v>
      </c>
      <c r="U480" s="102">
        <v>10</v>
      </c>
      <c r="V480" s="102">
        <v>36</v>
      </c>
      <c r="W480" s="106" t="s">
        <v>158</v>
      </c>
      <c r="Y480" s="102" t="s">
        <v>127</v>
      </c>
      <c r="Z480" s="102" t="s">
        <v>128</v>
      </c>
      <c r="AA480" s="104">
        <v>0</v>
      </c>
      <c r="AB480" s="105">
        <v>0</v>
      </c>
      <c r="AC480" s="104">
        <v>3</v>
      </c>
      <c r="AD480" s="107" t="s">
        <v>1353</v>
      </c>
      <c r="AE480" s="104">
        <v>25</v>
      </c>
      <c r="AF480" s="105">
        <v>100</v>
      </c>
      <c r="AG480" s="104">
        <v>0.8</v>
      </c>
      <c r="AH480" s="102">
        <v>1.5</v>
      </c>
      <c r="AI480" s="105">
        <v>0.75</v>
      </c>
      <c r="AJ480" s="104">
        <v>40</v>
      </c>
      <c r="AK480" s="102">
        <v>36</v>
      </c>
      <c r="AL480" s="102">
        <v>50</v>
      </c>
      <c r="AM480" s="105">
        <v>0</v>
      </c>
      <c r="AN480" s="104">
        <v>16</v>
      </c>
      <c r="AO480" s="102">
        <v>94</v>
      </c>
      <c r="AP480" s="102">
        <v>7</v>
      </c>
      <c r="AQ480" s="105">
        <v>0</v>
      </c>
      <c r="AR480" s="108" t="s">
        <v>976</v>
      </c>
      <c r="AS480" s="109" t="s">
        <v>1354</v>
      </c>
    </row>
    <row r="481" ht="79.2" spans="1:44">
      <c r="A481" s="100">
        <v>11004512</v>
      </c>
      <c r="B481" s="101">
        <v>110</v>
      </c>
      <c r="C481" s="102">
        <v>4</v>
      </c>
      <c r="D481" s="103" t="s">
        <v>1357</v>
      </c>
      <c r="E481" s="103" t="s">
        <v>1358</v>
      </c>
      <c r="F481" s="103" t="s">
        <v>1212</v>
      </c>
      <c r="G481" s="103">
        <v>2</v>
      </c>
      <c r="H481" s="103">
        <v>3</v>
      </c>
      <c r="I481" s="104" t="s">
        <v>60</v>
      </c>
      <c r="J481" s="102" t="s">
        <v>184</v>
      </c>
      <c r="K481" s="102">
        <v>40</v>
      </c>
      <c r="L481" s="103">
        <v>0</v>
      </c>
      <c r="M481" s="104">
        <v>48</v>
      </c>
      <c r="N481" s="102">
        <v>33</v>
      </c>
      <c r="O481" s="102">
        <v>80</v>
      </c>
      <c r="P481" s="102">
        <v>68</v>
      </c>
      <c r="Q481" s="104">
        <f>_xlfn.FLOOR.MATH(50+0.4*B481)</f>
        <v>94</v>
      </c>
      <c r="R481" s="102">
        <f>_xlfn.FLOOR.MATH(12+0.2*B481)</f>
        <v>34</v>
      </c>
      <c r="S481" s="102">
        <f>_xlfn.FLOOR.MATH(48+0.36*B481)</f>
        <v>87</v>
      </c>
      <c r="T481" s="105">
        <f>_xlfn.FLOOR.MATH(37+0.54*B481)</f>
        <v>96</v>
      </c>
      <c r="U481" s="102">
        <v>12</v>
      </c>
      <c r="V481" s="102">
        <v>36</v>
      </c>
      <c r="W481" s="106" t="s">
        <v>158</v>
      </c>
      <c r="Y481" s="102" t="s">
        <v>127</v>
      </c>
      <c r="Z481" s="102" t="s">
        <v>128</v>
      </c>
      <c r="AA481" s="104" t="s">
        <v>198</v>
      </c>
      <c r="AB481" s="105">
        <v>3</v>
      </c>
      <c r="AC481" s="104">
        <v>3</v>
      </c>
      <c r="AD481" s="107" t="s">
        <v>1359</v>
      </c>
      <c r="AE481" s="104">
        <v>25</v>
      </c>
      <c r="AF481" s="105">
        <v>25</v>
      </c>
      <c r="AG481" s="104">
        <v>0.8</v>
      </c>
      <c r="AH481" s="102">
        <v>1.5</v>
      </c>
      <c r="AI481" s="105">
        <v>0.5</v>
      </c>
      <c r="AJ481" s="104">
        <v>10</v>
      </c>
      <c r="AK481" s="102">
        <v>16</v>
      </c>
      <c r="AL481" s="102">
        <v>10</v>
      </c>
      <c r="AM481" s="105">
        <v>0</v>
      </c>
      <c r="AN481" s="104">
        <v>9</v>
      </c>
      <c r="AO481" s="102">
        <v>38</v>
      </c>
      <c r="AP481" s="102">
        <v>7</v>
      </c>
      <c r="AQ481" s="105">
        <v>21</v>
      </c>
      <c r="AR481" s="108" t="s">
        <v>1360</v>
      </c>
    </row>
    <row r="482" ht="26.4" spans="1:44">
      <c r="A482" s="100">
        <v>11004612</v>
      </c>
      <c r="B482" s="101">
        <v>110</v>
      </c>
      <c r="C482" s="102">
        <v>5</v>
      </c>
      <c r="D482" s="103" t="s">
        <v>1361</v>
      </c>
      <c r="E482" s="103" t="s">
        <v>1362</v>
      </c>
      <c r="F482" s="103" t="s">
        <v>1212</v>
      </c>
      <c r="G482" s="103">
        <v>2</v>
      </c>
      <c r="H482" s="103">
        <v>3</v>
      </c>
      <c r="I482" s="104" t="s">
        <v>60</v>
      </c>
      <c r="J482" s="102" t="s">
        <v>184</v>
      </c>
      <c r="K482" s="102">
        <v>34</v>
      </c>
      <c r="L482" s="103">
        <v>2</v>
      </c>
      <c r="M482" s="104">
        <v>52</v>
      </c>
      <c r="N482" s="102">
        <v>35</v>
      </c>
      <c r="O482" s="102">
        <v>75</v>
      </c>
      <c r="P482" s="102">
        <v>55</v>
      </c>
      <c r="Q482" s="104">
        <f>_xlfn.FLOOR.MATH(33+0.3*B482)</f>
        <v>66</v>
      </c>
      <c r="R482" s="102">
        <f>_xlfn.FLOOR.MATH(16+0.2*B482)</f>
        <v>38</v>
      </c>
      <c r="S482" s="102">
        <f>_xlfn.FLOOR.MATH(60+0.35*B482)</f>
        <v>98</v>
      </c>
      <c r="T482" s="105">
        <f>_xlfn.FLOOR.MATH(38+0.54*B482)</f>
        <v>97</v>
      </c>
      <c r="U482" s="102">
        <v>17</v>
      </c>
      <c r="V482" s="102">
        <v>35.5</v>
      </c>
      <c r="W482" s="106" t="s">
        <v>158</v>
      </c>
      <c r="Y482" s="102" t="s">
        <v>127</v>
      </c>
      <c r="Z482" s="102" t="s">
        <v>128</v>
      </c>
      <c r="AA482" s="104">
        <v>0</v>
      </c>
      <c r="AB482" s="105">
        <v>0</v>
      </c>
      <c r="AC482" s="104">
        <v>4</v>
      </c>
      <c r="AD482" s="107" t="s">
        <v>1363</v>
      </c>
      <c r="AE482" s="104">
        <v>20</v>
      </c>
      <c r="AF482" s="105">
        <v>30</v>
      </c>
      <c r="AG482" s="104">
        <v>0.8</v>
      </c>
      <c r="AH482" s="102">
        <v>1.5</v>
      </c>
      <c r="AI482" s="105">
        <v>0.5</v>
      </c>
      <c r="AJ482" s="104">
        <v>10</v>
      </c>
      <c r="AK482" s="102">
        <v>16</v>
      </c>
      <c r="AL482" s="102">
        <v>10</v>
      </c>
      <c r="AM482" s="105">
        <v>0</v>
      </c>
      <c r="AN482" s="104">
        <v>11</v>
      </c>
      <c r="AO482" s="102">
        <v>33</v>
      </c>
      <c r="AP482" s="102">
        <v>8</v>
      </c>
      <c r="AQ482" s="105">
        <v>13</v>
      </c>
      <c r="AR482" s="108" t="s">
        <v>1364</v>
      </c>
    </row>
    <row r="483" ht="66" spans="1:44">
      <c r="A483" s="100">
        <v>11004712</v>
      </c>
      <c r="B483" s="101">
        <v>110</v>
      </c>
      <c r="C483" s="102">
        <v>4</v>
      </c>
      <c r="D483" s="103" t="s">
        <v>1365</v>
      </c>
      <c r="F483" s="103" t="s">
        <v>1212</v>
      </c>
      <c r="G483" s="103">
        <v>2</v>
      </c>
      <c r="H483" s="103">
        <v>2</v>
      </c>
      <c r="I483" s="104" t="s">
        <v>73</v>
      </c>
      <c r="J483" s="102" t="s">
        <v>184</v>
      </c>
      <c r="K483" s="102">
        <v>48</v>
      </c>
      <c r="L483" s="103">
        <v>0</v>
      </c>
      <c r="M483" s="104">
        <v>58</v>
      </c>
      <c r="N483" s="102">
        <v>42</v>
      </c>
      <c r="O483" s="102">
        <v>70</v>
      </c>
      <c r="P483" s="102">
        <v>60</v>
      </c>
      <c r="Q483" s="104">
        <f>_xlfn.FLOOR.MATH(30+0.4*B483)</f>
        <v>74</v>
      </c>
      <c r="R483" s="102">
        <f>_xlfn.FLOOR.MATH(11+0.2*B483)</f>
        <v>33</v>
      </c>
      <c r="S483" s="102">
        <f>_xlfn.FLOOR.MATH(39+0.36*B483)</f>
        <v>78</v>
      </c>
      <c r="T483" s="105">
        <f>_xlfn.FLOOR.MATH(37+0.54*B483)</f>
        <v>96</v>
      </c>
      <c r="U483" s="102">
        <v>15</v>
      </c>
      <c r="V483" s="102">
        <v>32.5</v>
      </c>
      <c r="W483" s="106" t="s">
        <v>158</v>
      </c>
      <c r="Y483" s="102" t="s">
        <v>127</v>
      </c>
      <c r="Z483" s="102" t="s">
        <v>128</v>
      </c>
      <c r="AA483" s="104" t="s">
        <v>160</v>
      </c>
      <c r="AB483" s="105">
        <v>6</v>
      </c>
      <c r="AC483" s="104">
        <v>3</v>
      </c>
      <c r="AD483" s="107" t="s">
        <v>1366</v>
      </c>
      <c r="AE483" s="104">
        <v>20</v>
      </c>
      <c r="AF483" s="105">
        <v>25</v>
      </c>
      <c r="AG483" s="104">
        <v>0.8</v>
      </c>
      <c r="AH483" s="102">
        <v>1.65</v>
      </c>
      <c r="AI483" s="105">
        <v>0.5</v>
      </c>
      <c r="AJ483" s="104">
        <v>10</v>
      </c>
      <c r="AK483" s="102">
        <v>16</v>
      </c>
      <c r="AL483" s="102">
        <v>10</v>
      </c>
      <c r="AM483" s="105">
        <v>0</v>
      </c>
      <c r="AN483" s="104">
        <v>14</v>
      </c>
      <c r="AO483" s="102">
        <v>25</v>
      </c>
      <c r="AP483" s="102">
        <v>13</v>
      </c>
      <c r="AQ483" s="105">
        <v>15</v>
      </c>
      <c r="AR483" s="108" t="s">
        <v>1367</v>
      </c>
    </row>
    <row r="484" ht="66" spans="1:44">
      <c r="A484" s="100">
        <v>11004812</v>
      </c>
      <c r="B484" s="101">
        <v>110</v>
      </c>
      <c r="C484" s="102">
        <v>4</v>
      </c>
      <c r="D484" s="103" t="s">
        <v>1368</v>
      </c>
      <c r="F484" s="103" t="s">
        <v>1212</v>
      </c>
      <c r="G484" s="103">
        <v>2</v>
      </c>
      <c r="H484" s="103">
        <v>2</v>
      </c>
      <c r="I484" s="104" t="s">
        <v>73</v>
      </c>
      <c r="J484" s="102" t="s">
        <v>184</v>
      </c>
      <c r="K484" s="102">
        <v>48</v>
      </c>
      <c r="L484" s="103">
        <v>0</v>
      </c>
      <c r="M484" s="104">
        <v>58</v>
      </c>
      <c r="N484" s="102">
        <v>42</v>
      </c>
      <c r="O484" s="102">
        <v>70</v>
      </c>
      <c r="P484" s="102">
        <v>60</v>
      </c>
      <c r="Q484" s="104">
        <f>_xlfn.FLOOR.MATH(30+0.4*B484)</f>
        <v>74</v>
      </c>
      <c r="R484" s="102">
        <f>_xlfn.FLOOR.MATH(11+0.2*B484)</f>
        <v>33</v>
      </c>
      <c r="S484" s="102">
        <f>_xlfn.FLOOR.MATH(39+0.36*B484)</f>
        <v>78</v>
      </c>
      <c r="T484" s="105">
        <f>_xlfn.FLOOR.MATH(37+0.54*B484)</f>
        <v>96</v>
      </c>
      <c r="U484" s="102">
        <v>15</v>
      </c>
      <c r="V484" s="102">
        <v>32.5</v>
      </c>
      <c r="W484" s="106" t="s">
        <v>158</v>
      </c>
      <c r="Y484" s="102" t="s">
        <v>127</v>
      </c>
      <c r="Z484" s="102" t="s">
        <v>128</v>
      </c>
      <c r="AA484" s="104" t="s">
        <v>160</v>
      </c>
      <c r="AB484" s="105">
        <v>6</v>
      </c>
      <c r="AC484" s="104">
        <v>3</v>
      </c>
      <c r="AD484" s="107" t="s">
        <v>1366</v>
      </c>
      <c r="AE484" s="104">
        <v>20</v>
      </c>
      <c r="AF484" s="105">
        <v>25</v>
      </c>
      <c r="AG484" s="104">
        <v>0.8</v>
      </c>
      <c r="AH484" s="102">
        <v>1.65</v>
      </c>
      <c r="AI484" s="105">
        <v>0.5</v>
      </c>
      <c r="AJ484" s="104">
        <v>10</v>
      </c>
      <c r="AK484" s="102">
        <v>16</v>
      </c>
      <c r="AL484" s="102">
        <v>10</v>
      </c>
      <c r="AM484" s="105">
        <v>0</v>
      </c>
      <c r="AN484" s="104">
        <v>14</v>
      </c>
      <c r="AO484" s="102">
        <v>25</v>
      </c>
      <c r="AP484" s="102">
        <v>13</v>
      </c>
      <c r="AQ484" s="105">
        <v>15</v>
      </c>
      <c r="AR484" s="108" t="s">
        <v>1367</v>
      </c>
    </row>
    <row r="485" ht="66" spans="1:44">
      <c r="A485" s="100">
        <v>11004912</v>
      </c>
      <c r="B485" s="101">
        <v>110</v>
      </c>
      <c r="C485" s="102">
        <v>4</v>
      </c>
      <c r="D485" s="103" t="s">
        <v>1369</v>
      </c>
      <c r="F485" s="103" t="s">
        <v>1212</v>
      </c>
      <c r="G485" s="103">
        <v>2</v>
      </c>
      <c r="H485" s="103">
        <v>2</v>
      </c>
      <c r="I485" s="104" t="s">
        <v>73</v>
      </c>
      <c r="J485" s="102" t="s">
        <v>184</v>
      </c>
      <c r="K485" s="102">
        <v>48</v>
      </c>
      <c r="L485" s="103">
        <v>0</v>
      </c>
      <c r="M485" s="104">
        <v>58</v>
      </c>
      <c r="N485" s="102">
        <v>42</v>
      </c>
      <c r="O485" s="102">
        <v>70</v>
      </c>
      <c r="P485" s="102">
        <v>63</v>
      </c>
      <c r="Q485" s="104">
        <f>_xlfn.FLOOR.MATH(33+0.4*B485)</f>
        <v>77</v>
      </c>
      <c r="R485" s="102">
        <f>_xlfn.FLOOR.MATH(12+0.2*B485)</f>
        <v>34</v>
      </c>
      <c r="S485" s="102">
        <f>_xlfn.FLOOR.MATH(39+0.36*B485)</f>
        <v>78</v>
      </c>
      <c r="T485" s="105">
        <f>_xlfn.FLOOR.MATH(37+0.54*B485)</f>
        <v>96</v>
      </c>
      <c r="U485" s="102">
        <v>18</v>
      </c>
      <c r="V485" s="102">
        <v>32.5</v>
      </c>
      <c r="W485" s="106" t="s">
        <v>158</v>
      </c>
      <c r="Y485" s="102" t="s">
        <v>127</v>
      </c>
      <c r="Z485" s="102" t="s">
        <v>128</v>
      </c>
      <c r="AA485" s="104" t="s">
        <v>160</v>
      </c>
      <c r="AB485" s="105">
        <v>6</v>
      </c>
      <c r="AC485" s="104">
        <v>3</v>
      </c>
      <c r="AD485" s="107" t="s">
        <v>1370</v>
      </c>
      <c r="AE485" s="104">
        <v>20</v>
      </c>
      <c r="AF485" s="105">
        <v>25</v>
      </c>
      <c r="AG485" s="104">
        <v>0.8</v>
      </c>
      <c r="AH485" s="102">
        <v>1.65</v>
      </c>
      <c r="AI485" s="105">
        <v>0.5</v>
      </c>
      <c r="AJ485" s="104">
        <v>10</v>
      </c>
      <c r="AK485" s="102">
        <v>16</v>
      </c>
      <c r="AL485" s="102">
        <v>10</v>
      </c>
      <c r="AM485" s="105">
        <v>0</v>
      </c>
      <c r="AN485" s="104">
        <v>14</v>
      </c>
      <c r="AO485" s="102">
        <v>25</v>
      </c>
      <c r="AP485" s="102">
        <v>13</v>
      </c>
      <c r="AQ485" s="105">
        <v>17</v>
      </c>
      <c r="AR485" s="108" t="s">
        <v>1367</v>
      </c>
    </row>
    <row r="486" ht="52.8" spans="1:44">
      <c r="A486" s="100">
        <v>11005012</v>
      </c>
      <c r="B486" s="101">
        <v>110</v>
      </c>
      <c r="C486" s="102">
        <v>6</v>
      </c>
      <c r="D486" s="103" t="s">
        <v>1371</v>
      </c>
      <c r="F486" s="103" t="s">
        <v>1212</v>
      </c>
      <c r="G486" s="103">
        <v>3</v>
      </c>
      <c r="H486" s="103">
        <v>3</v>
      </c>
      <c r="I486" s="104" t="s">
        <v>50</v>
      </c>
      <c r="J486" s="102" t="s">
        <v>184</v>
      </c>
      <c r="K486" s="102">
        <v>40</v>
      </c>
      <c r="L486" s="103">
        <v>0</v>
      </c>
      <c r="M486" s="104">
        <v>67</v>
      </c>
      <c r="N486" s="102">
        <v>51</v>
      </c>
      <c r="O486" s="102">
        <v>65</v>
      </c>
      <c r="P486" s="102">
        <v>110</v>
      </c>
      <c r="Q486" s="104">
        <f>_xlfn.FLOOR.MATH(55+0.5*B486)</f>
        <v>110</v>
      </c>
      <c r="R486" s="102">
        <f>_xlfn.FLOOR.MATH(18+0.1*B486)</f>
        <v>29</v>
      </c>
      <c r="S486" s="102">
        <f>_xlfn.FLOOR.MATH(41+0.37*B486)</f>
        <v>81</v>
      </c>
      <c r="T486" s="105">
        <f>_xlfn.FLOOR.MATH(39+0.54*B486)</f>
        <v>98</v>
      </c>
      <c r="U486" s="102">
        <v>24</v>
      </c>
      <c r="V486" s="102">
        <v>32</v>
      </c>
      <c r="W486" s="106" t="s">
        <v>158</v>
      </c>
      <c r="Y486" s="102" t="s">
        <v>127</v>
      </c>
      <c r="Z486" s="102" t="s">
        <v>128</v>
      </c>
      <c r="AA486" s="104">
        <v>0</v>
      </c>
      <c r="AB486" s="105">
        <v>0</v>
      </c>
      <c r="AC486" s="104">
        <v>3</v>
      </c>
      <c r="AD486" s="107" t="s">
        <v>1372</v>
      </c>
      <c r="AE486" s="104">
        <v>25</v>
      </c>
      <c r="AF486" s="105">
        <v>30</v>
      </c>
      <c r="AG486" s="104">
        <v>1</v>
      </c>
      <c r="AH486" s="102">
        <v>1.9</v>
      </c>
      <c r="AI486" s="105">
        <v>0.55</v>
      </c>
      <c r="AJ486" s="104">
        <v>10</v>
      </c>
      <c r="AK486" s="102">
        <v>16</v>
      </c>
      <c r="AL486" s="102">
        <v>10</v>
      </c>
      <c r="AM486" s="105">
        <v>0</v>
      </c>
      <c r="AN486" s="104">
        <v>20</v>
      </c>
      <c r="AO486" s="102">
        <v>20</v>
      </c>
      <c r="AP486" s="102">
        <v>13</v>
      </c>
      <c r="AQ486" s="105">
        <v>79</v>
      </c>
      <c r="AR486" s="108" t="s">
        <v>1373</v>
      </c>
    </row>
    <row r="487" ht="26.4" spans="1:44">
      <c r="A487" s="100">
        <v>11005412</v>
      </c>
      <c r="B487" s="101">
        <v>110</v>
      </c>
      <c r="C487" s="102">
        <v>4</v>
      </c>
      <c r="D487" s="103" t="s">
        <v>1374</v>
      </c>
      <c r="F487" s="103" t="s">
        <v>1212</v>
      </c>
      <c r="G487" s="103">
        <v>2</v>
      </c>
      <c r="H487" s="103">
        <v>3</v>
      </c>
      <c r="I487" s="104" t="s">
        <v>233</v>
      </c>
      <c r="J487" s="102" t="s">
        <v>184</v>
      </c>
      <c r="K487" s="102">
        <v>39</v>
      </c>
      <c r="L487" s="103">
        <v>1</v>
      </c>
      <c r="M487" s="104">
        <v>49</v>
      </c>
      <c r="N487" s="102">
        <v>42</v>
      </c>
      <c r="O487" s="102">
        <v>60</v>
      </c>
      <c r="P487" s="102">
        <v>66</v>
      </c>
      <c r="Q487" s="104">
        <f>_xlfn.FLOOR.MATH(28+0.5*B487)</f>
        <v>83</v>
      </c>
      <c r="R487" s="102">
        <f>_xlfn.FLOOR.MATH(14+0.2*B487)</f>
        <v>36</v>
      </c>
      <c r="S487" s="102">
        <f>_xlfn.FLOOR.MATH(38+0.36*B487)</f>
        <v>77</v>
      </c>
      <c r="T487" s="105">
        <f>_xlfn.FLOOR.MATH(37+0.54*B487)</f>
        <v>96</v>
      </c>
      <c r="U487" s="102">
        <v>21</v>
      </c>
      <c r="V487" s="102">
        <v>32</v>
      </c>
      <c r="W487" s="106" t="s">
        <v>158</v>
      </c>
      <c r="Y487" s="102" t="s">
        <v>127</v>
      </c>
      <c r="Z487" s="102" t="s">
        <v>128</v>
      </c>
      <c r="AA487" s="104" t="s">
        <v>160</v>
      </c>
      <c r="AB487" s="105">
        <v>6</v>
      </c>
      <c r="AC487" s="104">
        <v>3</v>
      </c>
      <c r="AD487" s="107" t="s">
        <v>213</v>
      </c>
      <c r="AE487" s="104">
        <v>20</v>
      </c>
      <c r="AF487" s="105">
        <v>30</v>
      </c>
      <c r="AG487" s="104">
        <v>0.8</v>
      </c>
      <c r="AH487" s="102">
        <v>1.5</v>
      </c>
      <c r="AI487" s="105">
        <v>0.5</v>
      </c>
      <c r="AJ487" s="104">
        <v>10</v>
      </c>
      <c r="AK487" s="102">
        <v>16</v>
      </c>
      <c r="AL487" s="102">
        <v>10</v>
      </c>
      <c r="AM487" s="105">
        <v>0</v>
      </c>
      <c r="AN487" s="104">
        <v>10</v>
      </c>
      <c r="AO487" s="102">
        <v>15</v>
      </c>
      <c r="AP487" s="102">
        <v>11</v>
      </c>
      <c r="AQ487" s="105">
        <v>18</v>
      </c>
      <c r="AR487" s="108" t="s">
        <v>1375</v>
      </c>
    </row>
    <row r="488" ht="39.6" spans="1:44">
      <c r="A488" s="100">
        <v>11005512</v>
      </c>
      <c r="B488" s="101">
        <v>110</v>
      </c>
      <c r="C488" s="102">
        <v>3</v>
      </c>
      <c r="D488" s="103" t="s">
        <v>1376</v>
      </c>
      <c r="F488" s="103" t="s">
        <v>1212</v>
      </c>
      <c r="G488" s="103">
        <v>1</v>
      </c>
      <c r="H488" s="103">
        <v>2</v>
      </c>
      <c r="I488" s="104" t="s">
        <v>86</v>
      </c>
      <c r="J488" s="102" t="s">
        <v>184</v>
      </c>
      <c r="K488" s="102">
        <v>43</v>
      </c>
      <c r="L488" s="103">
        <v>1</v>
      </c>
      <c r="M488" s="104">
        <v>58</v>
      </c>
      <c r="N488" s="102">
        <v>38</v>
      </c>
      <c r="O488" s="102">
        <v>63</v>
      </c>
      <c r="P488" s="102">
        <v>70</v>
      </c>
      <c r="Q488" s="104">
        <f>_xlfn.FLOOR.MATH(28+0.4*B488)</f>
        <v>72</v>
      </c>
      <c r="R488" s="102">
        <f>_xlfn.FLOOR.MATH(12+0.16*B488)</f>
        <v>29</v>
      </c>
      <c r="S488" s="102">
        <f>_xlfn.FLOOR.MATH(40+0.36*B488)</f>
        <v>79</v>
      </c>
      <c r="T488" s="105">
        <f>_xlfn.FLOOR.MATH(36+0.54*B488)</f>
        <v>95</v>
      </c>
      <c r="U488" s="102">
        <v>20</v>
      </c>
      <c r="V488" s="102">
        <v>35</v>
      </c>
      <c r="W488" s="106" t="s">
        <v>158</v>
      </c>
      <c r="Y488" s="102" t="s">
        <v>127</v>
      </c>
      <c r="Z488" s="102" t="s">
        <v>128</v>
      </c>
      <c r="AA488" s="104" t="s">
        <v>160</v>
      </c>
      <c r="AB488" s="105">
        <v>6</v>
      </c>
      <c r="AC488" s="104">
        <v>3</v>
      </c>
      <c r="AD488" s="107" t="s">
        <v>1377</v>
      </c>
      <c r="AE488" s="104">
        <v>25</v>
      </c>
      <c r="AF488" s="105">
        <v>25</v>
      </c>
      <c r="AG488" s="104">
        <v>0.8</v>
      </c>
      <c r="AH488" s="102">
        <v>1.5</v>
      </c>
      <c r="AI488" s="105">
        <v>0.4</v>
      </c>
      <c r="AJ488" s="104">
        <v>10</v>
      </c>
      <c r="AK488" s="102">
        <v>16</v>
      </c>
      <c r="AL488" s="102">
        <v>10</v>
      </c>
      <c r="AM488" s="105">
        <v>0</v>
      </c>
      <c r="AN488" s="104">
        <v>14</v>
      </c>
      <c r="AO488" s="102">
        <v>18</v>
      </c>
      <c r="AP488" s="102">
        <v>9</v>
      </c>
      <c r="AQ488" s="105">
        <v>29</v>
      </c>
      <c r="AR488" s="108" t="s">
        <v>1378</v>
      </c>
    </row>
    <row r="489" ht="26.4" spans="1:44">
      <c r="A489" s="100">
        <v>11005612</v>
      </c>
      <c r="B489" s="101">
        <v>110</v>
      </c>
      <c r="C489" s="102">
        <v>4</v>
      </c>
      <c r="D489" s="103" t="s">
        <v>1379</v>
      </c>
      <c r="F489" s="103" t="s">
        <v>1212</v>
      </c>
      <c r="G489" s="103">
        <v>2</v>
      </c>
      <c r="H489" s="103">
        <v>2</v>
      </c>
      <c r="I489" s="104" t="s">
        <v>86</v>
      </c>
      <c r="J489" s="102" t="s">
        <v>184</v>
      </c>
      <c r="K489" s="102">
        <v>42</v>
      </c>
      <c r="L489" s="103">
        <v>2</v>
      </c>
      <c r="M489" s="104">
        <v>67</v>
      </c>
      <c r="N489" s="102">
        <v>49</v>
      </c>
      <c r="O489" s="102">
        <v>0</v>
      </c>
      <c r="P489" s="102">
        <v>105</v>
      </c>
      <c r="Q489" s="104">
        <f>_xlfn.FLOOR.MATH(50+0.5*B489)</f>
        <v>105</v>
      </c>
      <c r="R489" s="102">
        <f>_xlfn.FLOOR.MATH(18+0.2*B489)</f>
        <v>40</v>
      </c>
      <c r="S489" s="102">
        <f>_xlfn.FLOOR.MATH(39+0.36*B489)</f>
        <v>78</v>
      </c>
      <c r="T489" s="105">
        <f>_xlfn.FLOOR.MATH(38+0.53*B489)</f>
        <v>96</v>
      </c>
      <c r="U489" s="102">
        <v>10</v>
      </c>
      <c r="V489" s="102">
        <v>33.6</v>
      </c>
      <c r="W489" s="106" t="s">
        <v>158</v>
      </c>
      <c r="Y489" s="102" t="s">
        <v>127</v>
      </c>
      <c r="Z489" s="102" t="s">
        <v>128</v>
      </c>
      <c r="AA489" s="104">
        <v>0</v>
      </c>
      <c r="AB489" s="105">
        <v>0</v>
      </c>
      <c r="AC489" s="104">
        <v>3</v>
      </c>
      <c r="AD489" s="107" t="s">
        <v>1380</v>
      </c>
      <c r="AE489" s="104">
        <v>25</v>
      </c>
      <c r="AF489" s="105">
        <v>30</v>
      </c>
      <c r="AG489" s="104">
        <v>0.8</v>
      </c>
      <c r="AH489" s="102">
        <v>1.5</v>
      </c>
      <c r="AI489" s="105">
        <v>0.4</v>
      </c>
      <c r="AJ489" s="104">
        <v>10</v>
      </c>
      <c r="AK489" s="102">
        <v>16</v>
      </c>
      <c r="AL489" s="102">
        <v>10</v>
      </c>
      <c r="AM489" s="105">
        <v>0</v>
      </c>
      <c r="AN489" s="104">
        <v>16</v>
      </c>
      <c r="AO489" s="102">
        <v>0</v>
      </c>
      <c r="AP489" s="102">
        <v>12</v>
      </c>
      <c r="AQ489" s="105">
        <v>84</v>
      </c>
      <c r="AR489" s="108" t="s">
        <v>1381</v>
      </c>
    </row>
    <row r="490" ht="39.6" spans="1:44">
      <c r="A490" s="100">
        <v>11005712</v>
      </c>
      <c r="B490" s="101">
        <v>110</v>
      </c>
      <c r="C490" s="102">
        <v>4</v>
      </c>
      <c r="D490" s="103" t="s">
        <v>1382</v>
      </c>
      <c r="F490" s="103" t="s">
        <v>1212</v>
      </c>
      <c r="G490" s="103">
        <v>3</v>
      </c>
      <c r="H490" s="103">
        <v>3</v>
      </c>
      <c r="I490" s="104" t="s">
        <v>86</v>
      </c>
      <c r="J490" s="102" t="s">
        <v>184</v>
      </c>
      <c r="K490" s="102">
        <v>42</v>
      </c>
      <c r="L490" s="103">
        <v>2</v>
      </c>
      <c r="M490" s="104">
        <v>69</v>
      </c>
      <c r="N490" s="102">
        <v>49</v>
      </c>
      <c r="O490" s="102">
        <v>53</v>
      </c>
      <c r="P490" s="102">
        <v>100</v>
      </c>
      <c r="Q490" s="104">
        <f>_xlfn.FLOOR.MATH(50+0.5*B490)</f>
        <v>105</v>
      </c>
      <c r="R490" s="102">
        <f>_xlfn.FLOOR.MATH(18+0.2*B490)</f>
        <v>40</v>
      </c>
      <c r="S490" s="102">
        <f>_xlfn.FLOOR.MATH(39+0.36*B490)</f>
        <v>78</v>
      </c>
      <c r="T490" s="105">
        <f>_xlfn.FLOOR.MATH(38+0.53*B490)</f>
        <v>96</v>
      </c>
      <c r="U490" s="102">
        <v>9</v>
      </c>
      <c r="V490" s="102">
        <v>33.6</v>
      </c>
      <c r="W490" s="106" t="s">
        <v>158</v>
      </c>
      <c r="Y490" s="102" t="s">
        <v>127</v>
      </c>
      <c r="Z490" s="102" t="s">
        <v>128</v>
      </c>
      <c r="AA490" s="104">
        <v>0</v>
      </c>
      <c r="AB490" s="105">
        <v>0</v>
      </c>
      <c r="AC490" s="104">
        <v>3</v>
      </c>
      <c r="AD490" s="107" t="s">
        <v>223</v>
      </c>
      <c r="AE490" s="104">
        <v>25</v>
      </c>
      <c r="AF490" s="105">
        <v>30</v>
      </c>
      <c r="AG490" s="104">
        <v>0.8</v>
      </c>
      <c r="AH490" s="102">
        <v>1.5</v>
      </c>
      <c r="AI490" s="105">
        <v>0.4</v>
      </c>
      <c r="AJ490" s="104">
        <v>10</v>
      </c>
      <c r="AK490" s="102">
        <v>16</v>
      </c>
      <c r="AL490" s="102">
        <v>10</v>
      </c>
      <c r="AM490" s="105">
        <v>0</v>
      </c>
      <c r="AN490" s="104">
        <v>17</v>
      </c>
      <c r="AO490" s="102">
        <v>18</v>
      </c>
      <c r="AP490" s="102">
        <v>12</v>
      </c>
      <c r="AQ490" s="105">
        <v>76</v>
      </c>
      <c r="AR490" s="108" t="s">
        <v>1383</v>
      </c>
    </row>
    <row r="491" ht="26.4" spans="1:44">
      <c r="A491" s="100">
        <v>11005812</v>
      </c>
      <c r="B491" s="101">
        <v>110</v>
      </c>
      <c r="C491" s="102">
        <v>4</v>
      </c>
      <c r="D491" s="103" t="s">
        <v>1384</v>
      </c>
      <c r="F491" s="103" t="s">
        <v>1212</v>
      </c>
      <c r="G491" s="103">
        <v>2</v>
      </c>
      <c r="H491" s="103">
        <v>2</v>
      </c>
      <c r="I491" s="104" t="s">
        <v>1385</v>
      </c>
      <c r="J491" s="102" t="s">
        <v>184</v>
      </c>
      <c r="K491" s="102">
        <v>48</v>
      </c>
      <c r="L491" s="103">
        <v>0</v>
      </c>
      <c r="M491" s="104">
        <v>71</v>
      </c>
      <c r="N491" s="102">
        <v>55</v>
      </c>
      <c r="O491" s="102">
        <v>0</v>
      </c>
      <c r="P491" s="102">
        <v>77</v>
      </c>
      <c r="Q491" s="104">
        <f>_xlfn.FLOOR.MATH(25+0.5*B491)</f>
        <v>80</v>
      </c>
      <c r="R491" s="102">
        <f>_xlfn.FLOOR.MATH(17+0.2*B491)</f>
        <v>39</v>
      </c>
      <c r="S491" s="102">
        <f>_xlfn.FLOOR.MATH(39+0.36*B491)</f>
        <v>78</v>
      </c>
      <c r="T491" s="105">
        <f>_xlfn.FLOOR.MATH(38+0.53*B491)</f>
        <v>96</v>
      </c>
      <c r="U491" s="102">
        <v>15</v>
      </c>
      <c r="V491" s="102">
        <v>31.5</v>
      </c>
      <c r="W491" s="106" t="s">
        <v>158</v>
      </c>
      <c r="Y491" s="102" t="s">
        <v>127</v>
      </c>
      <c r="Z491" s="102" t="s">
        <v>128</v>
      </c>
      <c r="AA491" s="104" t="s">
        <v>228</v>
      </c>
      <c r="AB491" s="105">
        <v>12</v>
      </c>
      <c r="AC491" s="104">
        <v>3</v>
      </c>
      <c r="AD491" s="107" t="s">
        <v>231</v>
      </c>
      <c r="AE491" s="104">
        <v>30</v>
      </c>
      <c r="AF491" s="105">
        <v>35</v>
      </c>
      <c r="AG491" s="104">
        <v>0.8</v>
      </c>
      <c r="AH491" s="102">
        <v>1.5</v>
      </c>
      <c r="AI491" s="105">
        <v>0.4</v>
      </c>
      <c r="AJ491" s="104">
        <v>10</v>
      </c>
      <c r="AK491" s="102">
        <v>16</v>
      </c>
      <c r="AL491" s="102">
        <v>10</v>
      </c>
      <c r="AM491" s="105">
        <v>0</v>
      </c>
      <c r="AN491" s="104">
        <v>18</v>
      </c>
      <c r="AO491" s="102">
        <v>0</v>
      </c>
      <c r="AP491" s="102">
        <v>15</v>
      </c>
      <c r="AQ491" s="105">
        <v>35</v>
      </c>
      <c r="AR491" s="108" t="s">
        <v>717</v>
      </c>
    </row>
    <row r="492" ht="39.6" spans="1:45">
      <c r="A492" s="100">
        <v>11005912</v>
      </c>
      <c r="B492" s="101">
        <v>110</v>
      </c>
      <c r="C492" s="102">
        <v>5</v>
      </c>
      <c r="D492" s="103" t="s">
        <v>1386</v>
      </c>
      <c r="F492" s="103" t="s">
        <v>1212</v>
      </c>
      <c r="G492" s="103">
        <v>3</v>
      </c>
      <c r="H492" s="103">
        <v>4</v>
      </c>
      <c r="I492" s="104" t="s">
        <v>86</v>
      </c>
      <c r="J492" s="102" t="s">
        <v>184</v>
      </c>
      <c r="K492" s="102">
        <v>48</v>
      </c>
      <c r="L492" s="103">
        <v>0</v>
      </c>
      <c r="M492" s="104">
        <v>71</v>
      </c>
      <c r="N492" s="102">
        <v>57</v>
      </c>
      <c r="O492" s="102">
        <v>0</v>
      </c>
      <c r="P492" s="102">
        <v>85</v>
      </c>
      <c r="Q492" s="104">
        <f>_xlfn.FLOOR.MATH(25+0.5*B492)</f>
        <v>80</v>
      </c>
      <c r="R492" s="102">
        <f>_xlfn.FLOOR.MATH(22+0.3*B492)</f>
        <v>55</v>
      </c>
      <c r="S492" s="102">
        <f>_xlfn.FLOOR.MATH(39+0.36*B492)</f>
        <v>78</v>
      </c>
      <c r="T492" s="105">
        <f>_xlfn.FLOOR.MATH(39+0.53*B492)</f>
        <v>97</v>
      </c>
      <c r="U492" s="102">
        <v>15</v>
      </c>
      <c r="V492" s="102">
        <v>31.5</v>
      </c>
      <c r="W492" s="106" t="s">
        <v>158</v>
      </c>
      <c r="Y492" s="102" t="s">
        <v>127</v>
      </c>
      <c r="Z492" s="102" t="s">
        <v>128</v>
      </c>
      <c r="AA492" s="104" t="s">
        <v>228</v>
      </c>
      <c r="AB492" s="105">
        <v>12</v>
      </c>
      <c r="AC492" s="104">
        <v>3</v>
      </c>
      <c r="AD492" s="107" t="s">
        <v>1387</v>
      </c>
      <c r="AE492" s="104">
        <v>30</v>
      </c>
      <c r="AF492" s="105">
        <v>35</v>
      </c>
      <c r="AG492" s="104">
        <v>0.8</v>
      </c>
      <c r="AH492" s="102">
        <v>1.5</v>
      </c>
      <c r="AI492" s="105">
        <v>0.4</v>
      </c>
      <c r="AJ492" s="104">
        <v>10</v>
      </c>
      <c r="AK492" s="102">
        <v>16</v>
      </c>
      <c r="AL492" s="102">
        <v>10</v>
      </c>
      <c r="AM492" s="105">
        <v>0</v>
      </c>
      <c r="AN492" s="104">
        <v>18</v>
      </c>
      <c r="AO492" s="102">
        <v>0</v>
      </c>
      <c r="AP492" s="102">
        <v>16</v>
      </c>
      <c r="AQ492" s="105">
        <v>53</v>
      </c>
      <c r="AR492" s="108" t="s">
        <v>1388</v>
      </c>
      <c r="AS492" s="109" t="s">
        <v>1389</v>
      </c>
    </row>
    <row r="493" ht="39.6" spans="1:44">
      <c r="A493" s="100">
        <v>11006012</v>
      </c>
      <c r="B493" s="101">
        <v>110</v>
      </c>
      <c r="C493" s="102">
        <v>5</v>
      </c>
      <c r="D493" s="103" t="s">
        <v>1390</v>
      </c>
      <c r="F493" s="103" t="s">
        <v>1212</v>
      </c>
      <c r="G493" s="103">
        <v>1</v>
      </c>
      <c r="H493" s="103">
        <v>2</v>
      </c>
      <c r="I493" s="104" t="s">
        <v>233</v>
      </c>
      <c r="J493" s="102" t="s">
        <v>184</v>
      </c>
      <c r="K493" s="102">
        <v>35</v>
      </c>
      <c r="L493" s="103">
        <v>1</v>
      </c>
      <c r="M493" s="104">
        <v>48</v>
      </c>
      <c r="N493" s="102">
        <v>39</v>
      </c>
      <c r="O493" s="102">
        <v>66</v>
      </c>
      <c r="P493" s="102">
        <v>54</v>
      </c>
      <c r="Q493" s="104">
        <f>_xlfn.FLOOR.MATH(20+0.5*B493)</f>
        <v>75</v>
      </c>
      <c r="R493" s="102">
        <f>_xlfn.FLOOR.MATH(13+0.2*B493)</f>
        <v>35</v>
      </c>
      <c r="S493" s="102">
        <f>_xlfn.FLOOR.MATH(32+0.36*B493)</f>
        <v>71</v>
      </c>
      <c r="T493" s="105">
        <f>_xlfn.FLOOR.MATH(38+0.54*B493)</f>
        <v>97</v>
      </c>
      <c r="U493" s="102">
        <v>25</v>
      </c>
      <c r="V493" s="102">
        <v>23.2</v>
      </c>
      <c r="W493" s="106" t="s">
        <v>158</v>
      </c>
      <c r="Y493" s="102" t="s">
        <v>127</v>
      </c>
      <c r="Z493" s="102" t="s">
        <v>128</v>
      </c>
      <c r="AA493" s="104" t="s">
        <v>198</v>
      </c>
      <c r="AB493" s="105">
        <v>3</v>
      </c>
      <c r="AC493" s="104">
        <v>3</v>
      </c>
      <c r="AD493" s="107" t="s">
        <v>1391</v>
      </c>
      <c r="AE493" s="104">
        <v>15</v>
      </c>
      <c r="AF493" s="105">
        <v>20</v>
      </c>
      <c r="AG493" s="104">
        <v>0.64</v>
      </c>
      <c r="AH493" s="102">
        <v>1.2</v>
      </c>
      <c r="AI493" s="105">
        <v>0.5</v>
      </c>
      <c r="AJ493" s="104">
        <v>10</v>
      </c>
      <c r="AK493" s="102">
        <v>16</v>
      </c>
      <c r="AL493" s="102">
        <v>10</v>
      </c>
      <c r="AM493" s="105">
        <v>0</v>
      </c>
      <c r="AN493" s="104">
        <v>9</v>
      </c>
      <c r="AO493" s="102">
        <v>21</v>
      </c>
      <c r="AP493" s="102">
        <v>10</v>
      </c>
      <c r="AQ493" s="105">
        <v>12</v>
      </c>
      <c r="AR493" s="108" t="s">
        <v>1392</v>
      </c>
    </row>
    <row r="494" ht="26.4" spans="1:44">
      <c r="A494" s="100">
        <v>11006112</v>
      </c>
      <c r="B494" s="101">
        <v>110</v>
      </c>
      <c r="C494" s="102">
        <v>5</v>
      </c>
      <c r="D494" s="103" t="s">
        <v>1393</v>
      </c>
      <c r="F494" s="103" t="s">
        <v>1212</v>
      </c>
      <c r="G494" s="103">
        <v>1</v>
      </c>
      <c r="H494" s="103">
        <v>2</v>
      </c>
      <c r="I494" s="104" t="s">
        <v>233</v>
      </c>
      <c r="J494" s="102" t="s">
        <v>184</v>
      </c>
      <c r="K494" s="102">
        <v>35</v>
      </c>
      <c r="L494" s="103">
        <v>1</v>
      </c>
      <c r="M494" s="104">
        <v>48</v>
      </c>
      <c r="N494" s="102">
        <v>39</v>
      </c>
      <c r="O494" s="102">
        <v>66</v>
      </c>
      <c r="P494" s="102">
        <v>40</v>
      </c>
      <c r="Q494" s="104">
        <f>_xlfn.FLOOR.MATH(20+0.5*B494)</f>
        <v>75</v>
      </c>
      <c r="R494" s="102">
        <f>_xlfn.FLOOR.MATH(13+0.2*B494)</f>
        <v>35</v>
      </c>
      <c r="S494" s="102">
        <f>_xlfn.FLOOR.MATH(30+0.36*B494)</f>
        <v>69</v>
      </c>
      <c r="T494" s="105">
        <f>_xlfn.FLOOR.MATH(38+0.54*B494)</f>
        <v>97</v>
      </c>
      <c r="U494" s="102">
        <v>25</v>
      </c>
      <c r="V494" s="102">
        <v>21.3</v>
      </c>
      <c r="W494" s="106" t="s">
        <v>158</v>
      </c>
      <c r="Y494" s="102" t="s">
        <v>127</v>
      </c>
      <c r="Z494" s="102" t="s">
        <v>128</v>
      </c>
      <c r="AA494" s="104">
        <v>0</v>
      </c>
      <c r="AB494" s="105">
        <v>0</v>
      </c>
      <c r="AC494" s="104">
        <v>3</v>
      </c>
      <c r="AD494" s="107" t="s">
        <v>1394</v>
      </c>
      <c r="AE494" s="104">
        <v>15</v>
      </c>
      <c r="AF494" s="105">
        <v>20</v>
      </c>
      <c r="AG494" s="104">
        <v>0.64</v>
      </c>
      <c r="AH494" s="102">
        <v>1.2</v>
      </c>
      <c r="AI494" s="105">
        <v>0.5</v>
      </c>
      <c r="AJ494" s="104">
        <v>10</v>
      </c>
      <c r="AK494" s="102">
        <v>16</v>
      </c>
      <c r="AL494" s="102">
        <v>10</v>
      </c>
      <c r="AM494" s="105">
        <v>0</v>
      </c>
      <c r="AN494" s="104">
        <v>9</v>
      </c>
      <c r="AO494" s="102">
        <v>21</v>
      </c>
      <c r="AP494" s="102">
        <v>10</v>
      </c>
      <c r="AQ494" s="105">
        <v>5</v>
      </c>
      <c r="AR494" s="108" t="s">
        <v>1395</v>
      </c>
    </row>
    <row r="495" ht="52.8" spans="1:44">
      <c r="A495" s="100">
        <v>11006211</v>
      </c>
      <c r="B495" s="101">
        <v>110</v>
      </c>
      <c r="C495" s="102">
        <v>4</v>
      </c>
      <c r="D495" s="103" t="s">
        <v>1396</v>
      </c>
      <c r="F495" s="103" t="s">
        <v>1212</v>
      </c>
      <c r="G495" s="103">
        <v>1</v>
      </c>
      <c r="H495" s="103">
        <v>2</v>
      </c>
      <c r="I495" s="104" t="s">
        <v>50</v>
      </c>
      <c r="J495" s="102" t="s">
        <v>239</v>
      </c>
      <c r="K495" s="102">
        <v>48</v>
      </c>
      <c r="L495" s="103">
        <v>0</v>
      </c>
      <c r="M495" s="104">
        <v>76</v>
      </c>
      <c r="N495" s="102">
        <v>62</v>
      </c>
      <c r="O495" s="102">
        <v>0</v>
      </c>
      <c r="P495" s="102">
        <v>59</v>
      </c>
      <c r="Q495" s="104">
        <f>_xlfn.FLOOR.MATH(0+0*B495)</f>
        <v>0</v>
      </c>
      <c r="R495" s="102">
        <f>_xlfn.FLOOR.MATH(12+0.2*B495)</f>
        <v>34</v>
      </c>
      <c r="S495" s="102">
        <f>_xlfn.FLOOR.MATH(16+0.32*B495)</f>
        <v>51</v>
      </c>
      <c r="T495" s="105">
        <f>_xlfn.FLOOR.MATH(37+0.51*B495)</f>
        <v>93</v>
      </c>
      <c r="U495" s="102">
        <v>20</v>
      </c>
      <c r="V495" s="102">
        <v>12.2</v>
      </c>
      <c r="W495" s="106" t="s">
        <v>52</v>
      </c>
      <c r="Y495" s="102" t="s">
        <v>241</v>
      </c>
      <c r="Z495" s="102" t="s">
        <v>128</v>
      </c>
      <c r="AA495" s="104">
        <v>0</v>
      </c>
      <c r="AB495" s="105">
        <v>0</v>
      </c>
      <c r="AC495" s="104">
        <v>3</v>
      </c>
      <c r="AD495" s="107" t="s">
        <v>1265</v>
      </c>
      <c r="AE495" s="104">
        <v>15</v>
      </c>
      <c r="AF495" s="105">
        <v>30</v>
      </c>
      <c r="AG495" s="104">
        <v>0.64</v>
      </c>
      <c r="AH495" s="102">
        <v>1.2</v>
      </c>
      <c r="AI495" s="105">
        <v>0.5</v>
      </c>
      <c r="AJ495" s="104">
        <v>20</v>
      </c>
      <c r="AK495" s="102">
        <v>20</v>
      </c>
      <c r="AL495" s="102">
        <v>30</v>
      </c>
      <c r="AM495" s="105">
        <v>0</v>
      </c>
      <c r="AN495" s="104">
        <v>51</v>
      </c>
      <c r="AO495" s="102">
        <v>0</v>
      </c>
      <c r="AP495" s="102">
        <v>42</v>
      </c>
      <c r="AQ495" s="105">
        <v>0</v>
      </c>
      <c r="AR495" s="108" t="s">
        <v>1397</v>
      </c>
    </row>
    <row r="496" ht="52.8" spans="1:44">
      <c r="A496" s="100">
        <v>11006311</v>
      </c>
      <c r="B496" s="101">
        <v>110</v>
      </c>
      <c r="C496" s="102">
        <v>4</v>
      </c>
      <c r="D496" s="103" t="s">
        <v>1398</v>
      </c>
      <c r="F496" s="103" t="s">
        <v>1212</v>
      </c>
      <c r="G496" s="103">
        <v>1</v>
      </c>
      <c r="H496" s="103">
        <v>2</v>
      </c>
      <c r="I496" s="104" t="s">
        <v>50</v>
      </c>
      <c r="J496" s="102" t="s">
        <v>239</v>
      </c>
      <c r="K496" s="102">
        <v>48</v>
      </c>
      <c r="L496" s="103">
        <v>0</v>
      </c>
      <c r="M496" s="104">
        <v>76</v>
      </c>
      <c r="N496" s="102">
        <v>62</v>
      </c>
      <c r="O496" s="102">
        <v>0</v>
      </c>
      <c r="P496" s="102">
        <v>59</v>
      </c>
      <c r="Q496" s="104">
        <f>_xlfn.FLOOR.MATH(0+0*B496)</f>
        <v>0</v>
      </c>
      <c r="R496" s="102">
        <f>_xlfn.FLOOR.MATH(12+0.2*B496)</f>
        <v>34</v>
      </c>
      <c r="S496" s="102">
        <f>_xlfn.FLOOR.MATH(16+0.32*B496)</f>
        <v>51</v>
      </c>
      <c r="T496" s="105">
        <f>_xlfn.FLOOR.MATH(37+0.51*B496)</f>
        <v>93</v>
      </c>
      <c r="U496" s="102">
        <v>18</v>
      </c>
      <c r="V496" s="102">
        <v>12.2</v>
      </c>
      <c r="W496" s="106" t="s">
        <v>52</v>
      </c>
      <c r="Y496" s="102" t="s">
        <v>241</v>
      </c>
      <c r="Z496" s="102" t="s">
        <v>128</v>
      </c>
      <c r="AA496" s="104">
        <v>0</v>
      </c>
      <c r="AB496" s="105">
        <v>0</v>
      </c>
      <c r="AC496" s="104">
        <v>3</v>
      </c>
      <c r="AD496" s="107" t="s">
        <v>1265</v>
      </c>
      <c r="AE496" s="104">
        <v>15</v>
      </c>
      <c r="AF496" s="105">
        <v>30</v>
      </c>
      <c r="AG496" s="104">
        <v>0.64</v>
      </c>
      <c r="AH496" s="102">
        <v>1.2</v>
      </c>
      <c r="AI496" s="105">
        <v>0.5</v>
      </c>
      <c r="AJ496" s="104">
        <v>20</v>
      </c>
      <c r="AK496" s="102">
        <v>20</v>
      </c>
      <c r="AL496" s="102">
        <v>30</v>
      </c>
      <c r="AM496" s="105">
        <v>0</v>
      </c>
      <c r="AN496" s="104">
        <v>51</v>
      </c>
      <c r="AO496" s="102">
        <v>0</v>
      </c>
      <c r="AP496" s="102">
        <v>42</v>
      </c>
      <c r="AQ496" s="105">
        <v>0</v>
      </c>
      <c r="AR496" s="108" t="s">
        <v>1397</v>
      </c>
    </row>
    <row r="497" ht="79.2" spans="1:45">
      <c r="A497" s="100">
        <v>11006411</v>
      </c>
      <c r="B497" s="101">
        <v>110</v>
      </c>
      <c r="C497" s="102">
        <v>4</v>
      </c>
      <c r="D497" s="103" t="s">
        <v>1399</v>
      </c>
      <c r="E497" s="103" t="s">
        <v>1400</v>
      </c>
      <c r="F497" s="103" t="s">
        <v>1212</v>
      </c>
      <c r="G497" s="103">
        <v>3</v>
      </c>
      <c r="H497" s="103">
        <v>5</v>
      </c>
      <c r="I497" s="104" t="s">
        <v>60</v>
      </c>
      <c r="J497" s="102" t="s">
        <v>246</v>
      </c>
      <c r="K497" s="102">
        <v>30</v>
      </c>
      <c r="L497" s="103">
        <v>2</v>
      </c>
      <c r="M497" s="104">
        <v>37</v>
      </c>
      <c r="N497" s="102">
        <v>37</v>
      </c>
      <c r="O497" s="102">
        <v>91</v>
      </c>
      <c r="P497" s="102">
        <v>46</v>
      </c>
      <c r="Q497" s="104">
        <f>_xlfn.FLOOR.MATH(20+0.4*B497)</f>
        <v>64</v>
      </c>
      <c r="R497" s="102">
        <f>_xlfn.FLOOR.MATH(7+0.3*B497)</f>
        <v>40</v>
      </c>
      <c r="S497" s="102">
        <f>_xlfn.FLOOR.MATH(53+0.4*B497)</f>
        <v>97</v>
      </c>
      <c r="T497" s="105">
        <f>_xlfn.FLOOR.MATH(33+0.55*B497)</f>
        <v>93</v>
      </c>
      <c r="U497" s="102">
        <v>17</v>
      </c>
      <c r="V497" s="102">
        <v>37</v>
      </c>
      <c r="W497" s="106" t="s">
        <v>115</v>
      </c>
      <c r="Y497" s="102" t="s">
        <v>241</v>
      </c>
      <c r="Z497" s="102" t="s">
        <v>128</v>
      </c>
      <c r="AA497" s="104">
        <v>0</v>
      </c>
      <c r="AB497" s="105">
        <v>0</v>
      </c>
      <c r="AC497" s="104">
        <v>3</v>
      </c>
      <c r="AD497" s="107" t="s">
        <v>1401</v>
      </c>
      <c r="AE497" s="104">
        <v>15</v>
      </c>
      <c r="AF497" s="105">
        <v>20</v>
      </c>
      <c r="AG497" s="104">
        <v>0.48</v>
      </c>
      <c r="AH497" s="102">
        <v>0.9</v>
      </c>
      <c r="AI497" s="105">
        <v>0.5</v>
      </c>
      <c r="AJ497" s="104">
        <v>4</v>
      </c>
      <c r="AK497" s="102">
        <v>8</v>
      </c>
      <c r="AL497" s="102">
        <v>6</v>
      </c>
      <c r="AM497" s="105">
        <v>0</v>
      </c>
      <c r="AN497" s="104">
        <v>0</v>
      </c>
      <c r="AO497" s="102">
        <v>39</v>
      </c>
      <c r="AP497" s="102">
        <v>12</v>
      </c>
      <c r="AQ497" s="105">
        <v>0</v>
      </c>
      <c r="AR497" s="108" t="s">
        <v>1402</v>
      </c>
      <c r="AS497" s="109" t="s">
        <v>1403</v>
      </c>
    </row>
    <row r="498" ht="79.2" spans="1:44">
      <c r="A498" s="100">
        <v>11006511</v>
      </c>
      <c r="B498" s="101">
        <v>110</v>
      </c>
      <c r="C498" s="102">
        <v>3</v>
      </c>
      <c r="D498" s="103" t="s">
        <v>1404</v>
      </c>
      <c r="E498" s="103" t="s">
        <v>1405</v>
      </c>
      <c r="F498" s="103" t="s">
        <v>1212</v>
      </c>
      <c r="G498" s="103">
        <v>2</v>
      </c>
      <c r="H498" s="103">
        <v>2</v>
      </c>
      <c r="I498" s="104" t="s">
        <v>60</v>
      </c>
      <c r="J498" s="102" t="s">
        <v>246</v>
      </c>
      <c r="K498" s="102">
        <v>30</v>
      </c>
      <c r="L498" s="103">
        <v>2</v>
      </c>
      <c r="M498" s="104">
        <v>37</v>
      </c>
      <c r="N498" s="102">
        <v>37</v>
      </c>
      <c r="O498" s="102">
        <v>91</v>
      </c>
      <c r="P498" s="102">
        <v>46</v>
      </c>
      <c r="Q498" s="104">
        <f>_xlfn.FLOOR.MATH(20+0.4*B498)</f>
        <v>64</v>
      </c>
      <c r="R498" s="102">
        <f>_xlfn.FLOOR.MATH(7+0.3*B498)</f>
        <v>40</v>
      </c>
      <c r="S498" s="102">
        <f>_xlfn.FLOOR.MATH(53+0.4*B498)</f>
        <v>97</v>
      </c>
      <c r="T498" s="105">
        <f>_xlfn.FLOOR.MATH(32+0.55*B498)</f>
        <v>92</v>
      </c>
      <c r="U498" s="102">
        <v>10</v>
      </c>
      <c r="V498" s="102">
        <v>37</v>
      </c>
      <c r="W498" s="106" t="s">
        <v>115</v>
      </c>
      <c r="Y498" s="102" t="s">
        <v>241</v>
      </c>
      <c r="Z498" s="102" t="s">
        <v>128</v>
      </c>
      <c r="AA498" s="104">
        <v>0</v>
      </c>
      <c r="AB498" s="105">
        <v>0</v>
      </c>
      <c r="AC498" s="104">
        <v>3</v>
      </c>
      <c r="AD498" s="107" t="s">
        <v>1401</v>
      </c>
      <c r="AE498" s="104">
        <v>15</v>
      </c>
      <c r="AF498" s="105">
        <v>20</v>
      </c>
      <c r="AG498" s="104">
        <v>0.48</v>
      </c>
      <c r="AH498" s="102">
        <v>0.9</v>
      </c>
      <c r="AI498" s="105">
        <v>0.5</v>
      </c>
      <c r="AJ498" s="104">
        <v>4</v>
      </c>
      <c r="AK498" s="102">
        <v>8</v>
      </c>
      <c r="AL498" s="102">
        <v>6</v>
      </c>
      <c r="AM498" s="105">
        <v>0</v>
      </c>
      <c r="AN498" s="104">
        <v>0</v>
      </c>
      <c r="AO498" s="102">
        <v>39</v>
      </c>
      <c r="AP498" s="102">
        <v>12</v>
      </c>
      <c r="AQ498" s="105">
        <v>0</v>
      </c>
      <c r="AR498" s="108" t="s">
        <v>1406</v>
      </c>
    </row>
    <row r="499" ht="92.4" spans="1:44">
      <c r="A499" s="100">
        <v>11006611</v>
      </c>
      <c r="B499" s="101">
        <v>110</v>
      </c>
      <c r="C499" s="102">
        <v>3</v>
      </c>
      <c r="D499" s="103" t="s">
        <v>1407</v>
      </c>
      <c r="E499" s="103" t="s">
        <v>1408</v>
      </c>
      <c r="F499" s="103" t="s">
        <v>1212</v>
      </c>
      <c r="G499" s="103">
        <v>3</v>
      </c>
      <c r="H499" s="103">
        <v>3</v>
      </c>
      <c r="I499" s="104" t="s">
        <v>60</v>
      </c>
      <c r="J499" s="102" t="s">
        <v>246</v>
      </c>
      <c r="K499" s="102">
        <v>30</v>
      </c>
      <c r="L499" s="103">
        <v>2</v>
      </c>
      <c r="M499" s="104">
        <v>37</v>
      </c>
      <c r="N499" s="102">
        <v>37</v>
      </c>
      <c r="O499" s="102">
        <v>91</v>
      </c>
      <c r="P499" s="102">
        <v>46</v>
      </c>
      <c r="Q499" s="104">
        <f>_xlfn.FLOOR.MATH(20+0.4*B499)</f>
        <v>64</v>
      </c>
      <c r="R499" s="102">
        <f>_xlfn.FLOOR.MATH(7+0.3*B499)</f>
        <v>40</v>
      </c>
      <c r="S499" s="102">
        <f>_xlfn.FLOOR.MATH(53+0.4*B499)</f>
        <v>97</v>
      </c>
      <c r="T499" s="105">
        <f>_xlfn.FLOOR.MATH(32+0.55*B499)</f>
        <v>92</v>
      </c>
      <c r="U499" s="102">
        <v>9</v>
      </c>
      <c r="V499" s="102">
        <v>37</v>
      </c>
      <c r="W499" s="106" t="s">
        <v>115</v>
      </c>
      <c r="Y499" s="102" t="s">
        <v>241</v>
      </c>
      <c r="Z499" s="102" t="s">
        <v>128</v>
      </c>
      <c r="AA499" s="104">
        <v>0</v>
      </c>
      <c r="AB499" s="105">
        <v>0</v>
      </c>
      <c r="AC499" s="104">
        <v>3</v>
      </c>
      <c r="AD499" s="107" t="s">
        <v>1401</v>
      </c>
      <c r="AE499" s="104">
        <v>15</v>
      </c>
      <c r="AF499" s="105">
        <v>20</v>
      </c>
      <c r="AG499" s="104">
        <v>0.48</v>
      </c>
      <c r="AH499" s="102">
        <v>0.9</v>
      </c>
      <c r="AI499" s="105">
        <v>0.5</v>
      </c>
      <c r="AJ499" s="104">
        <v>4</v>
      </c>
      <c r="AK499" s="102">
        <v>8</v>
      </c>
      <c r="AL499" s="102">
        <v>6</v>
      </c>
      <c r="AM499" s="105">
        <v>0</v>
      </c>
      <c r="AN499" s="104">
        <v>0</v>
      </c>
      <c r="AO499" s="102">
        <v>39</v>
      </c>
      <c r="AP499" s="102">
        <v>12</v>
      </c>
      <c r="AQ499" s="105">
        <v>0</v>
      </c>
      <c r="AR499" s="108" t="s">
        <v>1409</v>
      </c>
    </row>
    <row r="500" ht="66" spans="1:44">
      <c r="A500" s="100">
        <v>11006711</v>
      </c>
      <c r="B500" s="101">
        <v>110</v>
      </c>
      <c r="C500" s="102">
        <v>3</v>
      </c>
      <c r="D500" s="103" t="s">
        <v>1410</v>
      </c>
      <c r="E500" s="103" t="s">
        <v>1411</v>
      </c>
      <c r="F500" s="103" t="s">
        <v>1212</v>
      </c>
      <c r="G500" s="103">
        <v>3</v>
      </c>
      <c r="H500" s="103">
        <v>4</v>
      </c>
      <c r="I500" s="104" t="s">
        <v>60</v>
      </c>
      <c r="J500" s="102" t="s">
        <v>246</v>
      </c>
      <c r="K500" s="102">
        <v>30</v>
      </c>
      <c r="L500" s="103">
        <v>2</v>
      </c>
      <c r="M500" s="104">
        <v>37</v>
      </c>
      <c r="N500" s="102">
        <v>37</v>
      </c>
      <c r="O500" s="102">
        <v>91</v>
      </c>
      <c r="P500" s="102">
        <v>46</v>
      </c>
      <c r="Q500" s="104">
        <f>_xlfn.FLOOR.MATH(20+0.4*B500)</f>
        <v>64</v>
      </c>
      <c r="R500" s="102">
        <f>_xlfn.FLOOR.MATH(7+0.3*B500)</f>
        <v>40</v>
      </c>
      <c r="S500" s="102">
        <f>_xlfn.FLOOR.MATH(48+0.4*B500)</f>
        <v>92</v>
      </c>
      <c r="T500" s="105">
        <f>_xlfn.FLOOR.MATH(32+0.55*B500)</f>
        <v>92</v>
      </c>
      <c r="U500" s="102">
        <v>10</v>
      </c>
      <c r="V500" s="102">
        <v>37</v>
      </c>
      <c r="W500" s="106" t="s">
        <v>115</v>
      </c>
      <c r="Y500" s="102" t="s">
        <v>241</v>
      </c>
      <c r="Z500" s="102" t="s">
        <v>128</v>
      </c>
      <c r="AA500" s="104">
        <v>0</v>
      </c>
      <c r="AB500" s="105">
        <v>0</v>
      </c>
      <c r="AC500" s="104">
        <v>3</v>
      </c>
      <c r="AD500" s="107" t="s">
        <v>1401</v>
      </c>
      <c r="AE500" s="104">
        <v>15</v>
      </c>
      <c r="AF500" s="105">
        <v>20</v>
      </c>
      <c r="AG500" s="104">
        <v>0.48</v>
      </c>
      <c r="AH500" s="102">
        <v>0.9</v>
      </c>
      <c r="AI500" s="105">
        <v>0.5</v>
      </c>
      <c r="AJ500" s="104">
        <v>4</v>
      </c>
      <c r="AK500" s="102">
        <v>8</v>
      </c>
      <c r="AL500" s="102">
        <v>6</v>
      </c>
      <c r="AM500" s="105">
        <v>0</v>
      </c>
      <c r="AN500" s="104">
        <v>0</v>
      </c>
      <c r="AO500" s="102">
        <v>39</v>
      </c>
      <c r="AP500" s="102">
        <v>12</v>
      </c>
      <c r="AQ500" s="105">
        <v>0</v>
      </c>
      <c r="AR500" s="108" t="s">
        <v>1412</v>
      </c>
    </row>
    <row r="501" ht="39.6" spans="1:44">
      <c r="A501" s="100">
        <v>11006811</v>
      </c>
      <c r="B501" s="101">
        <v>110</v>
      </c>
      <c r="C501" s="102">
        <v>4</v>
      </c>
      <c r="D501" s="103" t="s">
        <v>1413</v>
      </c>
      <c r="E501" s="103" t="s">
        <v>1414</v>
      </c>
      <c r="F501" s="103" t="s">
        <v>1212</v>
      </c>
      <c r="G501" s="103">
        <v>2</v>
      </c>
      <c r="H501" s="103">
        <v>2</v>
      </c>
      <c r="I501" s="104" t="s">
        <v>60</v>
      </c>
      <c r="J501" s="102" t="s">
        <v>246</v>
      </c>
      <c r="K501" s="102">
        <v>30</v>
      </c>
      <c r="L501" s="103">
        <v>2</v>
      </c>
      <c r="M501" s="104">
        <v>37</v>
      </c>
      <c r="N501" s="102">
        <v>38</v>
      </c>
      <c r="O501" s="102">
        <v>91</v>
      </c>
      <c r="P501" s="102">
        <v>43</v>
      </c>
      <c r="Q501" s="104">
        <f>_xlfn.FLOOR.MATH(25+0.4*B501)</f>
        <v>69</v>
      </c>
      <c r="R501" s="102">
        <f>_xlfn.FLOOR.MATH(7+0.25*B501)</f>
        <v>34</v>
      </c>
      <c r="S501" s="102">
        <f>_xlfn.FLOOR.MATH(53+0.4*B501)</f>
        <v>97</v>
      </c>
      <c r="T501" s="105">
        <f>_xlfn.FLOOR.MATH(33+0.55*B501)</f>
        <v>93</v>
      </c>
      <c r="U501" s="102">
        <v>12</v>
      </c>
      <c r="V501" s="102">
        <v>38</v>
      </c>
      <c r="W501" s="106" t="s">
        <v>115</v>
      </c>
      <c r="Y501" s="102" t="s">
        <v>241</v>
      </c>
      <c r="Z501" s="102" t="s">
        <v>128</v>
      </c>
      <c r="AA501" s="104">
        <v>0</v>
      </c>
      <c r="AB501" s="105">
        <v>0</v>
      </c>
      <c r="AC501" s="104">
        <v>3</v>
      </c>
      <c r="AD501" s="107" t="s">
        <v>1401</v>
      </c>
      <c r="AE501" s="104">
        <v>15</v>
      </c>
      <c r="AF501" s="105">
        <v>20</v>
      </c>
      <c r="AG501" s="104">
        <v>0.48</v>
      </c>
      <c r="AH501" s="102">
        <v>0.9</v>
      </c>
      <c r="AI501" s="105">
        <v>0.5</v>
      </c>
      <c r="AJ501" s="104">
        <v>4</v>
      </c>
      <c r="AK501" s="102">
        <v>8</v>
      </c>
      <c r="AL501" s="102">
        <v>6</v>
      </c>
      <c r="AM501" s="105">
        <v>0</v>
      </c>
      <c r="AN501" s="104">
        <v>0</v>
      </c>
      <c r="AO501" s="102">
        <v>39</v>
      </c>
      <c r="AP501" s="102">
        <v>13</v>
      </c>
      <c r="AQ501" s="105">
        <v>0</v>
      </c>
      <c r="AR501" s="108" t="s">
        <v>1415</v>
      </c>
    </row>
    <row r="502" ht="39.6" spans="1:44">
      <c r="A502" s="100">
        <v>11006911</v>
      </c>
      <c r="B502" s="101">
        <v>110</v>
      </c>
      <c r="C502" s="102">
        <v>4</v>
      </c>
      <c r="D502" s="103" t="s">
        <v>1416</v>
      </c>
      <c r="F502" s="103" t="s">
        <v>1212</v>
      </c>
      <c r="G502" s="103">
        <v>3</v>
      </c>
      <c r="H502" s="103">
        <v>3</v>
      </c>
      <c r="I502" s="104" t="s">
        <v>326</v>
      </c>
      <c r="J502" s="102" t="s">
        <v>246</v>
      </c>
      <c r="K502" s="102">
        <v>35</v>
      </c>
      <c r="L502" s="103">
        <v>1</v>
      </c>
      <c r="M502" s="104">
        <v>38</v>
      </c>
      <c r="N502" s="102">
        <v>40</v>
      </c>
      <c r="O502" s="102">
        <v>80</v>
      </c>
      <c r="P502" s="102">
        <v>48</v>
      </c>
      <c r="Q502" s="104">
        <f>_xlfn.FLOOR.MATH(30+0.4*B502)</f>
        <v>74</v>
      </c>
      <c r="R502" s="102">
        <f>_xlfn.FLOOR.MATH(6+0.25*B502)</f>
        <v>33</v>
      </c>
      <c r="S502" s="102">
        <f>_xlfn.FLOOR.MATH(53+0.4*B502)</f>
        <v>97</v>
      </c>
      <c r="T502" s="105">
        <f>_xlfn.FLOOR.MATH(33+0.55*B502)</f>
        <v>93</v>
      </c>
      <c r="U502" s="102">
        <v>25</v>
      </c>
      <c r="V502" s="102">
        <v>38</v>
      </c>
      <c r="W502" s="106" t="s">
        <v>115</v>
      </c>
      <c r="Y502" s="102" t="s">
        <v>241</v>
      </c>
      <c r="Z502" s="102" t="s">
        <v>128</v>
      </c>
      <c r="AA502" s="104">
        <v>0</v>
      </c>
      <c r="AB502" s="105">
        <v>0</v>
      </c>
      <c r="AC502" s="104">
        <v>3</v>
      </c>
      <c r="AD502" s="107" t="s">
        <v>1417</v>
      </c>
      <c r="AE502" s="104">
        <v>15</v>
      </c>
      <c r="AF502" s="105">
        <v>20</v>
      </c>
      <c r="AG502" s="104">
        <v>0.48</v>
      </c>
      <c r="AH502" s="102">
        <v>0.9</v>
      </c>
      <c r="AI502" s="105">
        <v>0.5</v>
      </c>
      <c r="AJ502" s="104">
        <v>4</v>
      </c>
      <c r="AK502" s="102">
        <v>8</v>
      </c>
      <c r="AL502" s="102">
        <v>6</v>
      </c>
      <c r="AM502" s="105">
        <v>0</v>
      </c>
      <c r="AN502" s="104">
        <v>0</v>
      </c>
      <c r="AO502" s="102">
        <v>25</v>
      </c>
      <c r="AP502" s="102">
        <v>15</v>
      </c>
      <c r="AQ502" s="105">
        <v>0</v>
      </c>
      <c r="AR502" s="108" t="s">
        <v>1418</v>
      </c>
    </row>
    <row r="503" ht="26.4" spans="1:44">
      <c r="A503" s="100">
        <v>11007011</v>
      </c>
      <c r="B503" s="101">
        <v>110</v>
      </c>
      <c r="C503" s="102">
        <v>4</v>
      </c>
      <c r="D503" s="103" t="s">
        <v>1419</v>
      </c>
      <c r="E503" s="103" t="s">
        <v>1420</v>
      </c>
      <c r="F503" s="103" t="s">
        <v>1212</v>
      </c>
      <c r="G503" s="103">
        <v>2</v>
      </c>
      <c r="H503" s="103">
        <v>2</v>
      </c>
      <c r="I503" s="104" t="s">
        <v>60</v>
      </c>
      <c r="J503" s="102" t="s">
        <v>246</v>
      </c>
      <c r="K503" s="102">
        <v>30</v>
      </c>
      <c r="L503" s="103">
        <v>2</v>
      </c>
      <c r="M503" s="104">
        <v>37</v>
      </c>
      <c r="N503" s="102">
        <v>38</v>
      </c>
      <c r="O503" s="102">
        <v>91</v>
      </c>
      <c r="P503" s="102">
        <v>43</v>
      </c>
      <c r="Q503" s="104">
        <f>_xlfn.FLOOR.MATH(25+0.4*B503)</f>
        <v>69</v>
      </c>
      <c r="R503" s="102">
        <f>_xlfn.FLOOR.MATH(7+0.3*B503)</f>
        <v>40</v>
      </c>
      <c r="S503" s="102">
        <f>_xlfn.FLOOR.MATH(53+0.4*B503)</f>
        <v>97</v>
      </c>
      <c r="T503" s="105">
        <f>_xlfn.FLOOR.MATH(33+0.55*B503)</f>
        <v>93</v>
      </c>
      <c r="U503" s="102">
        <v>12</v>
      </c>
      <c r="V503" s="102">
        <v>38</v>
      </c>
      <c r="W503" s="106" t="s">
        <v>115</v>
      </c>
      <c r="Y503" s="102" t="s">
        <v>241</v>
      </c>
      <c r="Z503" s="102" t="s">
        <v>128</v>
      </c>
      <c r="AA503" s="104">
        <v>0</v>
      </c>
      <c r="AB503" s="105">
        <v>0</v>
      </c>
      <c r="AC503" s="104">
        <v>3</v>
      </c>
      <c r="AD503" s="107" t="s">
        <v>1401</v>
      </c>
      <c r="AE503" s="104">
        <v>15</v>
      </c>
      <c r="AF503" s="105">
        <v>20</v>
      </c>
      <c r="AG503" s="104">
        <v>0.48</v>
      </c>
      <c r="AH503" s="102">
        <v>0.9</v>
      </c>
      <c r="AI503" s="105">
        <v>0.5</v>
      </c>
      <c r="AJ503" s="104">
        <v>4</v>
      </c>
      <c r="AK503" s="102">
        <v>8</v>
      </c>
      <c r="AL503" s="102">
        <v>6</v>
      </c>
      <c r="AM503" s="105">
        <v>0</v>
      </c>
      <c r="AN503" s="104">
        <v>0</v>
      </c>
      <c r="AO503" s="102">
        <v>39</v>
      </c>
      <c r="AP503" s="102">
        <v>13</v>
      </c>
      <c r="AQ503" s="105">
        <v>0</v>
      </c>
      <c r="AR503" s="108" t="s">
        <v>1421</v>
      </c>
    </row>
    <row r="504" ht="79.2" spans="1:44">
      <c r="A504" s="100">
        <v>11007111</v>
      </c>
      <c r="B504" s="101">
        <v>110</v>
      </c>
      <c r="C504" s="102">
        <v>4</v>
      </c>
      <c r="D504" s="103" t="s">
        <v>1422</v>
      </c>
      <c r="E504" s="103" t="s">
        <v>1423</v>
      </c>
      <c r="F504" s="103" t="s">
        <v>1212</v>
      </c>
      <c r="G504" s="103">
        <v>3</v>
      </c>
      <c r="H504" s="103">
        <v>3</v>
      </c>
      <c r="I504" s="104" t="s">
        <v>60</v>
      </c>
      <c r="J504" s="102" t="s">
        <v>246</v>
      </c>
      <c r="K504" s="102">
        <v>30</v>
      </c>
      <c r="L504" s="103">
        <v>2</v>
      </c>
      <c r="M504" s="104">
        <v>37</v>
      </c>
      <c r="N504" s="102">
        <v>38</v>
      </c>
      <c r="O504" s="102">
        <v>91</v>
      </c>
      <c r="P504" s="102">
        <v>43</v>
      </c>
      <c r="Q504" s="104">
        <f>_xlfn.FLOOR.MATH(25+0.4*B504)</f>
        <v>69</v>
      </c>
      <c r="R504" s="102">
        <f>_xlfn.FLOOR.MATH(7+0.3*B504)</f>
        <v>40</v>
      </c>
      <c r="S504" s="102">
        <f>_xlfn.FLOOR.MATH(53+0.4*B504)</f>
        <v>97</v>
      </c>
      <c r="T504" s="105">
        <f>_xlfn.FLOOR.MATH(33+0.55*B504)</f>
        <v>93</v>
      </c>
      <c r="U504" s="102">
        <v>10</v>
      </c>
      <c r="V504" s="102">
        <v>38</v>
      </c>
      <c r="W504" s="106" t="s">
        <v>115</v>
      </c>
      <c r="Y504" s="102" t="s">
        <v>241</v>
      </c>
      <c r="Z504" s="102" t="s">
        <v>128</v>
      </c>
      <c r="AA504" s="104">
        <v>0</v>
      </c>
      <c r="AB504" s="105">
        <v>0</v>
      </c>
      <c r="AC504" s="104">
        <v>3</v>
      </c>
      <c r="AD504" s="107" t="s">
        <v>1401</v>
      </c>
      <c r="AE504" s="104">
        <v>15</v>
      </c>
      <c r="AF504" s="105">
        <v>20</v>
      </c>
      <c r="AG504" s="104">
        <v>0.48</v>
      </c>
      <c r="AH504" s="102">
        <v>0.9</v>
      </c>
      <c r="AI504" s="105">
        <v>0.5</v>
      </c>
      <c r="AJ504" s="104">
        <v>4</v>
      </c>
      <c r="AK504" s="102">
        <v>8</v>
      </c>
      <c r="AL504" s="102">
        <v>6</v>
      </c>
      <c r="AM504" s="105">
        <v>0</v>
      </c>
      <c r="AN504" s="104">
        <v>0</v>
      </c>
      <c r="AO504" s="102">
        <v>39</v>
      </c>
      <c r="AP504" s="102">
        <v>13</v>
      </c>
      <c r="AQ504" s="105">
        <v>0</v>
      </c>
      <c r="AR504" s="108" t="s">
        <v>1424</v>
      </c>
    </row>
    <row r="505" ht="52.8" spans="1:44">
      <c r="A505" s="100">
        <v>11007211</v>
      </c>
      <c r="B505" s="101">
        <v>110</v>
      </c>
      <c r="C505" s="102">
        <v>4</v>
      </c>
      <c r="D505" s="103" t="s">
        <v>1425</v>
      </c>
      <c r="E505" s="103" t="s">
        <v>1426</v>
      </c>
      <c r="F505" s="103" t="s">
        <v>1212</v>
      </c>
      <c r="G505" s="103">
        <v>5</v>
      </c>
      <c r="H505" s="103">
        <v>5</v>
      </c>
      <c r="I505" s="104" t="s">
        <v>60</v>
      </c>
      <c r="J505" s="102" t="s">
        <v>246</v>
      </c>
      <c r="K505" s="102">
        <v>30</v>
      </c>
      <c r="L505" s="103">
        <v>2</v>
      </c>
      <c r="M505" s="104">
        <v>40</v>
      </c>
      <c r="N505" s="102">
        <v>38</v>
      </c>
      <c r="O505" s="102">
        <v>95</v>
      </c>
      <c r="P505" s="102">
        <v>48</v>
      </c>
      <c r="Q505" s="104">
        <f>_xlfn.FLOOR.MATH(20+0.4*B505)</f>
        <v>64</v>
      </c>
      <c r="R505" s="102">
        <f>_xlfn.FLOOR.MATH(8+0.3*B505)</f>
        <v>41</v>
      </c>
      <c r="S505" s="102">
        <f>_xlfn.FLOOR.MATH(53+0.4*B505)</f>
        <v>97</v>
      </c>
      <c r="T505" s="105">
        <f>_xlfn.FLOOR.MATH(33+0.55*B505)</f>
        <v>93</v>
      </c>
      <c r="U505" s="102">
        <v>10</v>
      </c>
      <c r="V505" s="102">
        <v>38</v>
      </c>
      <c r="W505" s="106" t="s">
        <v>115</v>
      </c>
      <c r="Y505" s="102" t="s">
        <v>241</v>
      </c>
      <c r="Z505" s="102" t="s">
        <v>128</v>
      </c>
      <c r="AA505" s="104">
        <v>0</v>
      </c>
      <c r="AB505" s="105">
        <v>0</v>
      </c>
      <c r="AC505" s="104">
        <v>3</v>
      </c>
      <c r="AD505" s="107" t="s">
        <v>1401</v>
      </c>
      <c r="AE505" s="104">
        <v>15</v>
      </c>
      <c r="AF505" s="105">
        <v>20</v>
      </c>
      <c r="AG505" s="104">
        <v>0.48</v>
      </c>
      <c r="AH505" s="102">
        <v>0.9</v>
      </c>
      <c r="AI505" s="105">
        <v>0.5</v>
      </c>
      <c r="AJ505" s="104">
        <v>4</v>
      </c>
      <c r="AK505" s="102">
        <v>8</v>
      </c>
      <c r="AL505" s="102">
        <v>6</v>
      </c>
      <c r="AM505" s="105">
        <v>0</v>
      </c>
      <c r="AN505" s="104">
        <v>0</v>
      </c>
      <c r="AO505" s="102">
        <v>43</v>
      </c>
      <c r="AP505" s="102">
        <v>13</v>
      </c>
      <c r="AQ505" s="105">
        <v>0</v>
      </c>
      <c r="AR505" s="108" t="s">
        <v>1427</v>
      </c>
    </row>
    <row r="506" ht="26.4" spans="1:44">
      <c r="A506" s="100">
        <v>11007311</v>
      </c>
      <c r="B506" s="101">
        <v>110</v>
      </c>
      <c r="C506" s="102">
        <v>3</v>
      </c>
      <c r="D506" s="103" t="s">
        <v>1428</v>
      </c>
      <c r="E506" s="103" t="s">
        <v>1429</v>
      </c>
      <c r="F506" s="103" t="s">
        <v>1212</v>
      </c>
      <c r="G506" s="103">
        <v>2</v>
      </c>
      <c r="H506" s="103">
        <v>3</v>
      </c>
      <c r="I506" s="104" t="s">
        <v>60</v>
      </c>
      <c r="J506" s="102" t="s">
        <v>246</v>
      </c>
      <c r="K506" s="102">
        <v>30</v>
      </c>
      <c r="L506" s="103">
        <v>2</v>
      </c>
      <c r="M506" s="104">
        <v>37</v>
      </c>
      <c r="N506" s="102">
        <v>38</v>
      </c>
      <c r="O506" s="102">
        <v>91</v>
      </c>
      <c r="P506" s="102">
        <v>48</v>
      </c>
      <c r="Q506" s="104">
        <f>_xlfn.FLOOR.MATH(20+0.4*B506)</f>
        <v>64</v>
      </c>
      <c r="R506" s="102">
        <f>_xlfn.FLOOR.MATH(7+0.3*B506)</f>
        <v>40</v>
      </c>
      <c r="S506" s="102">
        <f>_xlfn.FLOOR.MATH(53+0.4*B506)</f>
        <v>97</v>
      </c>
      <c r="T506" s="105">
        <f>_xlfn.FLOOR.MATH(32+0.55*B506)</f>
        <v>92</v>
      </c>
      <c r="U506" s="102">
        <v>10</v>
      </c>
      <c r="V506" s="102">
        <v>38</v>
      </c>
      <c r="W506" s="106" t="s">
        <v>115</v>
      </c>
      <c r="Y506" s="102" t="s">
        <v>241</v>
      </c>
      <c r="Z506" s="102" t="s">
        <v>128</v>
      </c>
      <c r="AA506" s="104">
        <v>0</v>
      </c>
      <c r="AB506" s="105">
        <v>0</v>
      </c>
      <c r="AC506" s="104">
        <v>3</v>
      </c>
      <c r="AD506" s="107" t="s">
        <v>1401</v>
      </c>
      <c r="AE506" s="104">
        <v>15</v>
      </c>
      <c r="AF506" s="105">
        <v>20</v>
      </c>
      <c r="AG506" s="104">
        <v>0.48</v>
      </c>
      <c r="AH506" s="102">
        <v>0.9</v>
      </c>
      <c r="AI506" s="105">
        <v>0.5</v>
      </c>
      <c r="AJ506" s="104">
        <v>4</v>
      </c>
      <c r="AK506" s="102">
        <v>8</v>
      </c>
      <c r="AL506" s="102">
        <v>6</v>
      </c>
      <c r="AM506" s="105">
        <v>0</v>
      </c>
      <c r="AN506" s="104">
        <v>0</v>
      </c>
      <c r="AO506" s="102">
        <v>39</v>
      </c>
      <c r="AP506" s="102">
        <v>13</v>
      </c>
      <c r="AQ506" s="105">
        <v>0</v>
      </c>
      <c r="AR506" s="108" t="s">
        <v>1421</v>
      </c>
    </row>
    <row r="507" ht="26.4" spans="1:44">
      <c r="A507" s="100">
        <v>11007411</v>
      </c>
      <c r="B507" s="101">
        <v>110</v>
      </c>
      <c r="C507" s="102">
        <v>4</v>
      </c>
      <c r="D507" s="103" t="s">
        <v>1430</v>
      </c>
      <c r="F507" s="103" t="s">
        <v>1212</v>
      </c>
      <c r="G507" s="103">
        <v>2</v>
      </c>
      <c r="H507" s="103">
        <v>2</v>
      </c>
      <c r="I507" s="104" t="s">
        <v>73</v>
      </c>
      <c r="J507" s="102" t="s">
        <v>246</v>
      </c>
      <c r="K507" s="102">
        <v>38</v>
      </c>
      <c r="L507" s="103">
        <v>2</v>
      </c>
      <c r="M507" s="104">
        <v>38</v>
      </c>
      <c r="N507" s="102">
        <v>40</v>
      </c>
      <c r="O507" s="102">
        <v>79</v>
      </c>
      <c r="P507" s="102">
        <v>46</v>
      </c>
      <c r="Q507" s="104">
        <f>_xlfn.FLOOR.MATH(22+0.4*B507)</f>
        <v>66</v>
      </c>
      <c r="R507" s="102">
        <f>_xlfn.FLOOR.MATH(8+0.25*B507)</f>
        <v>35</v>
      </c>
      <c r="S507" s="102">
        <f>_xlfn.FLOOR.MATH(48+0.4*B507)</f>
        <v>92</v>
      </c>
      <c r="T507" s="105">
        <f>_xlfn.FLOOR.MATH(33+0.55*B507)</f>
        <v>93</v>
      </c>
      <c r="U507" s="102">
        <v>15</v>
      </c>
      <c r="V507" s="102">
        <v>38.2</v>
      </c>
      <c r="W507" s="106" t="s">
        <v>115</v>
      </c>
      <c r="Y507" s="102" t="s">
        <v>241</v>
      </c>
      <c r="Z507" s="102" t="s">
        <v>128</v>
      </c>
      <c r="AA507" s="104">
        <v>0</v>
      </c>
      <c r="AB507" s="105">
        <v>0</v>
      </c>
      <c r="AC507" s="104">
        <v>3</v>
      </c>
      <c r="AD507" s="107" t="s">
        <v>1431</v>
      </c>
      <c r="AE507" s="104">
        <v>10</v>
      </c>
      <c r="AF507" s="105">
        <v>20</v>
      </c>
      <c r="AG507" s="104">
        <v>0.48</v>
      </c>
      <c r="AH507" s="102">
        <v>0.99</v>
      </c>
      <c r="AI507" s="105">
        <v>0.5</v>
      </c>
      <c r="AJ507" s="104">
        <v>4</v>
      </c>
      <c r="AK507" s="102">
        <v>8</v>
      </c>
      <c r="AL507" s="102">
        <v>6</v>
      </c>
      <c r="AM507" s="105">
        <v>0</v>
      </c>
      <c r="AN507" s="104">
        <v>0</v>
      </c>
      <c r="AO507" s="102">
        <v>24</v>
      </c>
      <c r="AP507" s="102">
        <v>17</v>
      </c>
      <c r="AQ507" s="105">
        <v>0</v>
      </c>
      <c r="AR507" s="108" t="s">
        <v>1432</v>
      </c>
    </row>
    <row r="508" ht="66" spans="1:45">
      <c r="A508" s="100">
        <v>11007511</v>
      </c>
      <c r="B508" s="101">
        <v>110</v>
      </c>
      <c r="C508" s="102">
        <v>4</v>
      </c>
      <c r="D508" s="103" t="s">
        <v>1433</v>
      </c>
      <c r="F508" s="103" t="s">
        <v>1212</v>
      </c>
      <c r="G508" s="103">
        <v>2</v>
      </c>
      <c r="H508" s="103">
        <v>3</v>
      </c>
      <c r="I508" s="104" t="s">
        <v>73</v>
      </c>
      <c r="J508" s="102" t="s">
        <v>246</v>
      </c>
      <c r="K508" s="102">
        <v>38</v>
      </c>
      <c r="L508" s="103">
        <v>2</v>
      </c>
      <c r="M508" s="104">
        <v>38</v>
      </c>
      <c r="N508" s="102">
        <v>40</v>
      </c>
      <c r="O508" s="102">
        <v>79</v>
      </c>
      <c r="P508" s="102">
        <v>46</v>
      </c>
      <c r="Q508" s="104">
        <f>_xlfn.FLOOR.MATH(22+0.4*B508)</f>
        <v>66</v>
      </c>
      <c r="R508" s="102">
        <f>_xlfn.FLOOR.MATH(6+0.25*B508)</f>
        <v>33</v>
      </c>
      <c r="S508" s="102">
        <f>_xlfn.FLOOR.MATH(48+0.4*B508)</f>
        <v>92</v>
      </c>
      <c r="T508" s="105">
        <f>_xlfn.FLOOR.MATH(33+0.55*B508)</f>
        <v>93</v>
      </c>
      <c r="U508" s="102">
        <v>10</v>
      </c>
      <c r="V508" s="102">
        <v>38.2</v>
      </c>
      <c r="W508" s="106" t="s">
        <v>115</v>
      </c>
      <c r="Y508" s="102" t="s">
        <v>241</v>
      </c>
      <c r="Z508" s="102" t="s">
        <v>128</v>
      </c>
      <c r="AA508" s="104">
        <v>0</v>
      </c>
      <c r="AB508" s="105">
        <v>0</v>
      </c>
      <c r="AC508" s="104">
        <v>3</v>
      </c>
      <c r="AD508" s="107" t="s">
        <v>1431</v>
      </c>
      <c r="AE508" s="104">
        <v>10</v>
      </c>
      <c r="AF508" s="105">
        <v>20</v>
      </c>
      <c r="AG508" s="104">
        <v>0.48</v>
      </c>
      <c r="AH508" s="102">
        <v>0.99</v>
      </c>
      <c r="AI508" s="105">
        <v>0.5</v>
      </c>
      <c r="AJ508" s="104">
        <v>4</v>
      </c>
      <c r="AK508" s="102">
        <v>8</v>
      </c>
      <c r="AL508" s="102">
        <v>6</v>
      </c>
      <c r="AM508" s="105">
        <v>0</v>
      </c>
      <c r="AN508" s="104">
        <v>0</v>
      </c>
      <c r="AO508" s="102">
        <v>24</v>
      </c>
      <c r="AP508" s="102">
        <v>17</v>
      </c>
      <c r="AQ508" s="105">
        <v>0</v>
      </c>
      <c r="AR508" s="108" t="s">
        <v>1434</v>
      </c>
      <c r="AS508" s="109" t="s">
        <v>1435</v>
      </c>
    </row>
    <row r="509" ht="66" spans="1:44">
      <c r="A509" s="100">
        <v>11007611</v>
      </c>
      <c r="B509" s="101">
        <v>110</v>
      </c>
      <c r="C509" s="102">
        <v>3</v>
      </c>
      <c r="D509" s="103" t="s">
        <v>1436</v>
      </c>
      <c r="F509" s="103" t="s">
        <v>1212</v>
      </c>
      <c r="G509" s="103">
        <v>3</v>
      </c>
      <c r="H509" s="103">
        <v>3</v>
      </c>
      <c r="I509" s="104" t="s">
        <v>73</v>
      </c>
      <c r="J509" s="102" t="s">
        <v>246</v>
      </c>
      <c r="K509" s="102">
        <v>40</v>
      </c>
      <c r="L509" s="103">
        <v>0</v>
      </c>
      <c r="M509" s="104">
        <v>40</v>
      </c>
      <c r="N509" s="102">
        <v>41</v>
      </c>
      <c r="O509" s="102">
        <v>81</v>
      </c>
      <c r="P509" s="102">
        <v>45</v>
      </c>
      <c r="Q509" s="104">
        <f>_xlfn.FLOOR.MATH(22+0.4*B509)</f>
        <v>66</v>
      </c>
      <c r="R509" s="102">
        <f>_xlfn.FLOOR.MATH(8+0.25*B509)</f>
        <v>35</v>
      </c>
      <c r="S509" s="102">
        <f>_xlfn.FLOOR.MATH(48+0.4*B509)</f>
        <v>92</v>
      </c>
      <c r="T509" s="105">
        <f>_xlfn.FLOOR.MATH(33+0.55*B509)</f>
        <v>93</v>
      </c>
      <c r="U509" s="102">
        <v>10</v>
      </c>
      <c r="V509" s="102">
        <v>38.5</v>
      </c>
      <c r="W509" s="106" t="s">
        <v>115</v>
      </c>
      <c r="Y509" s="102" t="s">
        <v>241</v>
      </c>
      <c r="Z509" s="102" t="s">
        <v>128</v>
      </c>
      <c r="AA509" s="104">
        <v>0</v>
      </c>
      <c r="AB509" s="105">
        <v>0</v>
      </c>
      <c r="AC509" s="104">
        <v>3</v>
      </c>
      <c r="AD509" s="107" t="s">
        <v>282</v>
      </c>
      <c r="AE509" s="104">
        <v>10</v>
      </c>
      <c r="AF509" s="105">
        <v>20</v>
      </c>
      <c r="AG509" s="104">
        <v>0.48</v>
      </c>
      <c r="AH509" s="102">
        <v>0.99</v>
      </c>
      <c r="AI509" s="105">
        <v>0.5</v>
      </c>
      <c r="AJ509" s="104">
        <v>4</v>
      </c>
      <c r="AK509" s="102">
        <v>8</v>
      </c>
      <c r="AL509" s="102">
        <v>6</v>
      </c>
      <c r="AM509" s="105">
        <v>0</v>
      </c>
      <c r="AN509" s="104">
        <v>0</v>
      </c>
      <c r="AO509" s="102">
        <v>26</v>
      </c>
      <c r="AP509" s="102">
        <v>18</v>
      </c>
      <c r="AQ509" s="105">
        <v>0</v>
      </c>
      <c r="AR509" s="108" t="s">
        <v>1437</v>
      </c>
    </row>
    <row r="510" ht="66" spans="1:44">
      <c r="A510" s="100">
        <v>11007711</v>
      </c>
      <c r="B510" s="101">
        <v>110</v>
      </c>
      <c r="C510" s="102">
        <v>3</v>
      </c>
      <c r="D510" s="103" t="s">
        <v>1438</v>
      </c>
      <c r="F510" s="103" t="s">
        <v>1212</v>
      </c>
      <c r="G510" s="103">
        <v>2</v>
      </c>
      <c r="H510" s="103">
        <v>3</v>
      </c>
      <c r="I510" s="104" t="s">
        <v>73</v>
      </c>
      <c r="J510" s="102" t="s">
        <v>246</v>
      </c>
      <c r="K510" s="102">
        <v>40</v>
      </c>
      <c r="L510" s="103">
        <v>0</v>
      </c>
      <c r="M510" s="104">
        <v>40</v>
      </c>
      <c r="N510" s="102">
        <v>41</v>
      </c>
      <c r="O510" s="102">
        <v>81</v>
      </c>
      <c r="P510" s="102">
        <v>47</v>
      </c>
      <c r="Q510" s="104">
        <f>_xlfn.FLOOR.MATH(22+0.4*B510)</f>
        <v>66</v>
      </c>
      <c r="R510" s="102">
        <f>_xlfn.FLOOR.MATH(8+0.25*B510)</f>
        <v>35</v>
      </c>
      <c r="S510" s="102">
        <f>_xlfn.FLOOR.MATH(48+0.4*B510)</f>
        <v>92</v>
      </c>
      <c r="T510" s="105">
        <f>_xlfn.FLOOR.MATH(33+0.55*B510)</f>
        <v>93</v>
      </c>
      <c r="U510" s="102">
        <v>10</v>
      </c>
      <c r="V510" s="102">
        <v>38.5</v>
      </c>
      <c r="W510" s="106" t="s">
        <v>115</v>
      </c>
      <c r="Y510" s="102" t="s">
        <v>241</v>
      </c>
      <c r="Z510" s="102" t="s">
        <v>128</v>
      </c>
      <c r="AA510" s="104">
        <v>0</v>
      </c>
      <c r="AB510" s="105">
        <v>0</v>
      </c>
      <c r="AC510" s="104">
        <v>3</v>
      </c>
      <c r="AD510" s="107" t="s">
        <v>1431</v>
      </c>
      <c r="AE510" s="104">
        <v>10</v>
      </c>
      <c r="AF510" s="105">
        <v>20</v>
      </c>
      <c r="AG510" s="104">
        <v>0.48</v>
      </c>
      <c r="AH510" s="102">
        <v>0.99</v>
      </c>
      <c r="AI510" s="105">
        <v>0.5</v>
      </c>
      <c r="AJ510" s="104">
        <v>4</v>
      </c>
      <c r="AK510" s="102">
        <v>8</v>
      </c>
      <c r="AL510" s="102">
        <v>6</v>
      </c>
      <c r="AM510" s="105">
        <v>0</v>
      </c>
      <c r="AN510" s="104">
        <v>0</v>
      </c>
      <c r="AO510" s="102">
        <v>26</v>
      </c>
      <c r="AP510" s="102">
        <v>18</v>
      </c>
      <c r="AQ510" s="105">
        <v>0</v>
      </c>
      <c r="AR510" s="108" t="s">
        <v>1439</v>
      </c>
    </row>
    <row r="511" ht="79.2" spans="1:44">
      <c r="A511" s="100">
        <v>11008011</v>
      </c>
      <c r="B511" s="101">
        <v>110</v>
      </c>
      <c r="C511" s="102">
        <v>4</v>
      </c>
      <c r="D511" s="103" t="s">
        <v>1440</v>
      </c>
      <c r="F511" s="103" t="s">
        <v>1212</v>
      </c>
      <c r="G511" s="103">
        <v>2</v>
      </c>
      <c r="H511" s="103">
        <v>2</v>
      </c>
      <c r="I511" s="104" t="s">
        <v>73</v>
      </c>
      <c r="J511" s="102" t="s">
        <v>246</v>
      </c>
      <c r="K511" s="102">
        <v>42</v>
      </c>
      <c r="L511" s="103">
        <v>2</v>
      </c>
      <c r="M511" s="104">
        <v>40</v>
      </c>
      <c r="N511" s="102">
        <v>43</v>
      </c>
      <c r="O511" s="102">
        <v>79</v>
      </c>
      <c r="P511" s="102">
        <v>46</v>
      </c>
      <c r="Q511" s="104">
        <f>_xlfn.FLOOR.MATH(22+0.4*B511)</f>
        <v>66</v>
      </c>
      <c r="R511" s="102">
        <f>_xlfn.FLOOR.MATH(6+0.25*B511)</f>
        <v>33</v>
      </c>
      <c r="S511" s="102">
        <f>_xlfn.FLOOR.MATH(46+0.4*B511)</f>
        <v>90</v>
      </c>
      <c r="T511" s="105">
        <f>_xlfn.FLOOR.MATH(33+0.55*B511)</f>
        <v>93</v>
      </c>
      <c r="U511" s="102">
        <v>10</v>
      </c>
      <c r="V511" s="102">
        <v>36</v>
      </c>
      <c r="W511" s="106" t="s">
        <v>115</v>
      </c>
      <c r="Y511" s="102" t="s">
        <v>241</v>
      </c>
      <c r="Z511" s="102" t="s">
        <v>128</v>
      </c>
      <c r="AA511" s="104">
        <v>0</v>
      </c>
      <c r="AB511" s="105">
        <v>0</v>
      </c>
      <c r="AC511" s="104">
        <v>3</v>
      </c>
      <c r="AD511" s="107" t="s">
        <v>1441</v>
      </c>
      <c r="AE511" s="104">
        <v>10</v>
      </c>
      <c r="AF511" s="105">
        <v>20</v>
      </c>
      <c r="AG511" s="104">
        <v>0.48</v>
      </c>
      <c r="AH511" s="102">
        <v>0.99</v>
      </c>
      <c r="AI511" s="105">
        <v>0.5</v>
      </c>
      <c r="AJ511" s="104">
        <v>4</v>
      </c>
      <c r="AK511" s="102">
        <v>8</v>
      </c>
      <c r="AL511" s="102">
        <v>6</v>
      </c>
      <c r="AM511" s="105">
        <v>0</v>
      </c>
      <c r="AN511" s="104">
        <v>0</v>
      </c>
      <c r="AO511" s="102">
        <v>24</v>
      </c>
      <c r="AP511" s="102">
        <v>20</v>
      </c>
      <c r="AQ511" s="105">
        <v>0</v>
      </c>
      <c r="AR511" s="108" t="s">
        <v>1442</v>
      </c>
    </row>
    <row r="512" ht="26.4" spans="1:44">
      <c r="A512" s="100">
        <v>11008111</v>
      </c>
      <c r="B512" s="101">
        <v>110</v>
      </c>
      <c r="C512" s="102">
        <v>4</v>
      </c>
      <c r="D512" s="103" t="s">
        <v>1443</v>
      </c>
      <c r="F512" s="103" t="s">
        <v>1212</v>
      </c>
      <c r="G512" s="103">
        <v>3</v>
      </c>
      <c r="H512" s="103">
        <v>5</v>
      </c>
      <c r="I512" s="104" t="s">
        <v>50</v>
      </c>
      <c r="J512" s="102" t="s">
        <v>246</v>
      </c>
      <c r="K512" s="102">
        <v>28</v>
      </c>
      <c r="L512" s="103">
        <v>0</v>
      </c>
      <c r="M512" s="104">
        <v>37</v>
      </c>
      <c r="N512" s="102">
        <v>33</v>
      </c>
      <c r="O512" s="102">
        <v>65</v>
      </c>
      <c r="P512" s="102">
        <v>60</v>
      </c>
      <c r="Q512" s="104">
        <f>_xlfn.FLOOR.MATH(50+0.4*B512)</f>
        <v>94</v>
      </c>
      <c r="R512" s="102">
        <f>_xlfn.FLOOR.MATH(7+0.25*B512)</f>
        <v>34</v>
      </c>
      <c r="S512" s="102">
        <f>_xlfn.FLOOR.MATH(43+0.4*B512)</f>
        <v>87</v>
      </c>
      <c r="T512" s="105">
        <f>_xlfn.FLOOR.MATH(33+0.55*B512)</f>
        <v>93</v>
      </c>
      <c r="U512" s="102">
        <v>13</v>
      </c>
      <c r="V512" s="102">
        <v>20</v>
      </c>
      <c r="W512" s="106" t="s">
        <v>115</v>
      </c>
      <c r="Y512" s="102" t="s">
        <v>241</v>
      </c>
      <c r="Z512" s="102" t="s">
        <v>128</v>
      </c>
      <c r="AA512" s="104">
        <v>0</v>
      </c>
      <c r="AB512" s="105">
        <v>0</v>
      </c>
      <c r="AC512" s="104">
        <v>3</v>
      </c>
      <c r="AD512" s="107" t="s">
        <v>1444</v>
      </c>
      <c r="AE512" s="104">
        <v>10</v>
      </c>
      <c r="AF512" s="105">
        <v>25</v>
      </c>
      <c r="AG512" s="104">
        <v>0.48</v>
      </c>
      <c r="AH512" s="102">
        <v>0.9</v>
      </c>
      <c r="AI512" s="105">
        <v>0.5</v>
      </c>
      <c r="AJ512" s="104">
        <v>4</v>
      </c>
      <c r="AK512" s="102">
        <v>8</v>
      </c>
      <c r="AL512" s="102">
        <v>6</v>
      </c>
      <c r="AM512" s="105">
        <v>0</v>
      </c>
      <c r="AN512" s="104">
        <v>3</v>
      </c>
      <c r="AO512" s="102">
        <v>10</v>
      </c>
      <c r="AP512" s="102">
        <v>8</v>
      </c>
      <c r="AQ512" s="105">
        <v>0</v>
      </c>
      <c r="AR512" s="108" t="s">
        <v>1445</v>
      </c>
    </row>
    <row r="513" ht="52.8" spans="1:45">
      <c r="A513" s="100">
        <v>11008211</v>
      </c>
      <c r="B513" s="101">
        <v>110</v>
      </c>
      <c r="C513" s="102">
        <v>4</v>
      </c>
      <c r="D513" s="103" t="s">
        <v>1446</v>
      </c>
      <c r="F513" s="103" t="s">
        <v>1212</v>
      </c>
      <c r="G513" s="103">
        <v>3</v>
      </c>
      <c r="H513" s="103">
        <v>3</v>
      </c>
      <c r="I513" s="104" t="s">
        <v>50</v>
      </c>
      <c r="J513" s="102" t="s">
        <v>246</v>
      </c>
      <c r="K513" s="102">
        <v>29</v>
      </c>
      <c r="L513" s="103">
        <v>-1</v>
      </c>
      <c r="M513" s="104">
        <v>38</v>
      </c>
      <c r="N513" s="102">
        <v>47</v>
      </c>
      <c r="O513" s="102">
        <v>79</v>
      </c>
      <c r="P513" s="102">
        <v>50</v>
      </c>
      <c r="Q513" s="104">
        <f>_xlfn.FLOOR.MATH(33+0.4*B513)</f>
        <v>77</v>
      </c>
      <c r="R513" s="102">
        <f>_xlfn.FLOOR.MATH(7+0.25*B513)</f>
        <v>34</v>
      </c>
      <c r="S513" s="102">
        <f>_xlfn.FLOOR.MATH(46+0.4*B513)</f>
        <v>90</v>
      </c>
      <c r="T513" s="105">
        <f>_xlfn.FLOOR.MATH(33+0.55*B513)</f>
        <v>93</v>
      </c>
      <c r="U513" s="102">
        <v>8</v>
      </c>
      <c r="V513" s="102">
        <v>36</v>
      </c>
      <c r="W513" s="106" t="s">
        <v>115</v>
      </c>
      <c r="Y513" s="102" t="s">
        <v>241</v>
      </c>
      <c r="Z513" s="102" t="s">
        <v>128</v>
      </c>
      <c r="AA513" s="104">
        <v>0</v>
      </c>
      <c r="AB513" s="105">
        <v>0</v>
      </c>
      <c r="AC513" s="104">
        <v>3</v>
      </c>
      <c r="AD513" s="107" t="s">
        <v>1447</v>
      </c>
      <c r="AE513" s="104">
        <v>10</v>
      </c>
      <c r="AF513" s="105">
        <v>25</v>
      </c>
      <c r="AG513" s="104">
        <v>0.48</v>
      </c>
      <c r="AH513" s="102">
        <v>0.9</v>
      </c>
      <c r="AI513" s="105">
        <v>0.5</v>
      </c>
      <c r="AJ513" s="104">
        <v>4</v>
      </c>
      <c r="AK513" s="102">
        <v>8</v>
      </c>
      <c r="AL513" s="102">
        <v>6</v>
      </c>
      <c r="AM513" s="105">
        <v>0</v>
      </c>
      <c r="AN513" s="104">
        <v>3</v>
      </c>
      <c r="AO513" s="102">
        <v>24</v>
      </c>
      <c r="AP513" s="102">
        <v>17</v>
      </c>
      <c r="AQ513" s="105">
        <v>0</v>
      </c>
      <c r="AR513" s="108" t="s">
        <v>1448</v>
      </c>
      <c r="AS513" s="109" t="s">
        <v>1449</v>
      </c>
    </row>
    <row r="514" ht="39.6" spans="1:44">
      <c r="A514" s="100">
        <v>11008311</v>
      </c>
      <c r="B514" s="101">
        <v>110</v>
      </c>
      <c r="C514" s="102">
        <v>3</v>
      </c>
      <c r="D514" s="103" t="s">
        <v>1450</v>
      </c>
      <c r="F514" s="103" t="s">
        <v>1212</v>
      </c>
      <c r="G514" s="103">
        <v>2</v>
      </c>
      <c r="H514" s="103">
        <v>2</v>
      </c>
      <c r="I514" s="104" t="s">
        <v>50</v>
      </c>
      <c r="J514" s="102" t="s">
        <v>246</v>
      </c>
      <c r="K514" s="102">
        <v>29</v>
      </c>
      <c r="L514" s="103">
        <v>-1</v>
      </c>
      <c r="M514" s="104">
        <v>40</v>
      </c>
      <c r="N514" s="102">
        <v>37</v>
      </c>
      <c r="O514" s="102">
        <v>79</v>
      </c>
      <c r="P514" s="102">
        <v>55</v>
      </c>
      <c r="Q514" s="104">
        <f>_xlfn.FLOOR.MATH(33+0.4*B514)</f>
        <v>77</v>
      </c>
      <c r="R514" s="102">
        <f>_xlfn.FLOOR.MATH(7+0.25*B514)</f>
        <v>34</v>
      </c>
      <c r="S514" s="102">
        <f>_xlfn.FLOOR.MATH(46+0.4*B514)</f>
        <v>90</v>
      </c>
      <c r="T514" s="105">
        <f>_xlfn.FLOOR.MATH(32+0.55*B514)</f>
        <v>92</v>
      </c>
      <c r="U514" s="102">
        <v>15</v>
      </c>
      <c r="V514" s="102">
        <v>36</v>
      </c>
      <c r="W514" s="106" t="s">
        <v>115</v>
      </c>
      <c r="Y514" s="102" t="s">
        <v>241</v>
      </c>
      <c r="Z514" s="102" t="s">
        <v>128</v>
      </c>
      <c r="AA514" s="104">
        <v>0</v>
      </c>
      <c r="AB514" s="105">
        <v>0</v>
      </c>
      <c r="AC514" s="104">
        <v>3</v>
      </c>
      <c r="AD514" s="107" t="s">
        <v>1451</v>
      </c>
      <c r="AE514" s="104">
        <v>10</v>
      </c>
      <c r="AF514" s="105">
        <v>25</v>
      </c>
      <c r="AG514" s="104">
        <v>0.48</v>
      </c>
      <c r="AH514" s="102">
        <v>0.9</v>
      </c>
      <c r="AI514" s="105">
        <v>0.5</v>
      </c>
      <c r="AJ514" s="104">
        <v>4</v>
      </c>
      <c r="AK514" s="102">
        <v>8</v>
      </c>
      <c r="AL514" s="102">
        <v>6</v>
      </c>
      <c r="AM514" s="105">
        <v>0</v>
      </c>
      <c r="AN514" s="104">
        <v>3</v>
      </c>
      <c r="AO514" s="102">
        <v>24</v>
      </c>
      <c r="AP514" s="102">
        <v>12</v>
      </c>
      <c r="AQ514" s="105">
        <v>0</v>
      </c>
      <c r="AR514" s="108" t="s">
        <v>1452</v>
      </c>
    </row>
    <row r="515" ht="39.6" spans="1:44">
      <c r="A515" s="100">
        <v>11008411</v>
      </c>
      <c r="B515" s="101">
        <v>110</v>
      </c>
      <c r="C515" s="102">
        <v>3</v>
      </c>
      <c r="D515" s="103" t="s">
        <v>1453</v>
      </c>
      <c r="F515" s="103" t="s">
        <v>1212</v>
      </c>
      <c r="G515" s="103">
        <v>2</v>
      </c>
      <c r="H515" s="103">
        <v>2</v>
      </c>
      <c r="I515" s="104" t="s">
        <v>50</v>
      </c>
      <c r="J515" s="102" t="s">
        <v>246</v>
      </c>
      <c r="K515" s="102">
        <v>29</v>
      </c>
      <c r="L515" s="103">
        <v>-1</v>
      </c>
      <c r="M515" s="104">
        <v>40</v>
      </c>
      <c r="N515" s="102">
        <v>37</v>
      </c>
      <c r="O515" s="102">
        <v>79</v>
      </c>
      <c r="P515" s="102">
        <v>55</v>
      </c>
      <c r="Q515" s="104">
        <f>_xlfn.FLOOR.MATH(33+0.4*B515)</f>
        <v>77</v>
      </c>
      <c r="R515" s="102">
        <f>_xlfn.FLOOR.MATH(7+0.25*B515)</f>
        <v>34</v>
      </c>
      <c r="S515" s="102">
        <f>_xlfn.FLOOR.MATH(47+0.4*B515)</f>
        <v>91</v>
      </c>
      <c r="T515" s="105">
        <f>_xlfn.FLOOR.MATH(32+0.55*B515)</f>
        <v>92</v>
      </c>
      <c r="U515" s="102">
        <v>10</v>
      </c>
      <c r="V515" s="102">
        <v>36</v>
      </c>
      <c r="W515" s="106" t="s">
        <v>115</v>
      </c>
      <c r="Y515" s="102" t="s">
        <v>241</v>
      </c>
      <c r="Z515" s="102" t="s">
        <v>128</v>
      </c>
      <c r="AA515" s="104">
        <v>0</v>
      </c>
      <c r="AB515" s="105">
        <v>0</v>
      </c>
      <c r="AC515" s="104">
        <v>3</v>
      </c>
      <c r="AD515" s="107" t="s">
        <v>1451</v>
      </c>
      <c r="AE515" s="104">
        <v>10</v>
      </c>
      <c r="AF515" s="105">
        <v>25</v>
      </c>
      <c r="AG515" s="104">
        <v>0.48</v>
      </c>
      <c r="AH515" s="102">
        <v>0.9</v>
      </c>
      <c r="AI515" s="105">
        <v>0.5</v>
      </c>
      <c r="AJ515" s="104">
        <v>4</v>
      </c>
      <c r="AK515" s="102">
        <v>8</v>
      </c>
      <c r="AL515" s="102">
        <v>6</v>
      </c>
      <c r="AM515" s="105">
        <v>0</v>
      </c>
      <c r="AN515" s="104">
        <v>3</v>
      </c>
      <c r="AO515" s="102">
        <v>24</v>
      </c>
      <c r="AP515" s="102">
        <v>12</v>
      </c>
      <c r="AQ515" s="105">
        <v>0</v>
      </c>
      <c r="AR515" s="108" t="s">
        <v>1454</v>
      </c>
    </row>
    <row r="516" ht="66" spans="1:44">
      <c r="A516" s="100">
        <v>11008511</v>
      </c>
      <c r="B516" s="101">
        <v>110</v>
      </c>
      <c r="C516" s="102">
        <v>4</v>
      </c>
      <c r="D516" s="103" t="s">
        <v>1455</v>
      </c>
      <c r="F516" s="103" t="s">
        <v>1212</v>
      </c>
      <c r="G516" s="103">
        <v>2</v>
      </c>
      <c r="H516" s="103">
        <v>2</v>
      </c>
      <c r="I516" s="104" t="s">
        <v>50</v>
      </c>
      <c r="J516" s="102" t="s">
        <v>246</v>
      </c>
      <c r="K516" s="102">
        <v>29</v>
      </c>
      <c r="L516" s="103">
        <v>-1</v>
      </c>
      <c r="M516" s="104">
        <v>40</v>
      </c>
      <c r="N516" s="102">
        <v>38</v>
      </c>
      <c r="O516" s="102">
        <v>79</v>
      </c>
      <c r="P516" s="102">
        <v>55</v>
      </c>
      <c r="Q516" s="104">
        <f>_xlfn.FLOOR.MATH(33+0.4*B516)</f>
        <v>77</v>
      </c>
      <c r="R516" s="102">
        <f>_xlfn.FLOOR.MATH(7+0.25*B516)</f>
        <v>34</v>
      </c>
      <c r="S516" s="102">
        <f>_xlfn.FLOOR.MATH(46+0.4*B516)</f>
        <v>90</v>
      </c>
      <c r="T516" s="105">
        <f>_xlfn.FLOOR.MATH(33+0.55*B516)</f>
        <v>93</v>
      </c>
      <c r="U516" s="102">
        <v>10</v>
      </c>
      <c r="V516" s="102">
        <v>36</v>
      </c>
      <c r="W516" s="106" t="s">
        <v>115</v>
      </c>
      <c r="Y516" s="102" t="s">
        <v>241</v>
      </c>
      <c r="Z516" s="102" t="s">
        <v>128</v>
      </c>
      <c r="AA516" s="104">
        <v>0</v>
      </c>
      <c r="AB516" s="105">
        <v>0</v>
      </c>
      <c r="AC516" s="104">
        <v>3</v>
      </c>
      <c r="AD516" s="107" t="s">
        <v>1451</v>
      </c>
      <c r="AE516" s="104">
        <v>10</v>
      </c>
      <c r="AF516" s="105">
        <v>25</v>
      </c>
      <c r="AG516" s="104">
        <v>0.48</v>
      </c>
      <c r="AH516" s="102">
        <v>0.9</v>
      </c>
      <c r="AI516" s="105">
        <v>0.5</v>
      </c>
      <c r="AJ516" s="104">
        <v>4</v>
      </c>
      <c r="AK516" s="102">
        <v>8</v>
      </c>
      <c r="AL516" s="102">
        <v>6</v>
      </c>
      <c r="AM516" s="105">
        <v>0</v>
      </c>
      <c r="AN516" s="104">
        <v>3</v>
      </c>
      <c r="AO516" s="102">
        <v>24</v>
      </c>
      <c r="AP516" s="102">
        <v>13</v>
      </c>
      <c r="AQ516" s="105">
        <v>0</v>
      </c>
      <c r="AR516" s="108" t="s">
        <v>1456</v>
      </c>
    </row>
    <row r="517" ht="66" spans="1:44">
      <c r="A517" s="100">
        <v>11008611</v>
      </c>
      <c r="B517" s="101">
        <v>110</v>
      </c>
      <c r="C517" s="102">
        <v>3</v>
      </c>
      <c r="D517" s="103" t="s">
        <v>1457</v>
      </c>
      <c r="F517" s="103" t="s">
        <v>1212</v>
      </c>
      <c r="G517" s="103">
        <v>2</v>
      </c>
      <c r="H517" s="103">
        <v>2</v>
      </c>
      <c r="I517" s="104" t="s">
        <v>50</v>
      </c>
      <c r="J517" s="102" t="s">
        <v>246</v>
      </c>
      <c r="K517" s="102">
        <v>32</v>
      </c>
      <c r="L517" s="103">
        <v>0</v>
      </c>
      <c r="M517" s="104">
        <v>46</v>
      </c>
      <c r="N517" s="102">
        <v>40</v>
      </c>
      <c r="O517" s="102">
        <v>77</v>
      </c>
      <c r="P517" s="102">
        <v>60</v>
      </c>
      <c r="Q517" s="104">
        <f>_xlfn.FLOOR.MATH(45+0.4*B517)</f>
        <v>89</v>
      </c>
      <c r="R517" s="102">
        <f>_xlfn.FLOOR.MATH(10+0.25*B517)</f>
        <v>37</v>
      </c>
      <c r="S517" s="102">
        <f>_xlfn.FLOOR.MATH(45+0.4*B517)</f>
        <v>89</v>
      </c>
      <c r="T517" s="105">
        <f>_xlfn.FLOOR.MATH(32+0.55*B517)</f>
        <v>92</v>
      </c>
      <c r="U517" s="102">
        <v>15</v>
      </c>
      <c r="V517" s="102">
        <v>35.5</v>
      </c>
      <c r="W517" s="106" t="s">
        <v>115</v>
      </c>
      <c r="Y517" s="102" t="s">
        <v>241</v>
      </c>
      <c r="Z517" s="102" t="s">
        <v>128</v>
      </c>
      <c r="AA517" s="104">
        <v>0</v>
      </c>
      <c r="AB517" s="105">
        <v>0</v>
      </c>
      <c r="AC517" s="104">
        <v>3</v>
      </c>
      <c r="AD517" s="107" t="s">
        <v>1458</v>
      </c>
      <c r="AE517" s="104">
        <v>10</v>
      </c>
      <c r="AF517" s="105">
        <v>25</v>
      </c>
      <c r="AG517" s="104">
        <v>0.48</v>
      </c>
      <c r="AH517" s="102">
        <v>0.9</v>
      </c>
      <c r="AI517" s="105">
        <v>0.5</v>
      </c>
      <c r="AJ517" s="104">
        <v>4</v>
      </c>
      <c r="AK517" s="102">
        <v>8</v>
      </c>
      <c r="AL517" s="102">
        <v>6</v>
      </c>
      <c r="AM517" s="105">
        <v>0</v>
      </c>
      <c r="AN517" s="104">
        <v>3</v>
      </c>
      <c r="AO517" s="102">
        <v>22</v>
      </c>
      <c r="AP517" s="102">
        <v>15</v>
      </c>
      <c r="AQ517" s="105">
        <v>0</v>
      </c>
      <c r="AR517" s="108" t="s">
        <v>1459</v>
      </c>
    </row>
    <row r="518" ht="52.8" spans="1:44">
      <c r="A518" s="100">
        <v>11008711</v>
      </c>
      <c r="B518" s="101">
        <v>110</v>
      </c>
      <c r="C518" s="102">
        <v>3</v>
      </c>
      <c r="D518" s="103" t="s">
        <v>1460</v>
      </c>
      <c r="F518" s="103" t="s">
        <v>1212</v>
      </c>
      <c r="G518" s="103">
        <v>2</v>
      </c>
      <c r="H518" s="103">
        <v>2</v>
      </c>
      <c r="I518" s="104" t="s">
        <v>50</v>
      </c>
      <c r="J518" s="102" t="s">
        <v>246</v>
      </c>
      <c r="K518" s="102">
        <v>32</v>
      </c>
      <c r="L518" s="103">
        <v>0</v>
      </c>
      <c r="M518" s="104">
        <v>46</v>
      </c>
      <c r="N518" s="102">
        <v>41</v>
      </c>
      <c r="O518" s="102">
        <v>79</v>
      </c>
      <c r="P518" s="102">
        <v>65</v>
      </c>
      <c r="Q518" s="104">
        <f>_xlfn.FLOOR.MATH(45+0.4*B518)</f>
        <v>89</v>
      </c>
      <c r="R518" s="102">
        <f>_xlfn.FLOOR.MATH(10+0.25*B518)</f>
        <v>37</v>
      </c>
      <c r="S518" s="102">
        <f>_xlfn.FLOOR.MATH(45+0.4*B518)</f>
        <v>89</v>
      </c>
      <c r="T518" s="105">
        <f>_xlfn.FLOOR.MATH(32+0.55*B518)</f>
        <v>92</v>
      </c>
      <c r="U518" s="102">
        <v>22</v>
      </c>
      <c r="V518" s="102">
        <v>35.5</v>
      </c>
      <c r="W518" s="106" t="s">
        <v>115</v>
      </c>
      <c r="Y518" s="102" t="s">
        <v>241</v>
      </c>
      <c r="Z518" s="102" t="s">
        <v>128</v>
      </c>
      <c r="AA518" s="104">
        <v>0</v>
      </c>
      <c r="AB518" s="105">
        <v>0</v>
      </c>
      <c r="AC518" s="104">
        <v>3</v>
      </c>
      <c r="AD518" s="107" t="s">
        <v>1458</v>
      </c>
      <c r="AE518" s="104">
        <v>10</v>
      </c>
      <c r="AF518" s="105">
        <v>25</v>
      </c>
      <c r="AG518" s="104">
        <v>0.48</v>
      </c>
      <c r="AH518" s="102">
        <v>0.9</v>
      </c>
      <c r="AI518" s="105">
        <v>0.5</v>
      </c>
      <c r="AJ518" s="104">
        <v>4</v>
      </c>
      <c r="AK518" s="102">
        <v>8</v>
      </c>
      <c r="AL518" s="102">
        <v>6</v>
      </c>
      <c r="AM518" s="105">
        <v>0</v>
      </c>
      <c r="AN518" s="104">
        <v>3</v>
      </c>
      <c r="AO518" s="102">
        <v>24</v>
      </c>
      <c r="AP518" s="102">
        <v>16</v>
      </c>
      <c r="AQ518" s="105">
        <v>0</v>
      </c>
      <c r="AR518" s="108" t="s">
        <v>1461</v>
      </c>
    </row>
    <row r="519" ht="26.4" spans="1:44">
      <c r="A519" s="100">
        <v>11008811</v>
      </c>
      <c r="B519" s="101">
        <v>110</v>
      </c>
      <c r="C519" s="102">
        <v>3</v>
      </c>
      <c r="D519" s="103" t="s">
        <v>1462</v>
      </c>
      <c r="F519" s="103" t="s">
        <v>1212</v>
      </c>
      <c r="G519" s="103">
        <v>2</v>
      </c>
      <c r="H519" s="103">
        <v>3</v>
      </c>
      <c r="I519" s="104" t="s">
        <v>50</v>
      </c>
      <c r="J519" s="102" t="s">
        <v>246</v>
      </c>
      <c r="K519" s="102">
        <v>32</v>
      </c>
      <c r="L519" s="103">
        <v>0</v>
      </c>
      <c r="M519" s="104">
        <v>46</v>
      </c>
      <c r="N519" s="102">
        <v>40</v>
      </c>
      <c r="O519" s="102">
        <v>77</v>
      </c>
      <c r="P519" s="102">
        <v>62</v>
      </c>
      <c r="Q519" s="104">
        <f>_xlfn.FLOOR.MATH(45+0.4*B519)</f>
        <v>89</v>
      </c>
      <c r="R519" s="102">
        <f>_xlfn.FLOOR.MATH(10+0.25*B519)</f>
        <v>37</v>
      </c>
      <c r="S519" s="102">
        <f>_xlfn.FLOOR.MATH(45+0.4*B519)</f>
        <v>89</v>
      </c>
      <c r="T519" s="105">
        <f>_xlfn.FLOOR.MATH(32+0.55*B519)</f>
        <v>92</v>
      </c>
      <c r="U519" s="102">
        <v>10</v>
      </c>
      <c r="V519" s="102">
        <v>35.5</v>
      </c>
      <c r="W519" s="106" t="s">
        <v>115</v>
      </c>
      <c r="Y519" s="102" t="s">
        <v>241</v>
      </c>
      <c r="Z519" s="102" t="s">
        <v>128</v>
      </c>
      <c r="AA519" s="104">
        <v>0</v>
      </c>
      <c r="AB519" s="105">
        <v>0</v>
      </c>
      <c r="AC519" s="104">
        <v>3</v>
      </c>
      <c r="AD519" s="107" t="s">
        <v>754</v>
      </c>
      <c r="AE519" s="104">
        <v>10</v>
      </c>
      <c r="AF519" s="105">
        <v>25</v>
      </c>
      <c r="AG519" s="104">
        <v>0.48</v>
      </c>
      <c r="AH519" s="102">
        <v>0.9</v>
      </c>
      <c r="AI519" s="105">
        <v>0.5</v>
      </c>
      <c r="AJ519" s="104">
        <v>4</v>
      </c>
      <c r="AK519" s="102">
        <v>8</v>
      </c>
      <c r="AL519" s="102">
        <v>6</v>
      </c>
      <c r="AM519" s="105">
        <v>0</v>
      </c>
      <c r="AN519" s="104">
        <v>3</v>
      </c>
      <c r="AO519" s="102">
        <v>22</v>
      </c>
      <c r="AP519" s="102">
        <v>15</v>
      </c>
      <c r="AQ519" s="105">
        <v>0</v>
      </c>
      <c r="AR519" s="108" t="s">
        <v>1463</v>
      </c>
    </row>
    <row r="520" ht="66" spans="1:44">
      <c r="A520" s="100">
        <v>11008911</v>
      </c>
      <c r="B520" s="101">
        <v>110</v>
      </c>
      <c r="C520" s="102">
        <v>4</v>
      </c>
      <c r="D520" s="103" t="s">
        <v>1464</v>
      </c>
      <c r="F520" s="103" t="s">
        <v>1212</v>
      </c>
      <c r="G520" s="103">
        <v>3</v>
      </c>
      <c r="H520" s="103">
        <v>4</v>
      </c>
      <c r="I520" s="104" t="s">
        <v>86</v>
      </c>
      <c r="J520" s="102" t="s">
        <v>246</v>
      </c>
      <c r="K520" s="102">
        <v>32</v>
      </c>
      <c r="L520" s="103">
        <v>0</v>
      </c>
      <c r="M520" s="104">
        <v>41</v>
      </c>
      <c r="N520" s="102">
        <v>39</v>
      </c>
      <c r="O520" s="102">
        <v>83</v>
      </c>
      <c r="P520" s="102">
        <v>80</v>
      </c>
      <c r="Q520" s="104">
        <f>_xlfn.FLOOR.MATH(40+0.4*B520)</f>
        <v>84</v>
      </c>
      <c r="R520" s="102">
        <f>_xlfn.FLOOR.MATH(10+0.25*B520)</f>
        <v>37</v>
      </c>
      <c r="S520" s="102">
        <f>_xlfn.FLOOR.MATH(43+0.44*B520)</f>
        <v>91</v>
      </c>
      <c r="T520" s="105">
        <f>_xlfn.FLOOR.MATH(33+0.55*B520)</f>
        <v>93</v>
      </c>
      <c r="U520" s="102">
        <v>22</v>
      </c>
      <c r="V520" s="102">
        <v>37</v>
      </c>
      <c r="W520" s="106" t="s">
        <v>115</v>
      </c>
      <c r="Y520" s="102" t="s">
        <v>241</v>
      </c>
      <c r="Z520" s="102" t="s">
        <v>128</v>
      </c>
      <c r="AA520" s="104">
        <v>0</v>
      </c>
      <c r="AB520" s="105">
        <v>0</v>
      </c>
      <c r="AC520" s="104">
        <v>3</v>
      </c>
      <c r="AD520" s="107" t="s">
        <v>1465</v>
      </c>
      <c r="AE520" s="104">
        <v>15</v>
      </c>
      <c r="AF520" s="105">
        <v>25</v>
      </c>
      <c r="AG520" s="104">
        <v>0.48</v>
      </c>
      <c r="AH520" s="102">
        <v>0.9</v>
      </c>
      <c r="AI520" s="105">
        <v>0.4</v>
      </c>
      <c r="AJ520" s="104">
        <v>4</v>
      </c>
      <c r="AK520" s="102">
        <v>8</v>
      </c>
      <c r="AL520" s="102">
        <v>6</v>
      </c>
      <c r="AM520" s="105">
        <v>0</v>
      </c>
      <c r="AN520" s="104">
        <v>0</v>
      </c>
      <c r="AO520" s="102">
        <v>28</v>
      </c>
      <c r="AP520" s="102">
        <v>14</v>
      </c>
      <c r="AQ520" s="105">
        <v>20</v>
      </c>
      <c r="AR520" s="108" t="s">
        <v>1466</v>
      </c>
    </row>
    <row r="521" ht="26.4" spans="1:44">
      <c r="A521" s="100">
        <v>11009211</v>
      </c>
      <c r="B521" s="101">
        <v>110</v>
      </c>
      <c r="C521" s="102">
        <v>3</v>
      </c>
      <c r="D521" s="103" t="s">
        <v>1467</v>
      </c>
      <c r="F521" s="103" t="s">
        <v>1212</v>
      </c>
      <c r="G521" s="103">
        <v>2</v>
      </c>
      <c r="H521" s="103">
        <v>2</v>
      </c>
      <c r="I521" s="104" t="s">
        <v>86</v>
      </c>
      <c r="J521" s="102" t="s">
        <v>246</v>
      </c>
      <c r="K521" s="102">
        <v>32</v>
      </c>
      <c r="L521" s="103">
        <v>0</v>
      </c>
      <c r="M521" s="104">
        <v>41</v>
      </c>
      <c r="N521" s="102">
        <v>39</v>
      </c>
      <c r="O521" s="102">
        <v>83</v>
      </c>
      <c r="P521" s="102">
        <v>85</v>
      </c>
      <c r="Q521" s="104">
        <f>_xlfn.FLOOR.MATH(55+0.55*B521)</f>
        <v>115</v>
      </c>
      <c r="R521" s="102">
        <f>_xlfn.FLOOR.MATH(10+0.3*B521)</f>
        <v>43</v>
      </c>
      <c r="S521" s="102">
        <f>_xlfn.FLOOR.MATH(43+0.44*B521)</f>
        <v>91</v>
      </c>
      <c r="T521" s="105">
        <f>_xlfn.FLOOR.MATH(32+0.55*B521)</f>
        <v>92</v>
      </c>
      <c r="U521" s="102">
        <v>20</v>
      </c>
      <c r="V521" s="102">
        <v>37</v>
      </c>
      <c r="W521" s="106" t="s">
        <v>115</v>
      </c>
      <c r="Y521" s="102" t="s">
        <v>241</v>
      </c>
      <c r="Z521" s="102" t="s">
        <v>128</v>
      </c>
      <c r="AA521" s="104">
        <v>0</v>
      </c>
      <c r="AB521" s="105">
        <v>0</v>
      </c>
      <c r="AC521" s="104">
        <v>3</v>
      </c>
      <c r="AD521" s="107" t="s">
        <v>1468</v>
      </c>
      <c r="AE521" s="104">
        <v>15</v>
      </c>
      <c r="AF521" s="105">
        <v>25</v>
      </c>
      <c r="AG521" s="104">
        <v>0.48</v>
      </c>
      <c r="AH521" s="102">
        <v>0.9</v>
      </c>
      <c r="AI521" s="105">
        <v>0.4</v>
      </c>
      <c r="AJ521" s="104">
        <v>4</v>
      </c>
      <c r="AK521" s="102">
        <v>8</v>
      </c>
      <c r="AL521" s="102">
        <v>6</v>
      </c>
      <c r="AM521" s="105">
        <v>0</v>
      </c>
      <c r="AN521" s="104">
        <v>0</v>
      </c>
      <c r="AO521" s="102">
        <v>28</v>
      </c>
      <c r="AP521" s="102">
        <v>14</v>
      </c>
      <c r="AQ521" s="105">
        <v>25</v>
      </c>
      <c r="AR521" s="108" t="s">
        <v>1469</v>
      </c>
    </row>
    <row r="522" ht="66" spans="1:45">
      <c r="A522" s="100">
        <v>11009311</v>
      </c>
      <c r="B522" s="101">
        <v>110</v>
      </c>
      <c r="C522" s="102">
        <v>4</v>
      </c>
      <c r="D522" s="103" t="s">
        <v>1470</v>
      </c>
      <c r="F522" s="103" t="s">
        <v>1212</v>
      </c>
      <c r="G522" s="103">
        <v>2</v>
      </c>
      <c r="H522" s="103">
        <v>3</v>
      </c>
      <c r="I522" s="104" t="s">
        <v>86</v>
      </c>
      <c r="J522" s="102" t="s">
        <v>246</v>
      </c>
      <c r="K522" s="102">
        <v>35</v>
      </c>
      <c r="L522" s="103">
        <v>1</v>
      </c>
      <c r="M522" s="104">
        <v>43</v>
      </c>
      <c r="N522" s="102">
        <v>40</v>
      </c>
      <c r="O522" s="102">
        <v>83</v>
      </c>
      <c r="P522" s="102">
        <v>75</v>
      </c>
      <c r="Q522" s="104">
        <f>_xlfn.FLOOR.MATH(40+0.4*B522)</f>
        <v>84</v>
      </c>
      <c r="R522" s="102">
        <f>_xlfn.FLOOR.MATH(10+0.3*B522)</f>
        <v>43</v>
      </c>
      <c r="S522" s="102">
        <f>_xlfn.FLOOR.MATH(42+0.4*B522)</f>
        <v>86</v>
      </c>
      <c r="T522" s="105">
        <f>_xlfn.FLOOR.MATH(33+0.55*B522)</f>
        <v>93</v>
      </c>
      <c r="U522" s="102">
        <v>20</v>
      </c>
      <c r="V522" s="102">
        <v>35</v>
      </c>
      <c r="W522" s="106" t="s">
        <v>115</v>
      </c>
      <c r="Y522" s="102" t="s">
        <v>241</v>
      </c>
      <c r="Z522" s="102" t="s">
        <v>128</v>
      </c>
      <c r="AA522" s="104">
        <v>0</v>
      </c>
      <c r="AB522" s="105">
        <v>0</v>
      </c>
      <c r="AC522" s="104">
        <v>3</v>
      </c>
      <c r="AD522" s="107" t="s">
        <v>1471</v>
      </c>
      <c r="AE522" s="104">
        <v>15</v>
      </c>
      <c r="AF522" s="105">
        <v>25</v>
      </c>
      <c r="AG522" s="104">
        <v>0.48</v>
      </c>
      <c r="AH522" s="102">
        <v>0.9</v>
      </c>
      <c r="AI522" s="105">
        <v>0.4</v>
      </c>
      <c r="AJ522" s="104">
        <v>4</v>
      </c>
      <c r="AK522" s="102">
        <v>8</v>
      </c>
      <c r="AL522" s="102">
        <v>6</v>
      </c>
      <c r="AM522" s="105">
        <v>0</v>
      </c>
      <c r="AN522" s="104">
        <v>0</v>
      </c>
      <c r="AO522" s="102">
        <v>28</v>
      </c>
      <c r="AP522" s="102">
        <v>15</v>
      </c>
      <c r="AQ522" s="105">
        <v>15</v>
      </c>
      <c r="AR522" s="108" t="s">
        <v>1469</v>
      </c>
      <c r="AS522" s="109" t="s">
        <v>1472</v>
      </c>
    </row>
    <row r="523" ht="39.6" spans="1:44">
      <c r="A523" s="100">
        <v>11009711</v>
      </c>
      <c r="B523" s="101">
        <v>110</v>
      </c>
      <c r="C523" s="102">
        <v>5</v>
      </c>
      <c r="D523" s="103" t="s">
        <v>1473</v>
      </c>
      <c r="F523" s="103" t="s">
        <v>1212</v>
      </c>
      <c r="G523" s="103">
        <v>5</v>
      </c>
      <c r="H523" s="103">
        <v>5</v>
      </c>
      <c r="I523" s="104" t="s">
        <v>233</v>
      </c>
      <c r="J523" s="102" t="s">
        <v>891</v>
      </c>
      <c r="K523" s="102">
        <v>33</v>
      </c>
      <c r="L523" s="103">
        <v>-1</v>
      </c>
      <c r="M523" s="104">
        <v>42</v>
      </c>
      <c r="N523" s="102">
        <v>40</v>
      </c>
      <c r="O523" s="102">
        <v>1</v>
      </c>
      <c r="P523" s="102">
        <v>60</v>
      </c>
      <c r="Q523" s="104">
        <f>_xlfn.FLOOR.MATH(0+0*B523)</f>
        <v>0</v>
      </c>
      <c r="R523" s="102">
        <f>_xlfn.FLOOR.MATH(15+0.25*B523)</f>
        <v>42</v>
      </c>
      <c r="S523" s="102">
        <f>_xlfn.FLOOR.MATH(45+0.4*B523)</f>
        <v>89</v>
      </c>
      <c r="T523" s="105">
        <f>_xlfn.FLOOR.MATH(42+0.54*B523)</f>
        <v>101</v>
      </c>
      <c r="U523" s="102">
        <v>25</v>
      </c>
      <c r="V523" s="102">
        <v>39</v>
      </c>
      <c r="W523" s="106" t="s">
        <v>115</v>
      </c>
      <c r="Y523" s="102" t="s">
        <v>241</v>
      </c>
      <c r="Z523" s="102" t="s">
        <v>55</v>
      </c>
      <c r="AA523" s="104">
        <v>0</v>
      </c>
      <c r="AB523" s="105">
        <v>0</v>
      </c>
      <c r="AC523" s="104">
        <v>3</v>
      </c>
      <c r="AD523" s="107" t="s">
        <v>1195</v>
      </c>
      <c r="AE523" s="104">
        <v>25</v>
      </c>
      <c r="AF523" s="105">
        <v>65</v>
      </c>
      <c r="AG523" s="104">
        <v>0.48</v>
      </c>
      <c r="AH523" s="102">
        <v>1.5</v>
      </c>
      <c r="AI523" s="105">
        <v>0.8</v>
      </c>
      <c r="AJ523" s="104">
        <v>8</v>
      </c>
      <c r="AK523" s="102">
        <v>12</v>
      </c>
      <c r="AL523" s="102">
        <v>10</v>
      </c>
      <c r="AM523" s="105">
        <v>16</v>
      </c>
      <c r="AN523" s="104">
        <v>17</v>
      </c>
      <c r="AO523" s="102">
        <v>1</v>
      </c>
      <c r="AP523" s="102">
        <v>15</v>
      </c>
      <c r="AQ523" s="105">
        <v>30</v>
      </c>
      <c r="AR523" s="108" t="s">
        <v>1474</v>
      </c>
    </row>
    <row r="524" ht="52.8" spans="1:44">
      <c r="A524" s="100">
        <v>11009811</v>
      </c>
      <c r="B524" s="101">
        <v>110</v>
      </c>
      <c r="C524" s="102">
        <v>3</v>
      </c>
      <c r="D524" s="103" t="s">
        <v>1475</v>
      </c>
      <c r="F524" s="103" t="s">
        <v>1212</v>
      </c>
      <c r="G524" s="103">
        <v>2</v>
      </c>
      <c r="H524" s="103">
        <v>3</v>
      </c>
      <c r="I524" s="104" t="s">
        <v>330</v>
      </c>
      <c r="J524" s="102" t="s">
        <v>246</v>
      </c>
      <c r="K524" s="102">
        <v>35</v>
      </c>
      <c r="L524" s="103">
        <v>1</v>
      </c>
      <c r="M524" s="104">
        <v>40</v>
      </c>
      <c r="N524" s="102">
        <v>32</v>
      </c>
      <c r="O524" s="102">
        <v>77</v>
      </c>
      <c r="P524" s="102">
        <v>45</v>
      </c>
      <c r="Q524" s="104">
        <f>_xlfn.FLOOR.MATH(32+0.4*B524)</f>
        <v>76</v>
      </c>
      <c r="R524" s="102">
        <f>_xlfn.FLOOR.MATH(10+0.25*B524)</f>
        <v>37</v>
      </c>
      <c r="S524" s="102">
        <f>_xlfn.FLOOR.MATH(50+0.4*B524)</f>
        <v>94</v>
      </c>
      <c r="T524" s="105">
        <f>_xlfn.FLOOR.MATH(32+0.55*B524)</f>
        <v>92</v>
      </c>
      <c r="U524" s="102">
        <v>10</v>
      </c>
      <c r="V524" s="102">
        <v>40</v>
      </c>
      <c r="W524" s="106" t="s">
        <v>115</v>
      </c>
      <c r="Y524" s="102" t="s">
        <v>241</v>
      </c>
      <c r="Z524" s="102" t="s">
        <v>128</v>
      </c>
      <c r="AA524" s="104">
        <v>0</v>
      </c>
      <c r="AB524" s="105">
        <v>0</v>
      </c>
      <c r="AC524" s="104">
        <v>3</v>
      </c>
      <c r="AD524" s="107" t="s">
        <v>1476</v>
      </c>
      <c r="AE524" s="104">
        <v>10</v>
      </c>
      <c r="AF524" s="105">
        <v>20</v>
      </c>
      <c r="AG524" s="104">
        <v>0.48</v>
      </c>
      <c r="AH524" s="102">
        <v>0.9</v>
      </c>
      <c r="AI524" s="105">
        <v>0.5</v>
      </c>
      <c r="AJ524" s="104">
        <v>4</v>
      </c>
      <c r="AK524" s="102">
        <v>8</v>
      </c>
      <c r="AL524" s="102">
        <v>6</v>
      </c>
      <c r="AM524" s="105">
        <v>0</v>
      </c>
      <c r="AN524" s="104">
        <v>0</v>
      </c>
      <c r="AO524" s="102">
        <v>22</v>
      </c>
      <c r="AP524" s="102">
        <v>7</v>
      </c>
      <c r="AQ524" s="105">
        <v>0</v>
      </c>
      <c r="AR524" s="108" t="s">
        <v>1477</v>
      </c>
    </row>
    <row r="525" ht="26.4" spans="1:44">
      <c r="A525" s="100">
        <v>11009911</v>
      </c>
      <c r="B525" s="101">
        <v>110</v>
      </c>
      <c r="C525" s="102">
        <v>6</v>
      </c>
      <c r="D525" s="103" t="s">
        <v>1478</v>
      </c>
      <c r="F525" s="103" t="s">
        <v>1212</v>
      </c>
      <c r="G525" s="103">
        <v>3</v>
      </c>
      <c r="H525" s="103">
        <v>4</v>
      </c>
      <c r="I525" s="104" t="s">
        <v>330</v>
      </c>
      <c r="J525" s="102" t="s">
        <v>246</v>
      </c>
      <c r="K525" s="102">
        <v>37</v>
      </c>
      <c r="L525" s="103">
        <v>-1</v>
      </c>
      <c r="M525" s="104">
        <v>40</v>
      </c>
      <c r="N525" s="102">
        <v>34</v>
      </c>
      <c r="O525" s="102">
        <v>80</v>
      </c>
      <c r="P525" s="102">
        <v>60</v>
      </c>
      <c r="Q525" s="104">
        <f>_xlfn.FLOOR.MATH(40+0.4*B525)</f>
        <v>84</v>
      </c>
      <c r="R525" s="102">
        <f>_xlfn.FLOOR.MATH(12+0.25*B525)</f>
        <v>39</v>
      </c>
      <c r="S525" s="102">
        <f>_xlfn.FLOOR.MATH(70+0.5*B525)</f>
        <v>125</v>
      </c>
      <c r="T525" s="105">
        <f>_xlfn.FLOOR.MATH(35+0.55*B525)</f>
        <v>95</v>
      </c>
      <c r="U525" s="102">
        <v>10</v>
      </c>
      <c r="V525" s="102">
        <v>45</v>
      </c>
      <c r="W525" s="106" t="s">
        <v>158</v>
      </c>
      <c r="Y525" s="102" t="s">
        <v>241</v>
      </c>
      <c r="Z525" s="102" t="s">
        <v>128</v>
      </c>
      <c r="AA525" s="104">
        <v>0</v>
      </c>
      <c r="AB525" s="105">
        <v>0</v>
      </c>
      <c r="AC525" s="104">
        <v>3</v>
      </c>
      <c r="AD525" s="107" t="s">
        <v>1479</v>
      </c>
      <c r="AE525" s="104">
        <v>40</v>
      </c>
      <c r="AF525" s="105">
        <v>25</v>
      </c>
      <c r="AG525" s="104">
        <v>0.64</v>
      </c>
      <c r="AH525" s="102">
        <v>1.2</v>
      </c>
      <c r="AI525" s="105">
        <v>0.5</v>
      </c>
      <c r="AJ525" s="104">
        <v>4</v>
      </c>
      <c r="AK525" s="102">
        <v>8</v>
      </c>
      <c r="AL525" s="102">
        <v>6</v>
      </c>
      <c r="AM525" s="105">
        <v>0</v>
      </c>
      <c r="AN525" s="104">
        <v>0</v>
      </c>
      <c r="AO525" s="102">
        <v>25</v>
      </c>
      <c r="AP525" s="102">
        <v>9</v>
      </c>
      <c r="AQ525" s="105">
        <v>0</v>
      </c>
      <c r="AR525" s="108" t="s">
        <v>1480</v>
      </c>
    </row>
    <row r="526" ht="52.8" spans="1:45">
      <c r="A526" s="100">
        <v>11010113</v>
      </c>
      <c r="B526" s="101">
        <v>110</v>
      </c>
      <c r="C526" s="102">
        <v>5</v>
      </c>
      <c r="D526" s="103" t="s">
        <v>1481</v>
      </c>
      <c r="E526" s="103" t="s">
        <v>1482</v>
      </c>
      <c r="F526" s="103" t="s">
        <v>1212</v>
      </c>
      <c r="G526" s="103">
        <v>4</v>
      </c>
      <c r="H526" s="103">
        <v>4</v>
      </c>
      <c r="I526" s="104" t="s">
        <v>60</v>
      </c>
      <c r="J526" s="102" t="s">
        <v>61</v>
      </c>
      <c r="K526" s="102">
        <v>80</v>
      </c>
      <c r="L526" s="103">
        <v>0</v>
      </c>
      <c r="M526" s="104">
        <v>112</v>
      </c>
      <c r="N526" s="102">
        <v>99</v>
      </c>
      <c r="O526" s="102">
        <v>0</v>
      </c>
      <c r="P526" s="102">
        <v>63</v>
      </c>
      <c r="Q526" s="104">
        <f>_xlfn.FLOOR.MATH(0+0*B526)</f>
        <v>0</v>
      </c>
      <c r="R526" s="102">
        <f>_xlfn.FLOOR.MATH(22+0.25*B526)</f>
        <v>49</v>
      </c>
      <c r="S526" s="102">
        <f>_xlfn.FLOOR.MATH(29+0.23*B526)</f>
        <v>54</v>
      </c>
      <c r="T526" s="105">
        <f>_xlfn.FLOOR.MATH(45+0.51*B526)</f>
        <v>101</v>
      </c>
      <c r="U526" s="102">
        <v>22</v>
      </c>
      <c r="V526" s="102">
        <v>25</v>
      </c>
      <c r="W526" s="106" t="s">
        <v>52</v>
      </c>
      <c r="Y526" s="102" t="s">
        <v>54</v>
      </c>
      <c r="Z526" s="102" t="s">
        <v>55</v>
      </c>
      <c r="AA526" s="104" t="s">
        <v>56</v>
      </c>
      <c r="AB526" s="105">
        <v>12</v>
      </c>
      <c r="AC526" s="104">
        <v>4</v>
      </c>
      <c r="AD526" s="107" t="s">
        <v>1483</v>
      </c>
      <c r="AE526" s="104">
        <v>95</v>
      </c>
      <c r="AF526" s="105">
        <v>130</v>
      </c>
      <c r="AG526" s="104">
        <v>3.2</v>
      </c>
      <c r="AH526" s="102">
        <v>6</v>
      </c>
      <c r="AI526" s="105">
        <v>1</v>
      </c>
      <c r="AJ526" s="104">
        <v>50</v>
      </c>
      <c r="AK526" s="102">
        <v>60</v>
      </c>
      <c r="AL526" s="102">
        <v>60</v>
      </c>
      <c r="AM526" s="105">
        <v>0</v>
      </c>
      <c r="AN526" s="104">
        <v>87</v>
      </c>
      <c r="AO526" s="102">
        <v>0</v>
      </c>
      <c r="AP526" s="102">
        <v>79</v>
      </c>
      <c r="AQ526" s="105">
        <v>17</v>
      </c>
      <c r="AR526" s="108" t="s">
        <v>1241</v>
      </c>
      <c r="AS526" s="109" t="s">
        <v>1220</v>
      </c>
    </row>
    <row r="527" ht="79.2" spans="1:44">
      <c r="A527" s="100">
        <v>11010513</v>
      </c>
      <c r="B527" s="101">
        <v>110</v>
      </c>
      <c r="C527" s="102">
        <v>6</v>
      </c>
      <c r="D527" s="103" t="s">
        <v>1484</v>
      </c>
      <c r="F527" s="103" t="s">
        <v>1212</v>
      </c>
      <c r="G527" s="103">
        <v>4</v>
      </c>
      <c r="H527" s="103">
        <v>4</v>
      </c>
      <c r="I527" s="104" t="s">
        <v>50</v>
      </c>
      <c r="J527" s="102" t="s">
        <v>61</v>
      </c>
      <c r="K527" s="102">
        <v>90</v>
      </c>
      <c r="L527" s="103">
        <v>2</v>
      </c>
      <c r="M527" s="104">
        <v>96</v>
      </c>
      <c r="N527" s="102">
        <v>101</v>
      </c>
      <c r="O527" s="102">
        <v>0</v>
      </c>
      <c r="P527" s="102">
        <v>115</v>
      </c>
      <c r="Q527" s="104">
        <f>_xlfn.FLOOR.MATH(0+0*B527)</f>
        <v>0</v>
      </c>
      <c r="R527" s="102">
        <f>_xlfn.FLOOR.MATH(23+0.25*B527)</f>
        <v>50</v>
      </c>
      <c r="S527" s="102">
        <f>_xlfn.FLOOR.MATH(31+0.23*B527)</f>
        <v>56</v>
      </c>
      <c r="T527" s="105">
        <f>_xlfn.FLOOR.MATH(46+0.51*B527)</f>
        <v>102</v>
      </c>
      <c r="U527" s="102">
        <v>15</v>
      </c>
      <c r="V527" s="102">
        <v>30</v>
      </c>
      <c r="W527" s="106" t="s">
        <v>52</v>
      </c>
      <c r="Y527" s="102" t="s">
        <v>54</v>
      </c>
      <c r="Z527" s="102" t="s">
        <v>55</v>
      </c>
      <c r="AA527" s="104" t="s">
        <v>56</v>
      </c>
      <c r="AB527" s="105">
        <v>12</v>
      </c>
      <c r="AC527" s="104">
        <v>4</v>
      </c>
      <c r="AD527" s="107" t="s">
        <v>1485</v>
      </c>
      <c r="AE527" s="104">
        <v>90</v>
      </c>
      <c r="AF527" s="105">
        <v>140</v>
      </c>
      <c r="AG527" s="104">
        <v>4.2</v>
      </c>
      <c r="AH527" s="102">
        <v>8</v>
      </c>
      <c r="AI527" s="105">
        <v>1</v>
      </c>
      <c r="AJ527" s="104">
        <v>50</v>
      </c>
      <c r="AK527" s="102">
        <v>60</v>
      </c>
      <c r="AL527" s="102">
        <v>60</v>
      </c>
      <c r="AM527" s="105">
        <v>0</v>
      </c>
      <c r="AN527" s="104">
        <v>81</v>
      </c>
      <c r="AO527" s="102">
        <v>0</v>
      </c>
      <c r="AP527" s="102">
        <v>81</v>
      </c>
      <c r="AQ527" s="105">
        <v>92</v>
      </c>
      <c r="AR527" s="108" t="s">
        <v>1486</v>
      </c>
    </row>
    <row r="528" ht="39.6" spans="1:44">
      <c r="A528" s="100">
        <v>11010613</v>
      </c>
      <c r="B528" s="101">
        <v>110</v>
      </c>
      <c r="C528" s="102">
        <v>4</v>
      </c>
      <c r="D528" s="103" t="s">
        <v>1487</v>
      </c>
      <c r="F528" s="103" t="s">
        <v>1212</v>
      </c>
      <c r="G528" s="103">
        <v>3</v>
      </c>
      <c r="H528" s="103">
        <v>2</v>
      </c>
      <c r="I528" s="104" t="s">
        <v>86</v>
      </c>
      <c r="J528" s="102" t="s">
        <v>61</v>
      </c>
      <c r="K528" s="102">
        <v>75</v>
      </c>
      <c r="L528" s="103">
        <v>1</v>
      </c>
      <c r="M528" s="104">
        <v>100</v>
      </c>
      <c r="N528" s="102">
        <v>96</v>
      </c>
      <c r="O528" s="102">
        <v>0</v>
      </c>
      <c r="P528" s="102">
        <v>96</v>
      </c>
      <c r="Q528" s="104">
        <f>_xlfn.FLOOR.MATH(0+0*B528)</f>
        <v>0</v>
      </c>
      <c r="R528" s="102">
        <f>_xlfn.FLOOR.MATH(20+0.25*B528)</f>
        <v>47</v>
      </c>
      <c r="S528" s="102">
        <f>_xlfn.FLOOR.MATH(20+0.22*B528)</f>
        <v>44</v>
      </c>
      <c r="T528" s="105">
        <f>_xlfn.FLOOR.MATH(44+0.51*B528)</f>
        <v>100</v>
      </c>
      <c r="U528" s="102">
        <v>20</v>
      </c>
      <c r="V528" s="102">
        <v>21</v>
      </c>
      <c r="W528" s="106" t="s">
        <v>52</v>
      </c>
      <c r="Y528" s="102" t="s">
        <v>54</v>
      </c>
      <c r="Z528" s="102" t="s">
        <v>55</v>
      </c>
      <c r="AA528" s="104" t="s">
        <v>75</v>
      </c>
      <c r="AB528" s="105">
        <v>16</v>
      </c>
      <c r="AC528" s="104">
        <v>4</v>
      </c>
      <c r="AD528" s="107" t="s">
        <v>1488</v>
      </c>
      <c r="AE528" s="104">
        <v>85</v>
      </c>
      <c r="AF528" s="105">
        <v>125</v>
      </c>
      <c r="AG528" s="104">
        <v>2.5</v>
      </c>
      <c r="AH528" s="102">
        <v>5.1</v>
      </c>
      <c r="AI528" s="105">
        <v>0.8</v>
      </c>
      <c r="AJ528" s="104">
        <v>50</v>
      </c>
      <c r="AK528" s="102">
        <v>60</v>
      </c>
      <c r="AL528" s="102">
        <v>60</v>
      </c>
      <c r="AM528" s="105">
        <v>0</v>
      </c>
      <c r="AN528" s="104">
        <v>80</v>
      </c>
      <c r="AO528" s="102">
        <v>0</v>
      </c>
      <c r="AP528" s="102">
        <v>76</v>
      </c>
      <c r="AQ528" s="105">
        <v>69</v>
      </c>
      <c r="AR528" s="108" t="s">
        <v>1489</v>
      </c>
    </row>
    <row r="529" ht="66" spans="1:44">
      <c r="A529" s="100">
        <v>11010713</v>
      </c>
      <c r="B529" s="101">
        <v>110</v>
      </c>
      <c r="C529" s="102">
        <v>4</v>
      </c>
      <c r="D529" s="103" t="s">
        <v>1490</v>
      </c>
      <c r="F529" s="103" t="s">
        <v>1212</v>
      </c>
      <c r="G529" s="103">
        <v>3</v>
      </c>
      <c r="H529" s="103">
        <v>2</v>
      </c>
      <c r="I529" s="104" t="s">
        <v>86</v>
      </c>
      <c r="J529" s="102" t="s">
        <v>61</v>
      </c>
      <c r="K529" s="102">
        <v>75</v>
      </c>
      <c r="L529" s="103">
        <v>1</v>
      </c>
      <c r="M529" s="104">
        <v>100</v>
      </c>
      <c r="N529" s="102">
        <v>96</v>
      </c>
      <c r="O529" s="102">
        <v>0</v>
      </c>
      <c r="P529" s="102">
        <v>98</v>
      </c>
      <c r="Q529" s="104">
        <f>_xlfn.FLOOR.MATH(0+0*B529)</f>
        <v>0</v>
      </c>
      <c r="R529" s="102">
        <f>_xlfn.FLOOR.MATH(20+0.25*B529)</f>
        <v>47</v>
      </c>
      <c r="S529" s="102">
        <f>_xlfn.FLOOR.MATH(20+0.22*B529)</f>
        <v>44</v>
      </c>
      <c r="T529" s="105">
        <f>_xlfn.FLOOR.MATH(44+0.51*B529)</f>
        <v>100</v>
      </c>
      <c r="U529" s="102">
        <v>21</v>
      </c>
      <c r="V529" s="102">
        <v>21</v>
      </c>
      <c r="W529" s="106" t="s">
        <v>52</v>
      </c>
      <c r="Y529" s="102" t="s">
        <v>54</v>
      </c>
      <c r="Z529" s="102" t="s">
        <v>55</v>
      </c>
      <c r="AA529" s="104" t="s">
        <v>75</v>
      </c>
      <c r="AB529" s="105">
        <v>16</v>
      </c>
      <c r="AC529" s="104">
        <v>4</v>
      </c>
      <c r="AD529" s="107" t="s">
        <v>1491</v>
      </c>
      <c r="AE529" s="104">
        <v>85</v>
      </c>
      <c r="AF529" s="105">
        <v>125</v>
      </c>
      <c r="AG529" s="104">
        <v>2.5</v>
      </c>
      <c r="AH529" s="102">
        <v>5.1</v>
      </c>
      <c r="AI529" s="105">
        <v>0.8</v>
      </c>
      <c r="AJ529" s="104">
        <v>50</v>
      </c>
      <c r="AK529" s="102">
        <v>60</v>
      </c>
      <c r="AL529" s="102">
        <v>60</v>
      </c>
      <c r="AM529" s="105">
        <v>0</v>
      </c>
      <c r="AN529" s="104">
        <v>80</v>
      </c>
      <c r="AO529" s="102">
        <v>0</v>
      </c>
      <c r="AP529" s="102">
        <v>76</v>
      </c>
      <c r="AQ529" s="105">
        <v>73</v>
      </c>
      <c r="AR529" s="108" t="s">
        <v>1492</v>
      </c>
    </row>
    <row r="530" ht="39.6" spans="1:44">
      <c r="A530" s="100">
        <v>11010813</v>
      </c>
      <c r="B530" s="101">
        <v>110</v>
      </c>
      <c r="C530" s="102">
        <v>5</v>
      </c>
      <c r="D530" s="103" t="s">
        <v>1493</v>
      </c>
      <c r="F530" s="103" t="s">
        <v>1212</v>
      </c>
      <c r="G530" s="103">
        <v>4</v>
      </c>
      <c r="H530" s="103">
        <v>4</v>
      </c>
      <c r="I530" s="104" t="s">
        <v>86</v>
      </c>
      <c r="J530" s="102" t="s">
        <v>61</v>
      </c>
      <c r="K530" s="102">
        <v>82</v>
      </c>
      <c r="L530" s="103">
        <v>2</v>
      </c>
      <c r="M530" s="104">
        <v>105</v>
      </c>
      <c r="N530" s="102">
        <v>96</v>
      </c>
      <c r="O530" s="102">
        <v>0</v>
      </c>
      <c r="P530" s="102">
        <v>92</v>
      </c>
      <c r="Q530" s="104">
        <f>_xlfn.FLOOR.MATH(0+0*B530)</f>
        <v>0</v>
      </c>
      <c r="R530" s="102">
        <f>_xlfn.FLOOR.MATH(18+0.25*B530)</f>
        <v>45</v>
      </c>
      <c r="S530" s="102">
        <f>_xlfn.FLOOR.MATH(20+0.23*B530)</f>
        <v>45</v>
      </c>
      <c r="T530" s="105">
        <f>_xlfn.FLOOR.MATH(45+0.51*B530)</f>
        <v>101</v>
      </c>
      <c r="U530" s="102">
        <v>22</v>
      </c>
      <c r="V530" s="102">
        <v>21</v>
      </c>
      <c r="W530" s="106" t="s">
        <v>52</v>
      </c>
      <c r="Y530" s="102" t="s">
        <v>54</v>
      </c>
      <c r="Z530" s="102" t="s">
        <v>55</v>
      </c>
      <c r="AA530" s="104" t="s">
        <v>75</v>
      </c>
      <c r="AB530" s="105">
        <v>16</v>
      </c>
      <c r="AC530" s="104">
        <v>4</v>
      </c>
      <c r="AD530" s="107" t="s">
        <v>1494</v>
      </c>
      <c r="AE530" s="104">
        <v>95</v>
      </c>
      <c r="AF530" s="105">
        <v>140</v>
      </c>
      <c r="AG530" s="104">
        <v>3.2</v>
      </c>
      <c r="AH530" s="102">
        <v>6</v>
      </c>
      <c r="AI530" s="105">
        <v>0.8</v>
      </c>
      <c r="AJ530" s="104">
        <v>50</v>
      </c>
      <c r="AK530" s="102">
        <v>60</v>
      </c>
      <c r="AL530" s="102">
        <v>60</v>
      </c>
      <c r="AM530" s="105">
        <v>0</v>
      </c>
      <c r="AN530" s="104">
        <v>85</v>
      </c>
      <c r="AO530" s="102">
        <v>0</v>
      </c>
      <c r="AP530" s="102">
        <v>76</v>
      </c>
      <c r="AQ530" s="105">
        <v>63</v>
      </c>
      <c r="AR530" s="108" t="s">
        <v>1241</v>
      </c>
    </row>
    <row r="531" ht="39.6" spans="1:45">
      <c r="A531" s="100">
        <v>11010913</v>
      </c>
      <c r="B531" s="101">
        <v>110</v>
      </c>
      <c r="C531" s="102">
        <v>5</v>
      </c>
      <c r="D531" s="103" t="s">
        <v>1495</v>
      </c>
      <c r="F531" s="103" t="s">
        <v>1212</v>
      </c>
      <c r="G531" s="103">
        <v>5</v>
      </c>
      <c r="H531" s="103">
        <v>5</v>
      </c>
      <c r="I531" s="104" t="s">
        <v>86</v>
      </c>
      <c r="J531" s="102" t="s">
        <v>61</v>
      </c>
      <c r="K531" s="102">
        <v>82</v>
      </c>
      <c r="L531" s="103">
        <v>2</v>
      </c>
      <c r="M531" s="104">
        <v>105</v>
      </c>
      <c r="N531" s="102">
        <v>96</v>
      </c>
      <c r="O531" s="102">
        <v>0</v>
      </c>
      <c r="P531" s="102">
        <v>98</v>
      </c>
      <c r="Q531" s="104">
        <f>_xlfn.FLOOR.MATH(0+0*B531)</f>
        <v>0</v>
      </c>
      <c r="R531" s="102">
        <f>_xlfn.FLOOR.MATH(18+0.25*B531)</f>
        <v>45</v>
      </c>
      <c r="S531" s="102">
        <f>_xlfn.FLOOR.MATH(20+0.23*B531)</f>
        <v>45</v>
      </c>
      <c r="T531" s="105">
        <f>_xlfn.FLOOR.MATH(45+0.51*B531)</f>
        <v>101</v>
      </c>
      <c r="U531" s="102">
        <v>20</v>
      </c>
      <c r="V531" s="102">
        <v>21</v>
      </c>
      <c r="W531" s="106" t="s">
        <v>52</v>
      </c>
      <c r="Y531" s="102" t="s">
        <v>54</v>
      </c>
      <c r="Z531" s="102" t="s">
        <v>55</v>
      </c>
      <c r="AA531" s="104" t="s">
        <v>75</v>
      </c>
      <c r="AB531" s="105">
        <v>16</v>
      </c>
      <c r="AC531" s="104">
        <v>4</v>
      </c>
      <c r="AD531" s="107" t="s">
        <v>1496</v>
      </c>
      <c r="AE531" s="104">
        <v>95</v>
      </c>
      <c r="AF531" s="105">
        <v>140</v>
      </c>
      <c r="AG531" s="104">
        <v>3.2</v>
      </c>
      <c r="AH531" s="102">
        <v>6</v>
      </c>
      <c r="AI531" s="105">
        <v>0.8</v>
      </c>
      <c r="AJ531" s="104">
        <v>50</v>
      </c>
      <c r="AK531" s="102">
        <v>60</v>
      </c>
      <c r="AL531" s="102">
        <v>60</v>
      </c>
      <c r="AM531" s="105">
        <v>0</v>
      </c>
      <c r="AN531" s="104">
        <v>85</v>
      </c>
      <c r="AO531" s="102">
        <v>0</v>
      </c>
      <c r="AP531" s="102">
        <v>76</v>
      </c>
      <c r="AQ531" s="105">
        <v>73</v>
      </c>
      <c r="AR531" s="108" t="s">
        <v>1497</v>
      </c>
      <c r="AS531" s="109" t="s">
        <v>1241</v>
      </c>
    </row>
    <row r="532" ht="79.2" spans="1:45">
      <c r="A532" s="100">
        <v>11011013</v>
      </c>
      <c r="B532" s="101">
        <v>110</v>
      </c>
      <c r="C532" s="102">
        <v>5</v>
      </c>
      <c r="D532" s="103" t="s">
        <v>1498</v>
      </c>
      <c r="F532" s="103" t="s">
        <v>1212</v>
      </c>
      <c r="G532" s="103">
        <v>5</v>
      </c>
      <c r="H532" s="103">
        <v>5</v>
      </c>
      <c r="I532" s="104" t="s">
        <v>86</v>
      </c>
      <c r="J532" s="102" t="s">
        <v>61</v>
      </c>
      <c r="K532" s="102">
        <v>82</v>
      </c>
      <c r="L532" s="103">
        <v>2</v>
      </c>
      <c r="M532" s="104">
        <v>107</v>
      </c>
      <c r="N532" s="102">
        <v>100</v>
      </c>
      <c r="O532" s="102">
        <v>0</v>
      </c>
      <c r="P532" s="102">
        <v>102</v>
      </c>
      <c r="Q532" s="104">
        <f>_xlfn.FLOOR.MATH(0+0*B532)</f>
        <v>0</v>
      </c>
      <c r="R532" s="102">
        <f>_xlfn.FLOOR.MATH(20+0.25*B532)</f>
        <v>47</v>
      </c>
      <c r="S532" s="102">
        <f>_xlfn.FLOOR.MATH(20+0.23*B532)</f>
        <v>45</v>
      </c>
      <c r="T532" s="105">
        <f>_xlfn.FLOOR.MATH(45+0.51*B532)</f>
        <v>101</v>
      </c>
      <c r="U532" s="102">
        <v>22</v>
      </c>
      <c r="V532" s="102">
        <v>21</v>
      </c>
      <c r="W532" s="106" t="s">
        <v>52</v>
      </c>
      <c r="Y532" s="102" t="s">
        <v>54</v>
      </c>
      <c r="Z532" s="102" t="s">
        <v>55</v>
      </c>
      <c r="AA532" s="104" t="s">
        <v>56</v>
      </c>
      <c r="AB532" s="105">
        <v>12</v>
      </c>
      <c r="AC532" s="104">
        <v>4</v>
      </c>
      <c r="AD532" s="107" t="s">
        <v>1499</v>
      </c>
      <c r="AE532" s="104">
        <v>95</v>
      </c>
      <c r="AF532" s="105">
        <v>140</v>
      </c>
      <c r="AG532" s="104">
        <v>3.2</v>
      </c>
      <c r="AH532" s="102">
        <v>6</v>
      </c>
      <c r="AI532" s="105">
        <v>0.8</v>
      </c>
      <c r="AJ532" s="104">
        <v>50</v>
      </c>
      <c r="AK532" s="102">
        <v>60</v>
      </c>
      <c r="AL532" s="102">
        <v>60</v>
      </c>
      <c r="AM532" s="105">
        <v>0</v>
      </c>
      <c r="AN532" s="104">
        <v>87</v>
      </c>
      <c r="AO532" s="102">
        <v>0</v>
      </c>
      <c r="AP532" s="102">
        <v>80</v>
      </c>
      <c r="AQ532" s="105">
        <v>79</v>
      </c>
      <c r="AR532" s="108" t="s">
        <v>1500</v>
      </c>
      <c r="AS532" s="109" t="s">
        <v>1501</v>
      </c>
    </row>
    <row r="533" ht="52.8" spans="1:44">
      <c r="A533" s="100">
        <v>11011113</v>
      </c>
      <c r="B533" s="101">
        <v>110</v>
      </c>
      <c r="C533" s="102">
        <v>6</v>
      </c>
      <c r="D533" s="103" t="s">
        <v>1502</v>
      </c>
      <c r="F533" s="103" t="s">
        <v>1212</v>
      </c>
      <c r="G533" s="103">
        <v>4</v>
      </c>
      <c r="H533" s="103">
        <v>4</v>
      </c>
      <c r="I533" s="104" t="s">
        <v>86</v>
      </c>
      <c r="J533" s="102" t="s">
        <v>61</v>
      </c>
      <c r="K533" s="102">
        <v>79</v>
      </c>
      <c r="L533" s="103">
        <v>1</v>
      </c>
      <c r="M533" s="104">
        <v>115</v>
      </c>
      <c r="N533" s="102">
        <v>97</v>
      </c>
      <c r="O533" s="102">
        <v>0</v>
      </c>
      <c r="P533" s="102">
        <v>105</v>
      </c>
      <c r="Q533" s="104">
        <f>_xlfn.FLOOR.MATH(0+0*B533)</f>
        <v>0</v>
      </c>
      <c r="R533" s="102">
        <f>_xlfn.FLOOR.MATH(24+0.25*B533)</f>
        <v>51</v>
      </c>
      <c r="S533" s="102">
        <f>_xlfn.FLOOR.MATH(32+0.26*B533)</f>
        <v>60</v>
      </c>
      <c r="T533" s="105">
        <f>_xlfn.FLOOR.MATH(46+0.51*B533)</f>
        <v>102</v>
      </c>
      <c r="U533" s="102">
        <v>20</v>
      </c>
      <c r="V533" s="102">
        <v>28</v>
      </c>
      <c r="W533" s="106" t="s">
        <v>52</v>
      </c>
      <c r="Y533" s="102" t="s">
        <v>54</v>
      </c>
      <c r="Z533" s="102" t="s">
        <v>55</v>
      </c>
      <c r="AA533" s="104" t="s">
        <v>56</v>
      </c>
      <c r="AB533" s="105">
        <v>12</v>
      </c>
      <c r="AC533" s="104">
        <v>4</v>
      </c>
      <c r="AD533" s="107" t="s">
        <v>594</v>
      </c>
      <c r="AE533" s="104">
        <v>95</v>
      </c>
      <c r="AF533" s="105">
        <v>140</v>
      </c>
      <c r="AG533" s="104">
        <v>4.2</v>
      </c>
      <c r="AH533" s="102">
        <v>8</v>
      </c>
      <c r="AI533" s="105">
        <v>0.8</v>
      </c>
      <c r="AJ533" s="104">
        <v>50</v>
      </c>
      <c r="AK533" s="102">
        <v>60</v>
      </c>
      <c r="AL533" s="102">
        <v>60</v>
      </c>
      <c r="AM533" s="105">
        <v>0</v>
      </c>
      <c r="AN533" s="104">
        <v>95</v>
      </c>
      <c r="AO533" s="102">
        <v>0</v>
      </c>
      <c r="AP533" s="102">
        <v>77</v>
      </c>
      <c r="AQ533" s="105">
        <v>84</v>
      </c>
      <c r="AR533" s="108" t="s">
        <v>1503</v>
      </c>
    </row>
    <row r="534" ht="39.6" spans="1:44">
      <c r="A534" s="100">
        <v>11011213</v>
      </c>
      <c r="B534" s="101">
        <v>110</v>
      </c>
      <c r="C534" s="102">
        <v>6</v>
      </c>
      <c r="D534" s="103" t="s">
        <v>1504</v>
      </c>
      <c r="F534" s="103" t="s">
        <v>1212</v>
      </c>
      <c r="G534" s="103">
        <v>6</v>
      </c>
      <c r="H534" s="103">
        <v>6</v>
      </c>
      <c r="I534" s="104" t="s">
        <v>91</v>
      </c>
      <c r="J534" s="102" t="s">
        <v>61</v>
      </c>
      <c r="K534" s="102">
        <v>80</v>
      </c>
      <c r="L534" s="103">
        <v>0</v>
      </c>
      <c r="M534" s="104">
        <v>113</v>
      </c>
      <c r="N534" s="102">
        <v>104</v>
      </c>
      <c r="O534" s="102">
        <v>0</v>
      </c>
      <c r="P534" s="102">
        <v>70</v>
      </c>
      <c r="Q534" s="104">
        <f>_xlfn.FLOOR.MATH(0+0*B534)</f>
        <v>0</v>
      </c>
      <c r="R534" s="102">
        <f>_xlfn.FLOOR.MATH(19+0.2*B534)</f>
        <v>41</v>
      </c>
      <c r="S534" s="102">
        <f>_xlfn.FLOOR.MATH(38+0.23*B534)</f>
        <v>63</v>
      </c>
      <c r="T534" s="105">
        <f>_xlfn.FLOOR.MATH(46+0.51*B534)</f>
        <v>102</v>
      </c>
      <c r="U534" s="102">
        <v>20</v>
      </c>
      <c r="V534" s="102">
        <v>31</v>
      </c>
      <c r="W534" s="106" t="s">
        <v>52</v>
      </c>
      <c r="Y534" s="102" t="s">
        <v>54</v>
      </c>
      <c r="Z534" s="102" t="s">
        <v>55</v>
      </c>
      <c r="AA534" s="104" t="s">
        <v>56</v>
      </c>
      <c r="AB534" s="105">
        <v>12</v>
      </c>
      <c r="AC534" s="104">
        <v>4</v>
      </c>
      <c r="AD534" s="107" t="s">
        <v>1505</v>
      </c>
      <c r="AE534" s="104">
        <v>90</v>
      </c>
      <c r="AF534" s="105">
        <v>130</v>
      </c>
      <c r="AG534" s="104">
        <v>4.2</v>
      </c>
      <c r="AH534" s="102">
        <v>8</v>
      </c>
      <c r="AI534" s="105">
        <v>1.1</v>
      </c>
      <c r="AJ534" s="104">
        <v>50</v>
      </c>
      <c r="AK534" s="102">
        <v>60</v>
      </c>
      <c r="AL534" s="102">
        <v>60</v>
      </c>
      <c r="AM534" s="105">
        <v>0</v>
      </c>
      <c r="AN534" s="104">
        <v>93</v>
      </c>
      <c r="AO534" s="102">
        <v>0</v>
      </c>
      <c r="AP534" s="102">
        <v>84</v>
      </c>
      <c r="AQ534" s="105">
        <v>24</v>
      </c>
      <c r="AR534" s="108" t="s">
        <v>1506</v>
      </c>
    </row>
    <row r="535" ht="66" spans="1:45">
      <c r="A535" s="100">
        <v>11011313</v>
      </c>
      <c r="B535" s="101">
        <v>110</v>
      </c>
      <c r="C535" s="102">
        <v>6</v>
      </c>
      <c r="D535" s="103" t="s">
        <v>1507</v>
      </c>
      <c r="F535" s="103" t="s">
        <v>1212</v>
      </c>
      <c r="G535" s="103">
        <v>6</v>
      </c>
      <c r="H535" s="103">
        <v>6</v>
      </c>
      <c r="I535" s="104" t="s">
        <v>330</v>
      </c>
      <c r="J535" s="102" t="s">
        <v>61</v>
      </c>
      <c r="K535" s="102">
        <v>83</v>
      </c>
      <c r="L535" s="103">
        <v>1</v>
      </c>
      <c r="M535" s="104">
        <v>110</v>
      </c>
      <c r="N535" s="102">
        <v>108</v>
      </c>
      <c r="O535" s="102">
        <v>0</v>
      </c>
      <c r="P535" s="102">
        <v>102</v>
      </c>
      <c r="Q535" s="104">
        <f>_xlfn.FLOOR.MATH(0+0*B535)</f>
        <v>0</v>
      </c>
      <c r="R535" s="102">
        <f>_xlfn.FLOOR.MATH(19+0.25*B535)</f>
        <v>46</v>
      </c>
      <c r="S535" s="102">
        <f>_xlfn.FLOOR.MATH(34+0.22*B535)</f>
        <v>58</v>
      </c>
      <c r="T535" s="105">
        <f>_xlfn.FLOOR.MATH(46+0.51*B535)</f>
        <v>102</v>
      </c>
      <c r="U535" s="102">
        <v>30</v>
      </c>
      <c r="V535" s="102">
        <v>32</v>
      </c>
      <c r="W535" s="106" t="s">
        <v>52</v>
      </c>
      <c r="Y535" s="102" t="s">
        <v>54</v>
      </c>
      <c r="Z535" s="102" t="s">
        <v>55</v>
      </c>
      <c r="AA535" s="104">
        <v>0</v>
      </c>
      <c r="AB535" s="105">
        <v>0</v>
      </c>
      <c r="AC535" s="104">
        <v>4</v>
      </c>
      <c r="AD535" s="107" t="s">
        <v>1508</v>
      </c>
      <c r="AE535" s="104">
        <v>90</v>
      </c>
      <c r="AF535" s="105">
        <v>130</v>
      </c>
      <c r="AG535" s="104">
        <v>4.2</v>
      </c>
      <c r="AH535" s="102">
        <v>8</v>
      </c>
      <c r="AI535" s="105">
        <v>1</v>
      </c>
      <c r="AJ535" s="104">
        <v>50</v>
      </c>
      <c r="AK535" s="102">
        <v>60</v>
      </c>
      <c r="AL535" s="102">
        <v>60</v>
      </c>
      <c r="AM535" s="105">
        <v>0</v>
      </c>
      <c r="AN535" s="104">
        <v>85</v>
      </c>
      <c r="AO535" s="102">
        <v>0</v>
      </c>
      <c r="AP535" s="102">
        <v>88</v>
      </c>
      <c r="AQ535" s="105">
        <v>72</v>
      </c>
      <c r="AR535" s="108" t="s">
        <v>374</v>
      </c>
      <c r="AS535" s="109" t="s">
        <v>1509</v>
      </c>
    </row>
    <row r="536" ht="79.2" spans="1:44">
      <c r="A536" s="100">
        <v>11011713</v>
      </c>
      <c r="B536" s="101">
        <v>110</v>
      </c>
      <c r="C536" s="102">
        <v>6</v>
      </c>
      <c r="D536" s="103" t="s">
        <v>1510</v>
      </c>
      <c r="E536" s="103" t="s">
        <v>1511</v>
      </c>
      <c r="F536" s="103" t="s">
        <v>1212</v>
      </c>
      <c r="G536" s="103">
        <v>4</v>
      </c>
      <c r="H536" s="103">
        <v>5</v>
      </c>
      <c r="I536" s="104" t="s">
        <v>60</v>
      </c>
      <c r="J536" s="102" t="s">
        <v>380</v>
      </c>
      <c r="K536" s="102">
        <v>82</v>
      </c>
      <c r="L536" s="103">
        <v>2</v>
      </c>
      <c r="M536" s="104">
        <v>40</v>
      </c>
      <c r="N536" s="102">
        <v>85</v>
      </c>
      <c r="O536" s="102">
        <v>0</v>
      </c>
      <c r="P536" s="102">
        <v>77</v>
      </c>
      <c r="Q536" s="104">
        <f>_xlfn.FLOOR.MATH(0+0*B536)</f>
        <v>0</v>
      </c>
      <c r="R536" s="102">
        <f>_xlfn.FLOOR.MATH(55+0.25*B536)</f>
        <v>82</v>
      </c>
      <c r="S536" s="102">
        <f>_xlfn.FLOOR.MATH(36+0.28*B536)</f>
        <v>66</v>
      </c>
      <c r="T536" s="105">
        <f>_xlfn.FLOOR.MATH(36+0.56*B536)</f>
        <v>97</v>
      </c>
      <c r="U536" s="102">
        <v>6</v>
      </c>
      <c r="V536" s="102">
        <v>33</v>
      </c>
      <c r="W536" s="106" t="s">
        <v>115</v>
      </c>
      <c r="Y536" s="102" t="s">
        <v>54</v>
      </c>
      <c r="Z536" s="102" t="s">
        <v>55</v>
      </c>
      <c r="AA536" s="104" t="s">
        <v>1512</v>
      </c>
      <c r="AB536" s="105">
        <v>72</v>
      </c>
      <c r="AC536" s="104">
        <v>4</v>
      </c>
      <c r="AD536" s="107" t="s">
        <v>1513</v>
      </c>
      <c r="AE536" s="104">
        <v>70</v>
      </c>
      <c r="AF536" s="105">
        <v>65</v>
      </c>
      <c r="AG536" s="104">
        <v>2.88</v>
      </c>
      <c r="AH536" s="102">
        <v>5.4</v>
      </c>
      <c r="AI536" s="105">
        <v>1</v>
      </c>
      <c r="AJ536" s="104">
        <v>20</v>
      </c>
      <c r="AK536" s="102">
        <v>20</v>
      </c>
      <c r="AL536" s="102">
        <v>40</v>
      </c>
      <c r="AM536" s="105">
        <v>10</v>
      </c>
      <c r="AN536" s="104">
        <v>0</v>
      </c>
      <c r="AO536" s="102">
        <v>0</v>
      </c>
      <c r="AP536" s="102">
        <v>30</v>
      </c>
      <c r="AQ536" s="105">
        <v>58</v>
      </c>
      <c r="AR536" s="108" t="s">
        <v>1514</v>
      </c>
    </row>
    <row r="537" ht="92.4" spans="1:44">
      <c r="A537" s="100">
        <v>11011813</v>
      </c>
      <c r="B537" s="101">
        <v>110</v>
      </c>
      <c r="C537" s="102">
        <v>5</v>
      </c>
      <c r="D537" s="103" t="s">
        <v>1515</v>
      </c>
      <c r="F537" s="103" t="s">
        <v>1212</v>
      </c>
      <c r="G537" s="103">
        <v>4</v>
      </c>
      <c r="H537" s="103">
        <v>4</v>
      </c>
      <c r="I537" s="104" t="s">
        <v>73</v>
      </c>
      <c r="J537" s="102" t="s">
        <v>380</v>
      </c>
      <c r="K537" s="102">
        <v>67</v>
      </c>
      <c r="L537" s="103">
        <v>1</v>
      </c>
      <c r="M537" s="104">
        <v>40</v>
      </c>
      <c r="N537" s="102">
        <v>65</v>
      </c>
      <c r="O537" s="102">
        <v>0</v>
      </c>
      <c r="P537" s="102">
        <v>71</v>
      </c>
      <c r="Q537" s="104">
        <f>_xlfn.FLOOR.MATH(0+0*B537)</f>
        <v>0</v>
      </c>
      <c r="R537" s="102">
        <f>_xlfn.FLOOR.MATH(45+0.25*B537)</f>
        <v>72</v>
      </c>
      <c r="S537" s="102">
        <f>_xlfn.FLOOR.MATH(40+0.21*B537)</f>
        <v>63</v>
      </c>
      <c r="T537" s="105">
        <f>_xlfn.FLOOR.MATH(35+0.51*B537)</f>
        <v>91</v>
      </c>
      <c r="U537" s="102">
        <v>7</v>
      </c>
      <c r="V537" s="102">
        <v>34</v>
      </c>
      <c r="W537" s="106" t="s">
        <v>115</v>
      </c>
      <c r="Y537" s="102" t="s">
        <v>54</v>
      </c>
      <c r="Z537" s="102" t="s">
        <v>55</v>
      </c>
      <c r="AA537" s="104" t="s">
        <v>1516</v>
      </c>
      <c r="AB537" s="105">
        <v>68</v>
      </c>
      <c r="AC537" s="104">
        <v>4</v>
      </c>
      <c r="AD537" s="107" t="s">
        <v>1517</v>
      </c>
      <c r="AE537" s="104">
        <v>70</v>
      </c>
      <c r="AF537" s="105">
        <v>65</v>
      </c>
      <c r="AG537" s="104">
        <v>2.1</v>
      </c>
      <c r="AH537" s="102">
        <v>5.2</v>
      </c>
      <c r="AI537" s="105">
        <v>1.05</v>
      </c>
      <c r="AJ537" s="104">
        <v>20</v>
      </c>
      <c r="AK537" s="102">
        <v>20</v>
      </c>
      <c r="AL537" s="102">
        <v>40</v>
      </c>
      <c r="AM537" s="105">
        <v>10</v>
      </c>
      <c r="AN537" s="104">
        <v>0</v>
      </c>
      <c r="AO537" s="102">
        <v>0</v>
      </c>
      <c r="AP537" s="102">
        <v>23</v>
      </c>
      <c r="AQ537" s="105">
        <v>46</v>
      </c>
      <c r="AR537" s="108" t="s">
        <v>1518</v>
      </c>
    </row>
    <row r="538" ht="66" spans="1:44">
      <c r="A538" s="100">
        <v>11012013</v>
      </c>
      <c r="B538" s="101">
        <v>110</v>
      </c>
      <c r="C538" s="102">
        <v>5</v>
      </c>
      <c r="D538" s="103" t="s">
        <v>1519</v>
      </c>
      <c r="F538" s="103" t="s">
        <v>1212</v>
      </c>
      <c r="G538" s="103">
        <v>6</v>
      </c>
      <c r="H538" s="103">
        <v>6</v>
      </c>
      <c r="I538" s="104" t="s">
        <v>86</v>
      </c>
      <c r="J538" s="102" t="s">
        <v>114</v>
      </c>
      <c r="K538" s="102">
        <v>60</v>
      </c>
      <c r="L538" s="103">
        <v>0</v>
      </c>
      <c r="M538" s="104">
        <v>45</v>
      </c>
      <c r="N538" s="102">
        <v>64</v>
      </c>
      <c r="O538" s="102">
        <v>0</v>
      </c>
      <c r="P538" s="102">
        <v>83</v>
      </c>
      <c r="Q538" s="104">
        <f>_xlfn.FLOOR.MATH(0+0*B538)</f>
        <v>0</v>
      </c>
      <c r="R538" s="102">
        <f>_xlfn.FLOOR.MATH(38+0.25*B538)</f>
        <v>65</v>
      </c>
      <c r="S538" s="102">
        <f>_xlfn.FLOOR.MATH(36+0.22*B538)</f>
        <v>60</v>
      </c>
      <c r="T538" s="105">
        <f>_xlfn.FLOOR.MATH(40+0.56*B538)</f>
        <v>101</v>
      </c>
      <c r="U538" s="102">
        <v>12</v>
      </c>
      <c r="V538" s="102">
        <v>32</v>
      </c>
      <c r="W538" s="106" t="s">
        <v>115</v>
      </c>
      <c r="Y538" s="102" t="s">
        <v>54</v>
      </c>
      <c r="Z538" s="102" t="s">
        <v>55</v>
      </c>
      <c r="AA538" s="104" t="s">
        <v>1520</v>
      </c>
      <c r="AB538" s="105">
        <v>83</v>
      </c>
      <c r="AC538" s="104">
        <v>4</v>
      </c>
      <c r="AD538" s="107" t="s">
        <v>145</v>
      </c>
      <c r="AE538" s="104">
        <v>55</v>
      </c>
      <c r="AF538" s="105">
        <v>65</v>
      </c>
      <c r="AG538" s="104">
        <v>2.08</v>
      </c>
      <c r="AH538" s="102">
        <v>4</v>
      </c>
      <c r="AI538" s="105">
        <v>0.55</v>
      </c>
      <c r="AJ538" s="104">
        <v>30</v>
      </c>
      <c r="AK538" s="102">
        <v>40</v>
      </c>
      <c r="AL538" s="102">
        <v>60</v>
      </c>
      <c r="AM538" s="105">
        <v>40</v>
      </c>
      <c r="AN538" s="104">
        <v>0</v>
      </c>
      <c r="AO538" s="102">
        <v>0</v>
      </c>
      <c r="AP538" s="102">
        <v>17</v>
      </c>
      <c r="AQ538" s="105">
        <v>76</v>
      </c>
      <c r="AR538" s="108" t="s">
        <v>1521</v>
      </c>
    </row>
    <row r="539" ht="79.2" spans="1:45">
      <c r="A539" s="100">
        <v>11012113</v>
      </c>
      <c r="B539" s="101">
        <v>110</v>
      </c>
      <c r="C539" s="102">
        <v>6</v>
      </c>
      <c r="D539" s="103" t="s">
        <v>1522</v>
      </c>
      <c r="F539" s="103" t="s">
        <v>1212</v>
      </c>
      <c r="G539" s="103">
        <v>6</v>
      </c>
      <c r="H539" s="103">
        <v>6</v>
      </c>
      <c r="I539" s="104" t="s">
        <v>86</v>
      </c>
      <c r="J539" s="102" t="s">
        <v>114</v>
      </c>
      <c r="K539" s="102">
        <v>60</v>
      </c>
      <c r="L539" s="103">
        <v>0</v>
      </c>
      <c r="M539" s="104">
        <v>45</v>
      </c>
      <c r="N539" s="102">
        <v>68</v>
      </c>
      <c r="O539" s="102">
        <v>0</v>
      </c>
      <c r="P539" s="102">
        <v>95</v>
      </c>
      <c r="Q539" s="104">
        <f>_xlfn.FLOOR.MATH(0+0*B539)</f>
        <v>0</v>
      </c>
      <c r="R539" s="102">
        <f>_xlfn.FLOOR.MATH(40+0.3*B539)</f>
        <v>73</v>
      </c>
      <c r="S539" s="102">
        <f>_xlfn.FLOOR.MATH(38+0.22*B539)</f>
        <v>62</v>
      </c>
      <c r="T539" s="105">
        <f>_xlfn.FLOOR.MATH(41+0.56*B539)</f>
        <v>102</v>
      </c>
      <c r="U539" s="102">
        <v>65</v>
      </c>
      <c r="V539" s="102">
        <v>32</v>
      </c>
      <c r="W539" s="106" t="s">
        <v>115</v>
      </c>
      <c r="Y539" s="102" t="s">
        <v>54</v>
      </c>
      <c r="Z539" s="102" t="s">
        <v>55</v>
      </c>
      <c r="AA539" s="104" t="s">
        <v>1523</v>
      </c>
      <c r="AB539" s="105">
        <v>90</v>
      </c>
      <c r="AC539" s="104">
        <v>4</v>
      </c>
      <c r="AD539" s="107" t="s">
        <v>1524</v>
      </c>
      <c r="AE539" s="104">
        <v>60</v>
      </c>
      <c r="AF539" s="105">
        <v>70</v>
      </c>
      <c r="AG539" s="104">
        <v>2.1</v>
      </c>
      <c r="AH539" s="102">
        <v>4</v>
      </c>
      <c r="AI539" s="105">
        <v>0.5</v>
      </c>
      <c r="AJ539" s="104">
        <v>30</v>
      </c>
      <c r="AK539" s="102">
        <v>40</v>
      </c>
      <c r="AL539" s="102">
        <v>60</v>
      </c>
      <c r="AM539" s="105">
        <v>40</v>
      </c>
      <c r="AN539" s="104">
        <v>0</v>
      </c>
      <c r="AO539" s="102">
        <v>0</v>
      </c>
      <c r="AP539" s="102">
        <v>19</v>
      </c>
      <c r="AQ539" s="105">
        <v>100</v>
      </c>
      <c r="AR539" s="108" t="s">
        <v>401</v>
      </c>
      <c r="AS539" s="109" t="s">
        <v>1525</v>
      </c>
    </row>
    <row r="540" ht="52.8" spans="1:44">
      <c r="A540" s="100">
        <v>11012312</v>
      </c>
      <c r="B540" s="101">
        <v>110</v>
      </c>
      <c r="C540" s="102">
        <v>4</v>
      </c>
      <c r="D540" s="103" t="s">
        <v>1526</v>
      </c>
      <c r="F540" s="103" t="s">
        <v>1212</v>
      </c>
      <c r="G540" s="103">
        <v>2</v>
      </c>
      <c r="H540" s="103">
        <v>3</v>
      </c>
      <c r="I540" s="104" t="s">
        <v>86</v>
      </c>
      <c r="J540" s="102" t="s">
        <v>125</v>
      </c>
      <c r="K540" s="102">
        <v>50</v>
      </c>
      <c r="L540" s="103">
        <v>2</v>
      </c>
      <c r="M540" s="104">
        <v>30</v>
      </c>
      <c r="N540" s="102">
        <v>37</v>
      </c>
      <c r="O540" s="102">
        <v>0</v>
      </c>
      <c r="P540" s="102">
        <v>73</v>
      </c>
      <c r="Q540" s="104">
        <f>_xlfn.FLOOR.MATH(0+0*B540)</f>
        <v>0</v>
      </c>
      <c r="R540" s="102">
        <f>_xlfn.FLOOR.MATH(40+0.25*B540)</f>
        <v>67</v>
      </c>
      <c r="S540" s="102">
        <f>_xlfn.FLOOR.MATH(20+0.24*B540)</f>
        <v>46</v>
      </c>
      <c r="T540" s="105">
        <f>_xlfn.FLOOR.MATH(37+0.53*B540)</f>
        <v>95</v>
      </c>
      <c r="U540" s="102">
        <v>26</v>
      </c>
      <c r="V540" s="102">
        <v>16.5</v>
      </c>
      <c r="W540" s="106" t="s">
        <v>115</v>
      </c>
      <c r="Y540" s="102" t="s">
        <v>127</v>
      </c>
      <c r="Z540" s="102" t="s">
        <v>128</v>
      </c>
      <c r="AA540" s="104" t="s">
        <v>1527</v>
      </c>
      <c r="AB540" s="105">
        <v>32</v>
      </c>
      <c r="AC540" s="104">
        <v>3</v>
      </c>
      <c r="AD540" s="107" t="s">
        <v>1528</v>
      </c>
      <c r="AE540" s="104">
        <v>30</v>
      </c>
      <c r="AF540" s="105">
        <v>35</v>
      </c>
      <c r="AG540" s="104">
        <v>1.12</v>
      </c>
      <c r="AH540" s="102">
        <v>2.1</v>
      </c>
      <c r="AI540" s="105">
        <v>0.8</v>
      </c>
      <c r="AJ540" s="104">
        <v>20</v>
      </c>
      <c r="AK540" s="102">
        <v>30</v>
      </c>
      <c r="AL540" s="102">
        <v>50</v>
      </c>
      <c r="AM540" s="105">
        <v>20</v>
      </c>
      <c r="AN540" s="104">
        <v>0</v>
      </c>
      <c r="AO540" s="102">
        <v>0</v>
      </c>
      <c r="AP540" s="102">
        <v>9</v>
      </c>
      <c r="AQ540" s="105">
        <v>56</v>
      </c>
      <c r="AR540" s="108" t="s">
        <v>1529</v>
      </c>
    </row>
    <row r="541" ht="52.8" spans="1:44">
      <c r="A541" s="100">
        <v>11012412</v>
      </c>
      <c r="B541" s="101">
        <v>110</v>
      </c>
      <c r="C541" s="102">
        <v>5</v>
      </c>
      <c r="D541" s="103" t="s">
        <v>1530</v>
      </c>
      <c r="F541" s="103" t="s">
        <v>1212</v>
      </c>
      <c r="G541" s="103">
        <v>3</v>
      </c>
      <c r="H541" s="103">
        <v>4</v>
      </c>
      <c r="I541" s="104" t="s">
        <v>50</v>
      </c>
      <c r="J541" s="102" t="s">
        <v>125</v>
      </c>
      <c r="K541" s="102">
        <v>50</v>
      </c>
      <c r="L541" s="103">
        <v>2</v>
      </c>
      <c r="M541" s="104">
        <v>30</v>
      </c>
      <c r="N541" s="102">
        <v>37</v>
      </c>
      <c r="O541" s="102">
        <v>0</v>
      </c>
      <c r="P541" s="102">
        <v>70</v>
      </c>
      <c r="Q541" s="104">
        <f>_xlfn.FLOOR.MATH(5+0.1*B541)</f>
        <v>16</v>
      </c>
      <c r="R541" s="102">
        <f>_xlfn.FLOOR.MATH(40+0.25*B541)</f>
        <v>67</v>
      </c>
      <c r="S541" s="102">
        <f>_xlfn.FLOOR.MATH(20+0.24*B541)</f>
        <v>46</v>
      </c>
      <c r="T541" s="105">
        <f>_xlfn.FLOOR.MATH(38+0.53*B541)</f>
        <v>96</v>
      </c>
      <c r="U541" s="102">
        <v>25</v>
      </c>
      <c r="V541" s="102">
        <v>16.5</v>
      </c>
      <c r="W541" s="106" t="s">
        <v>115</v>
      </c>
      <c r="Y541" s="102" t="s">
        <v>127</v>
      </c>
      <c r="Z541" s="102" t="s">
        <v>128</v>
      </c>
      <c r="AA541" s="104" t="s">
        <v>1527</v>
      </c>
      <c r="AB541" s="105">
        <v>32</v>
      </c>
      <c r="AC541" s="104">
        <v>3</v>
      </c>
      <c r="AD541" s="107" t="s">
        <v>1531</v>
      </c>
      <c r="AE541" s="104">
        <v>30</v>
      </c>
      <c r="AF541" s="105">
        <v>35</v>
      </c>
      <c r="AG541" s="104">
        <v>1.28</v>
      </c>
      <c r="AH541" s="102">
        <v>2.4</v>
      </c>
      <c r="AI541" s="105">
        <v>0.75</v>
      </c>
      <c r="AJ541" s="104">
        <v>20</v>
      </c>
      <c r="AK541" s="102">
        <v>30</v>
      </c>
      <c r="AL541" s="102">
        <v>50</v>
      </c>
      <c r="AM541" s="105">
        <v>20</v>
      </c>
      <c r="AN541" s="104">
        <v>3</v>
      </c>
      <c r="AO541" s="102">
        <v>0</v>
      </c>
      <c r="AP541" s="102">
        <v>9</v>
      </c>
      <c r="AQ541" s="105">
        <v>44</v>
      </c>
      <c r="AR541" s="108" t="s">
        <v>1529</v>
      </c>
    </row>
    <row r="542" ht="39.6" spans="1:44">
      <c r="A542" s="100">
        <v>11012512</v>
      </c>
      <c r="B542" s="101">
        <v>110</v>
      </c>
      <c r="C542" s="102">
        <v>5</v>
      </c>
      <c r="D542" s="103" t="s">
        <v>1532</v>
      </c>
      <c r="F542" s="103" t="s">
        <v>1212</v>
      </c>
      <c r="G542" s="103">
        <v>4</v>
      </c>
      <c r="H542" s="103">
        <v>5</v>
      </c>
      <c r="I542" s="104" t="s">
        <v>330</v>
      </c>
      <c r="J542" s="102" t="s">
        <v>125</v>
      </c>
      <c r="K542" s="102">
        <v>55</v>
      </c>
      <c r="L542" s="103">
        <v>1</v>
      </c>
      <c r="M542" s="104">
        <v>35</v>
      </c>
      <c r="N542" s="102">
        <v>41</v>
      </c>
      <c r="O542" s="102">
        <v>0</v>
      </c>
      <c r="P542" s="102">
        <v>85</v>
      </c>
      <c r="Q542" s="104">
        <f>_xlfn.FLOOR.MATH(0+0*B542)</f>
        <v>0</v>
      </c>
      <c r="R542" s="102">
        <f>_xlfn.FLOOR.MATH(45+0.25*B542)</f>
        <v>72</v>
      </c>
      <c r="S542" s="102">
        <f>_xlfn.FLOOR.MATH(38+0.21*B542)</f>
        <v>61</v>
      </c>
      <c r="T542" s="105">
        <f>_xlfn.FLOOR.MATH(37+0.53*B542)</f>
        <v>95</v>
      </c>
      <c r="U542" s="102">
        <v>27</v>
      </c>
      <c r="V542" s="102">
        <v>25</v>
      </c>
      <c r="W542" s="106" t="s">
        <v>115</v>
      </c>
      <c r="Y542" s="102" t="s">
        <v>127</v>
      </c>
      <c r="Z542" s="102" t="s">
        <v>128</v>
      </c>
      <c r="AA542" s="104" t="s">
        <v>1533</v>
      </c>
      <c r="AB542" s="105">
        <v>46</v>
      </c>
      <c r="AC542" s="104">
        <v>3</v>
      </c>
      <c r="AD542" s="107" t="s">
        <v>1534</v>
      </c>
      <c r="AE542" s="104">
        <v>50</v>
      </c>
      <c r="AF542" s="105">
        <v>50</v>
      </c>
      <c r="AG542" s="104">
        <v>1.15</v>
      </c>
      <c r="AH542" s="102">
        <v>2.2</v>
      </c>
      <c r="AI542" s="105">
        <v>0.65</v>
      </c>
      <c r="AJ542" s="104">
        <v>20</v>
      </c>
      <c r="AK542" s="102">
        <v>30</v>
      </c>
      <c r="AL542" s="102">
        <v>50</v>
      </c>
      <c r="AM542" s="105">
        <v>20</v>
      </c>
      <c r="AN542" s="104">
        <v>0</v>
      </c>
      <c r="AO542" s="102">
        <v>0</v>
      </c>
      <c r="AP542" s="102">
        <v>11</v>
      </c>
      <c r="AQ542" s="105">
        <v>74</v>
      </c>
      <c r="AR542" s="108" t="s">
        <v>1535</v>
      </c>
    </row>
    <row r="543" ht="39.6" spans="1:44">
      <c r="A543" s="100">
        <v>11012612</v>
      </c>
      <c r="B543" s="101">
        <v>110</v>
      </c>
      <c r="C543" s="102">
        <v>4</v>
      </c>
      <c r="D543" s="103" t="s">
        <v>1536</v>
      </c>
      <c r="F543" s="103" t="s">
        <v>1212</v>
      </c>
      <c r="G543" s="103">
        <v>3</v>
      </c>
      <c r="H543" s="103">
        <v>4</v>
      </c>
      <c r="I543" s="104" t="s">
        <v>86</v>
      </c>
      <c r="J543" s="102" t="s">
        <v>125</v>
      </c>
      <c r="K543" s="102">
        <v>51</v>
      </c>
      <c r="L543" s="103">
        <v>1</v>
      </c>
      <c r="M543" s="104">
        <v>30</v>
      </c>
      <c r="N543" s="102">
        <v>43</v>
      </c>
      <c r="O543" s="102">
        <v>0</v>
      </c>
      <c r="P543" s="102">
        <v>82</v>
      </c>
      <c r="Q543" s="104">
        <f>_xlfn.FLOOR.MATH(0+0*B543)</f>
        <v>0</v>
      </c>
      <c r="R543" s="102">
        <f>_xlfn.FLOOR.MATH(45+0.25*B543)</f>
        <v>72</v>
      </c>
      <c r="S543" s="102">
        <f>_xlfn.FLOOR.MATH(40+0.21*B543)</f>
        <v>63</v>
      </c>
      <c r="T543" s="105">
        <f>_xlfn.FLOOR.MATH(37+0.53*B543)</f>
        <v>95</v>
      </c>
      <c r="U543" s="102">
        <v>10</v>
      </c>
      <c r="V543" s="102">
        <v>31</v>
      </c>
      <c r="W543" s="106" t="s">
        <v>115</v>
      </c>
      <c r="Y543" s="102" t="s">
        <v>127</v>
      </c>
      <c r="Z543" s="102" t="s">
        <v>128</v>
      </c>
      <c r="AA543" s="104" t="s">
        <v>1537</v>
      </c>
      <c r="AB543" s="105">
        <v>39</v>
      </c>
      <c r="AC543" s="104">
        <v>3</v>
      </c>
      <c r="AD543" s="107" t="s">
        <v>1538</v>
      </c>
      <c r="AE543" s="104">
        <v>30</v>
      </c>
      <c r="AF543" s="105">
        <v>35</v>
      </c>
      <c r="AG543" s="104">
        <v>1.12</v>
      </c>
      <c r="AH543" s="102">
        <v>2.1</v>
      </c>
      <c r="AI543" s="105">
        <v>0.625</v>
      </c>
      <c r="AJ543" s="104">
        <v>20</v>
      </c>
      <c r="AK543" s="102">
        <v>30</v>
      </c>
      <c r="AL543" s="102">
        <v>50</v>
      </c>
      <c r="AM543" s="105">
        <v>20</v>
      </c>
      <c r="AN543" s="104">
        <v>0</v>
      </c>
      <c r="AO543" s="102">
        <v>0</v>
      </c>
      <c r="AP543" s="102">
        <v>12</v>
      </c>
      <c r="AQ543" s="105">
        <v>74</v>
      </c>
      <c r="AR543" s="108" t="s">
        <v>1539</v>
      </c>
    </row>
    <row r="544" ht="66" spans="1:45">
      <c r="A544" s="100">
        <v>11013013</v>
      </c>
      <c r="B544" s="101">
        <v>110</v>
      </c>
      <c r="C544" s="102">
        <v>5</v>
      </c>
      <c r="D544" s="103" t="s">
        <v>1540</v>
      </c>
      <c r="F544" s="103" t="s">
        <v>1212</v>
      </c>
      <c r="G544" s="103">
        <v>3</v>
      </c>
      <c r="H544" s="103">
        <v>3</v>
      </c>
      <c r="I544" s="104" t="s">
        <v>73</v>
      </c>
      <c r="J544" s="102" t="s">
        <v>51</v>
      </c>
      <c r="K544" s="102">
        <v>62</v>
      </c>
      <c r="L544" s="103">
        <v>2</v>
      </c>
      <c r="M544" s="104">
        <v>77</v>
      </c>
      <c r="N544" s="102">
        <v>58</v>
      </c>
      <c r="O544" s="102">
        <v>48</v>
      </c>
      <c r="P544" s="102">
        <v>59</v>
      </c>
      <c r="Q544" s="104">
        <f>_xlfn.FLOOR.MATH(0+0*B544)</f>
        <v>0</v>
      </c>
      <c r="R544" s="102">
        <f>_xlfn.FLOOR.MATH(20+0.25*B544)</f>
        <v>47</v>
      </c>
      <c r="S544" s="102">
        <f>_xlfn.FLOOR.MATH(31+0.32*B544)</f>
        <v>66</v>
      </c>
      <c r="T544" s="105">
        <f>_xlfn.FLOOR.MATH(44+0.47*B544)</f>
        <v>95</v>
      </c>
      <c r="U544" s="102">
        <v>10</v>
      </c>
      <c r="V544" s="102">
        <v>27.5</v>
      </c>
      <c r="W544" s="106" t="s">
        <v>52</v>
      </c>
      <c r="Y544" s="102" t="s">
        <v>54</v>
      </c>
      <c r="Z544" s="102" t="s">
        <v>55</v>
      </c>
      <c r="AA544" s="104" t="s">
        <v>160</v>
      </c>
      <c r="AB544" s="105">
        <v>6</v>
      </c>
      <c r="AC544" s="104">
        <v>4</v>
      </c>
      <c r="AD544" s="107" t="s">
        <v>1541</v>
      </c>
      <c r="AE544" s="104">
        <v>35</v>
      </c>
      <c r="AF544" s="105">
        <v>80</v>
      </c>
      <c r="AG544" s="104">
        <v>1.28</v>
      </c>
      <c r="AH544" s="102">
        <v>2.64</v>
      </c>
      <c r="AI544" s="105">
        <v>0.75</v>
      </c>
      <c r="AJ544" s="104">
        <v>40</v>
      </c>
      <c r="AK544" s="102">
        <v>50</v>
      </c>
      <c r="AL544" s="102">
        <v>40</v>
      </c>
      <c r="AM544" s="105">
        <v>0</v>
      </c>
      <c r="AN544" s="104">
        <v>52</v>
      </c>
      <c r="AO544" s="102">
        <v>0</v>
      </c>
      <c r="AP544" s="102">
        <v>41</v>
      </c>
      <c r="AQ544" s="105">
        <v>15</v>
      </c>
      <c r="AR544" s="108" t="s">
        <v>1367</v>
      </c>
      <c r="AS544" s="109" t="s">
        <v>1542</v>
      </c>
    </row>
    <row r="545" ht="66" spans="1:44">
      <c r="A545" s="100">
        <v>11013112</v>
      </c>
      <c r="B545" s="101">
        <v>110</v>
      </c>
      <c r="C545" s="102">
        <v>4</v>
      </c>
      <c r="D545" s="103" t="s">
        <v>1543</v>
      </c>
      <c r="E545" s="103" t="s">
        <v>1544</v>
      </c>
      <c r="F545" s="103" t="s">
        <v>1212</v>
      </c>
      <c r="G545" s="103">
        <v>3</v>
      </c>
      <c r="H545" s="103">
        <v>2</v>
      </c>
      <c r="I545" s="104" t="s">
        <v>60</v>
      </c>
      <c r="J545" s="102" t="s">
        <v>157</v>
      </c>
      <c r="K545" s="102">
        <v>46</v>
      </c>
      <c r="L545" s="103">
        <v>2</v>
      </c>
      <c r="M545" s="104">
        <v>57</v>
      </c>
      <c r="N545" s="102">
        <v>49</v>
      </c>
      <c r="O545" s="102">
        <v>68</v>
      </c>
      <c r="P545" s="102">
        <v>57</v>
      </c>
      <c r="Q545" s="104">
        <f>_xlfn.FLOOR.MATH(0+0*B545)</f>
        <v>0</v>
      </c>
      <c r="R545" s="102">
        <f>_xlfn.FLOOR.MATH(15+0.35*B545)</f>
        <v>53</v>
      </c>
      <c r="S545" s="102">
        <f>_xlfn.FLOOR.MATH(43+0.4*B545)</f>
        <v>87</v>
      </c>
      <c r="T545" s="105">
        <f>_xlfn.FLOOR.MATH(40+0.52*B545)</f>
        <v>97</v>
      </c>
      <c r="U545" s="102">
        <v>13</v>
      </c>
      <c r="V545" s="102">
        <v>35</v>
      </c>
      <c r="W545" s="106" t="s">
        <v>158</v>
      </c>
      <c r="Y545" s="102" t="s">
        <v>127</v>
      </c>
      <c r="Z545" s="102" t="s">
        <v>128</v>
      </c>
      <c r="AA545" s="104" t="s">
        <v>160</v>
      </c>
      <c r="AB545" s="105">
        <v>6</v>
      </c>
      <c r="AC545" s="104">
        <v>4</v>
      </c>
      <c r="AD545" s="107" t="s">
        <v>1545</v>
      </c>
      <c r="AE545" s="104">
        <v>40</v>
      </c>
      <c r="AF545" s="105">
        <v>65</v>
      </c>
      <c r="AG545" s="104">
        <v>1.28</v>
      </c>
      <c r="AH545" s="102">
        <v>2.4</v>
      </c>
      <c r="AI545" s="105">
        <v>0.75</v>
      </c>
      <c r="AJ545" s="104">
        <v>30</v>
      </c>
      <c r="AK545" s="102">
        <v>40</v>
      </c>
      <c r="AL545" s="102">
        <v>30</v>
      </c>
      <c r="AM545" s="105">
        <v>0</v>
      </c>
      <c r="AN545" s="104">
        <v>32</v>
      </c>
      <c r="AO545" s="102">
        <v>17</v>
      </c>
      <c r="AP545" s="102">
        <v>17</v>
      </c>
      <c r="AQ545" s="105">
        <v>14</v>
      </c>
      <c r="AR545" s="108" t="s">
        <v>1546</v>
      </c>
    </row>
    <row r="546" ht="52.8" spans="1:44">
      <c r="A546" s="100">
        <v>11013212</v>
      </c>
      <c r="B546" s="101">
        <v>110</v>
      </c>
      <c r="C546" s="102">
        <v>4</v>
      </c>
      <c r="D546" s="103" t="s">
        <v>1547</v>
      </c>
      <c r="E546" s="103" t="s">
        <v>1548</v>
      </c>
      <c r="F546" s="103" t="s">
        <v>1212</v>
      </c>
      <c r="G546" s="103">
        <v>3</v>
      </c>
      <c r="H546" s="103">
        <v>2</v>
      </c>
      <c r="I546" s="104" t="s">
        <v>60</v>
      </c>
      <c r="J546" s="102" t="s">
        <v>157</v>
      </c>
      <c r="K546" s="102">
        <v>46</v>
      </c>
      <c r="L546" s="103">
        <v>2</v>
      </c>
      <c r="M546" s="104">
        <v>57</v>
      </c>
      <c r="N546" s="102">
        <v>49</v>
      </c>
      <c r="O546" s="102">
        <v>68</v>
      </c>
      <c r="P546" s="102">
        <v>57</v>
      </c>
      <c r="Q546" s="104">
        <f>_xlfn.FLOOR.MATH(0+0*B546)</f>
        <v>0</v>
      </c>
      <c r="R546" s="102">
        <f>_xlfn.FLOOR.MATH(15+0.31*B546)</f>
        <v>49</v>
      </c>
      <c r="S546" s="102">
        <f>_xlfn.FLOOR.MATH(43+0.4*B546)</f>
        <v>87</v>
      </c>
      <c r="T546" s="105">
        <f>_xlfn.FLOOR.MATH(40+0.52*B546)</f>
        <v>97</v>
      </c>
      <c r="U546" s="102">
        <v>15</v>
      </c>
      <c r="V546" s="102">
        <v>35</v>
      </c>
      <c r="W546" s="106" t="s">
        <v>158</v>
      </c>
      <c r="Y546" s="102" t="s">
        <v>127</v>
      </c>
      <c r="Z546" s="102" t="s">
        <v>128</v>
      </c>
      <c r="AA546" s="104" t="s">
        <v>337</v>
      </c>
      <c r="AB546" s="105">
        <v>8</v>
      </c>
      <c r="AC546" s="104">
        <v>4</v>
      </c>
      <c r="AD546" s="107" t="s">
        <v>1545</v>
      </c>
      <c r="AE546" s="104">
        <v>40</v>
      </c>
      <c r="AF546" s="105">
        <v>65</v>
      </c>
      <c r="AG546" s="104">
        <v>1.28</v>
      </c>
      <c r="AH546" s="102">
        <v>2.4</v>
      </c>
      <c r="AI546" s="105">
        <v>0.75</v>
      </c>
      <c r="AJ546" s="104">
        <v>30</v>
      </c>
      <c r="AK546" s="102">
        <v>40</v>
      </c>
      <c r="AL546" s="102">
        <v>30</v>
      </c>
      <c r="AM546" s="105">
        <v>0</v>
      </c>
      <c r="AN546" s="104">
        <v>32</v>
      </c>
      <c r="AO546" s="102">
        <v>17</v>
      </c>
      <c r="AP546" s="102">
        <v>17</v>
      </c>
      <c r="AQ546" s="105">
        <v>14</v>
      </c>
      <c r="AR546" s="108" t="s">
        <v>1549</v>
      </c>
    </row>
    <row r="547" ht="79.2" spans="1:44">
      <c r="A547" s="100">
        <v>11013312</v>
      </c>
      <c r="B547" s="101">
        <v>110</v>
      </c>
      <c r="C547" s="102">
        <v>4</v>
      </c>
      <c r="D547" s="103" t="s">
        <v>1550</v>
      </c>
      <c r="F547" s="103" t="s">
        <v>1212</v>
      </c>
      <c r="G547" s="103">
        <v>3</v>
      </c>
      <c r="H547" s="103">
        <v>2</v>
      </c>
      <c r="I547" s="104" t="s">
        <v>60</v>
      </c>
      <c r="J547" s="102" t="s">
        <v>157</v>
      </c>
      <c r="K547" s="102">
        <v>47</v>
      </c>
      <c r="L547" s="103">
        <v>1</v>
      </c>
      <c r="M547" s="104">
        <v>57</v>
      </c>
      <c r="N547" s="102">
        <v>49</v>
      </c>
      <c r="O547" s="102">
        <v>68</v>
      </c>
      <c r="P547" s="102">
        <v>59</v>
      </c>
      <c r="Q547" s="104">
        <f>_xlfn.FLOOR.MATH(0+0*B547)</f>
        <v>0</v>
      </c>
      <c r="R547" s="102">
        <f>_xlfn.FLOOR.MATH(11+0.35*B547)</f>
        <v>49</v>
      </c>
      <c r="S547" s="102">
        <f>_xlfn.FLOOR.MATH(40+0.42*B547)</f>
        <v>86</v>
      </c>
      <c r="T547" s="105">
        <f>_xlfn.FLOOR.MATH(40+0.52*B547)</f>
        <v>97</v>
      </c>
      <c r="U547" s="102">
        <v>20</v>
      </c>
      <c r="V547" s="102">
        <v>35</v>
      </c>
      <c r="W547" s="106" t="s">
        <v>158</v>
      </c>
      <c r="Y547" s="102" t="s">
        <v>127</v>
      </c>
      <c r="Z547" s="102" t="s">
        <v>128</v>
      </c>
      <c r="AA547" s="104" t="s">
        <v>160</v>
      </c>
      <c r="AB547" s="105">
        <v>6</v>
      </c>
      <c r="AC547" s="104">
        <v>4</v>
      </c>
      <c r="AD547" s="107" t="s">
        <v>1545</v>
      </c>
      <c r="AE547" s="104">
        <v>40</v>
      </c>
      <c r="AF547" s="105">
        <v>65</v>
      </c>
      <c r="AG547" s="104">
        <v>1.28</v>
      </c>
      <c r="AH547" s="102">
        <v>2.4</v>
      </c>
      <c r="AI547" s="105">
        <v>0.75</v>
      </c>
      <c r="AJ547" s="104">
        <v>30</v>
      </c>
      <c r="AK547" s="102">
        <v>40</v>
      </c>
      <c r="AL547" s="102">
        <v>30</v>
      </c>
      <c r="AM547" s="105">
        <v>0</v>
      </c>
      <c r="AN547" s="104">
        <v>32</v>
      </c>
      <c r="AO547" s="102">
        <v>17</v>
      </c>
      <c r="AP547" s="102">
        <v>17</v>
      </c>
      <c r="AQ547" s="105">
        <v>15</v>
      </c>
      <c r="AR547" s="108" t="s">
        <v>1551</v>
      </c>
    </row>
    <row r="548" ht="26.4" spans="1:44">
      <c r="A548" s="100">
        <v>11013512</v>
      </c>
      <c r="B548" s="101">
        <v>110</v>
      </c>
      <c r="C548" s="102">
        <v>4</v>
      </c>
      <c r="D548" s="103" t="s">
        <v>1552</v>
      </c>
      <c r="F548" s="103" t="s">
        <v>1212</v>
      </c>
      <c r="G548" s="103">
        <v>3</v>
      </c>
      <c r="H548" s="103">
        <v>3</v>
      </c>
      <c r="I548" s="104" t="s">
        <v>50</v>
      </c>
      <c r="J548" s="102" t="s">
        <v>157</v>
      </c>
      <c r="K548" s="102">
        <v>60</v>
      </c>
      <c r="L548" s="103">
        <v>0</v>
      </c>
      <c r="M548" s="104">
        <v>65</v>
      </c>
      <c r="N548" s="102">
        <v>50</v>
      </c>
      <c r="O548" s="102">
        <v>60</v>
      </c>
      <c r="P548" s="102">
        <v>79</v>
      </c>
      <c r="Q548" s="104">
        <f>_xlfn.FLOOR.MATH(0+0*B548)</f>
        <v>0</v>
      </c>
      <c r="R548" s="102">
        <f>_xlfn.FLOOR.MATH(25+0.35*B548)</f>
        <v>63</v>
      </c>
      <c r="S548" s="102">
        <f>_xlfn.FLOOR.MATH(37+0.42*B548)</f>
        <v>83</v>
      </c>
      <c r="T548" s="105">
        <f>_xlfn.FLOOR.MATH(40+0.52*B548)</f>
        <v>97</v>
      </c>
      <c r="U548" s="102">
        <v>13</v>
      </c>
      <c r="V548" s="102">
        <v>32.5</v>
      </c>
      <c r="W548" s="106" t="s">
        <v>158</v>
      </c>
      <c r="Y548" s="102" t="s">
        <v>127</v>
      </c>
      <c r="Z548" s="102" t="s">
        <v>128</v>
      </c>
      <c r="AA548" s="104">
        <v>0</v>
      </c>
      <c r="AB548" s="105">
        <v>0</v>
      </c>
      <c r="AC548" s="104">
        <v>4</v>
      </c>
      <c r="AD548" s="107" t="s">
        <v>847</v>
      </c>
      <c r="AE548" s="104">
        <v>35</v>
      </c>
      <c r="AF548" s="105">
        <v>70</v>
      </c>
      <c r="AG548" s="104">
        <v>1.28</v>
      </c>
      <c r="AH548" s="102">
        <v>2.4</v>
      </c>
      <c r="AI548" s="105">
        <v>0.75</v>
      </c>
      <c r="AJ548" s="104">
        <v>30</v>
      </c>
      <c r="AK548" s="102">
        <v>40</v>
      </c>
      <c r="AL548" s="102">
        <v>30</v>
      </c>
      <c r="AM548" s="105">
        <v>0</v>
      </c>
      <c r="AN548" s="104">
        <v>44</v>
      </c>
      <c r="AO548" s="102">
        <v>10</v>
      </c>
      <c r="AP548" s="102">
        <v>18</v>
      </c>
      <c r="AQ548" s="105">
        <v>38</v>
      </c>
      <c r="AR548" s="108" t="s">
        <v>1553</v>
      </c>
    </row>
    <row r="549" ht="26.4" spans="1:44">
      <c r="A549" s="100">
        <v>11013612</v>
      </c>
      <c r="B549" s="101">
        <v>110</v>
      </c>
      <c r="C549" s="102">
        <v>4</v>
      </c>
      <c r="D549" s="103" t="s">
        <v>1554</v>
      </c>
      <c r="F549" s="103" t="s">
        <v>1212</v>
      </c>
      <c r="G549" s="103">
        <v>3</v>
      </c>
      <c r="H549" s="103">
        <v>3</v>
      </c>
      <c r="I549" s="104" t="s">
        <v>50</v>
      </c>
      <c r="J549" s="102" t="s">
        <v>157</v>
      </c>
      <c r="K549" s="102">
        <v>59</v>
      </c>
      <c r="L549" s="103">
        <v>1</v>
      </c>
      <c r="M549" s="104">
        <v>64</v>
      </c>
      <c r="N549" s="102">
        <v>45</v>
      </c>
      <c r="O549" s="102">
        <v>60</v>
      </c>
      <c r="P549" s="102">
        <v>75</v>
      </c>
      <c r="Q549" s="104">
        <f>_xlfn.FLOOR.MATH(0+0*B549)</f>
        <v>0</v>
      </c>
      <c r="R549" s="102">
        <f>_xlfn.FLOOR.MATH(24+0.35*B549)</f>
        <v>62</v>
      </c>
      <c r="S549" s="102">
        <f>_xlfn.FLOOR.MATH(36+0.42*B549)</f>
        <v>82</v>
      </c>
      <c r="T549" s="105">
        <f>_xlfn.FLOOR.MATH(40+0.52*B549)</f>
        <v>97</v>
      </c>
      <c r="U549" s="102">
        <v>15</v>
      </c>
      <c r="V549" s="102">
        <v>32.5</v>
      </c>
      <c r="W549" s="106" t="s">
        <v>158</v>
      </c>
      <c r="Y549" s="102" t="s">
        <v>127</v>
      </c>
      <c r="Z549" s="102" t="s">
        <v>128</v>
      </c>
      <c r="AA549" s="104">
        <v>0</v>
      </c>
      <c r="AB549" s="105">
        <v>0</v>
      </c>
      <c r="AC549" s="104">
        <v>4</v>
      </c>
      <c r="AD549" s="107" t="s">
        <v>1555</v>
      </c>
      <c r="AE549" s="104">
        <v>35</v>
      </c>
      <c r="AF549" s="105">
        <v>70</v>
      </c>
      <c r="AG549" s="104">
        <v>1.28</v>
      </c>
      <c r="AH549" s="102">
        <v>2.4</v>
      </c>
      <c r="AI549" s="105">
        <v>0.75</v>
      </c>
      <c r="AJ549" s="104">
        <v>30</v>
      </c>
      <c r="AK549" s="102">
        <v>40</v>
      </c>
      <c r="AL549" s="102">
        <v>30</v>
      </c>
      <c r="AM549" s="105">
        <v>0</v>
      </c>
      <c r="AN549" s="104">
        <v>43</v>
      </c>
      <c r="AO549" s="102">
        <v>10</v>
      </c>
      <c r="AP549" s="102">
        <v>15</v>
      </c>
      <c r="AQ549" s="105">
        <v>32</v>
      </c>
      <c r="AR549" s="108" t="s">
        <v>1553</v>
      </c>
    </row>
    <row r="550" ht="39.6" spans="1:44">
      <c r="A550" s="100">
        <v>11013712</v>
      </c>
      <c r="B550" s="101">
        <v>110</v>
      </c>
      <c r="C550" s="102">
        <v>4</v>
      </c>
      <c r="D550" s="103" t="s">
        <v>1556</v>
      </c>
      <c r="F550" s="103" t="s">
        <v>1212</v>
      </c>
      <c r="G550" s="103">
        <v>4</v>
      </c>
      <c r="H550" s="103">
        <v>4</v>
      </c>
      <c r="I550" s="104" t="s">
        <v>86</v>
      </c>
      <c r="J550" s="102" t="s">
        <v>157</v>
      </c>
      <c r="K550" s="102">
        <v>52</v>
      </c>
      <c r="L550" s="103">
        <v>0</v>
      </c>
      <c r="M550" s="104">
        <v>73</v>
      </c>
      <c r="N550" s="102">
        <v>55</v>
      </c>
      <c r="O550" s="102">
        <v>0</v>
      </c>
      <c r="P550" s="102">
        <v>86</v>
      </c>
      <c r="Q550" s="104">
        <f>_xlfn.FLOOR.MATH(0+0*B550)</f>
        <v>0</v>
      </c>
      <c r="R550" s="102">
        <f>_xlfn.FLOOR.MATH(25+0.26*B550)</f>
        <v>53</v>
      </c>
      <c r="S550" s="102">
        <f>_xlfn.FLOOR.MATH(37+0.42*B550)</f>
        <v>83</v>
      </c>
      <c r="T550" s="105">
        <f>_xlfn.FLOOR.MATH(41+0.51*B550)</f>
        <v>97</v>
      </c>
      <c r="U550" s="102">
        <v>23</v>
      </c>
      <c r="V550" s="102">
        <v>32.7</v>
      </c>
      <c r="W550" s="106" t="s">
        <v>158</v>
      </c>
      <c r="Y550" s="102" t="s">
        <v>127</v>
      </c>
      <c r="Z550" s="102" t="s">
        <v>128</v>
      </c>
      <c r="AA550" s="104">
        <v>0</v>
      </c>
      <c r="AB550" s="105">
        <v>0</v>
      </c>
      <c r="AC550" s="104">
        <v>4</v>
      </c>
      <c r="AD550" s="107" t="s">
        <v>1557</v>
      </c>
      <c r="AE550" s="104">
        <v>40</v>
      </c>
      <c r="AF550" s="105">
        <v>70</v>
      </c>
      <c r="AG550" s="104">
        <v>1.28</v>
      </c>
      <c r="AH550" s="102">
        <v>2.4</v>
      </c>
      <c r="AI550" s="105">
        <v>0.625</v>
      </c>
      <c r="AJ550" s="104">
        <v>30</v>
      </c>
      <c r="AK550" s="102">
        <v>40</v>
      </c>
      <c r="AL550" s="102">
        <v>30</v>
      </c>
      <c r="AM550" s="105">
        <v>0</v>
      </c>
      <c r="AN550" s="104">
        <v>43</v>
      </c>
      <c r="AO550" s="102">
        <v>0</v>
      </c>
      <c r="AP550" s="102">
        <v>18</v>
      </c>
      <c r="AQ550" s="105">
        <v>54</v>
      </c>
      <c r="AR550" s="108" t="s">
        <v>1558</v>
      </c>
    </row>
    <row r="551" ht="39.6" spans="1:44">
      <c r="A551" s="100">
        <v>11013912</v>
      </c>
      <c r="B551" s="101">
        <v>110</v>
      </c>
      <c r="C551" s="102">
        <v>4</v>
      </c>
      <c r="D551" s="103" t="s">
        <v>1559</v>
      </c>
      <c r="F551" s="103" t="s">
        <v>1212</v>
      </c>
      <c r="G551" s="103">
        <v>4</v>
      </c>
      <c r="H551" s="103">
        <v>4</v>
      </c>
      <c r="I551" s="104" t="s">
        <v>86</v>
      </c>
      <c r="J551" s="102" t="s">
        <v>157</v>
      </c>
      <c r="K551" s="102">
        <v>52</v>
      </c>
      <c r="L551" s="103">
        <v>0</v>
      </c>
      <c r="M551" s="104">
        <v>75</v>
      </c>
      <c r="N551" s="102">
        <v>55</v>
      </c>
      <c r="O551" s="102">
        <v>0</v>
      </c>
      <c r="P551" s="102">
        <v>88</v>
      </c>
      <c r="Q551" s="104">
        <f>_xlfn.FLOOR.MATH(0+0*B551)</f>
        <v>0</v>
      </c>
      <c r="R551" s="102">
        <f>_xlfn.FLOOR.MATH(25+0.26*B551)</f>
        <v>53</v>
      </c>
      <c r="S551" s="102">
        <f>_xlfn.FLOOR.MATH(38+0.4*B551)</f>
        <v>82</v>
      </c>
      <c r="T551" s="105">
        <f>_xlfn.FLOOR.MATH(41+0.51*B551)</f>
        <v>97</v>
      </c>
      <c r="U551" s="102">
        <v>27</v>
      </c>
      <c r="V551" s="102">
        <v>32.5</v>
      </c>
      <c r="W551" s="106" t="s">
        <v>158</v>
      </c>
      <c r="Y551" s="102" t="s">
        <v>127</v>
      </c>
      <c r="Z551" s="102" t="s">
        <v>128</v>
      </c>
      <c r="AA551" s="104" t="s">
        <v>337</v>
      </c>
      <c r="AB551" s="105">
        <v>8</v>
      </c>
      <c r="AC551" s="104">
        <v>4</v>
      </c>
      <c r="AD551" s="107" t="s">
        <v>1560</v>
      </c>
      <c r="AE551" s="104">
        <v>40</v>
      </c>
      <c r="AF551" s="105">
        <v>70</v>
      </c>
      <c r="AG551" s="104">
        <v>1.28</v>
      </c>
      <c r="AH551" s="102">
        <v>2.4</v>
      </c>
      <c r="AI551" s="105">
        <v>0.625</v>
      </c>
      <c r="AJ551" s="104">
        <v>30</v>
      </c>
      <c r="AK551" s="102">
        <v>40</v>
      </c>
      <c r="AL551" s="102">
        <v>30</v>
      </c>
      <c r="AM551" s="105">
        <v>0</v>
      </c>
      <c r="AN551" s="104">
        <v>45</v>
      </c>
      <c r="AO551" s="102">
        <v>0</v>
      </c>
      <c r="AP551" s="102">
        <v>18</v>
      </c>
      <c r="AQ551" s="105">
        <v>57</v>
      </c>
      <c r="AR551" s="108" t="s">
        <v>1561</v>
      </c>
    </row>
    <row r="552" ht="26.4" spans="1:44">
      <c r="A552" s="100">
        <v>11014112</v>
      </c>
      <c r="B552" s="101">
        <v>110</v>
      </c>
      <c r="C552" s="102">
        <v>4</v>
      </c>
      <c r="D552" s="103" t="s">
        <v>1562</v>
      </c>
      <c r="F552" s="103" t="s">
        <v>1212</v>
      </c>
      <c r="G552" s="103">
        <v>3</v>
      </c>
      <c r="H552" s="103">
        <v>3</v>
      </c>
      <c r="I552" s="104" t="s">
        <v>86</v>
      </c>
      <c r="J552" s="102" t="s">
        <v>157</v>
      </c>
      <c r="K552" s="102">
        <v>55</v>
      </c>
      <c r="L552" s="103">
        <v>1</v>
      </c>
      <c r="M552" s="104">
        <v>73</v>
      </c>
      <c r="N552" s="102">
        <v>57</v>
      </c>
      <c r="O552" s="102">
        <v>0</v>
      </c>
      <c r="P552" s="102">
        <v>80</v>
      </c>
      <c r="Q552" s="104">
        <f>_xlfn.FLOOR.MATH(0+0*B552)</f>
        <v>0</v>
      </c>
      <c r="R552" s="102">
        <f>_xlfn.FLOOR.MATH(26+0.35*B552)</f>
        <v>64</v>
      </c>
      <c r="S552" s="102">
        <f>_xlfn.FLOOR.MATH(37+0.42*B552)</f>
        <v>83</v>
      </c>
      <c r="T552" s="105">
        <f>_xlfn.FLOOR.MATH(41+0.51*B552)</f>
        <v>97</v>
      </c>
      <c r="U552" s="102">
        <v>15</v>
      </c>
      <c r="V552" s="102">
        <v>32.5</v>
      </c>
      <c r="W552" s="106" t="s">
        <v>158</v>
      </c>
      <c r="Y552" s="102" t="s">
        <v>127</v>
      </c>
      <c r="Z552" s="102" t="s">
        <v>128</v>
      </c>
      <c r="AA552" s="104">
        <v>0</v>
      </c>
      <c r="AB552" s="105">
        <v>0</v>
      </c>
      <c r="AC552" s="104">
        <v>4</v>
      </c>
      <c r="AD552" s="107" t="s">
        <v>1563</v>
      </c>
      <c r="AE552" s="104">
        <v>40</v>
      </c>
      <c r="AF552" s="105">
        <v>70</v>
      </c>
      <c r="AG552" s="104">
        <v>1.28</v>
      </c>
      <c r="AH552" s="102">
        <v>2.4</v>
      </c>
      <c r="AI552" s="105">
        <v>0.625</v>
      </c>
      <c r="AJ552" s="104">
        <v>30</v>
      </c>
      <c r="AK552" s="102">
        <v>40</v>
      </c>
      <c r="AL552" s="102">
        <v>30</v>
      </c>
      <c r="AM552" s="105">
        <v>0</v>
      </c>
      <c r="AN552" s="104">
        <v>43</v>
      </c>
      <c r="AO552" s="102">
        <v>0</v>
      </c>
      <c r="AP552" s="102">
        <v>19</v>
      </c>
      <c r="AQ552" s="105">
        <v>45</v>
      </c>
      <c r="AR552" s="108" t="s">
        <v>1564</v>
      </c>
    </row>
    <row r="553" ht="26.4" spans="1:44">
      <c r="A553" s="100">
        <v>11014212</v>
      </c>
      <c r="B553" s="101">
        <v>110</v>
      </c>
      <c r="C553" s="102">
        <v>4</v>
      </c>
      <c r="D553" s="103" t="s">
        <v>1565</v>
      </c>
      <c r="F553" s="103" t="s">
        <v>1212</v>
      </c>
      <c r="G553" s="103">
        <v>3</v>
      </c>
      <c r="H553" s="103">
        <v>3</v>
      </c>
      <c r="I553" s="104" t="s">
        <v>86</v>
      </c>
      <c r="J553" s="102" t="s">
        <v>157</v>
      </c>
      <c r="K553" s="102">
        <v>55</v>
      </c>
      <c r="L553" s="103">
        <v>1</v>
      </c>
      <c r="M553" s="104">
        <v>73</v>
      </c>
      <c r="N553" s="102">
        <v>57</v>
      </c>
      <c r="O553" s="102">
        <v>0</v>
      </c>
      <c r="P553" s="102">
        <v>75</v>
      </c>
      <c r="Q553" s="104">
        <f>_xlfn.FLOOR.MATH(0+0*B553)</f>
        <v>0</v>
      </c>
      <c r="R553" s="102">
        <f>_xlfn.FLOOR.MATH(26+0.35*B553)</f>
        <v>64</v>
      </c>
      <c r="S553" s="102">
        <f>_xlfn.FLOOR.MATH(37+0.42*B553)</f>
        <v>83</v>
      </c>
      <c r="T553" s="105">
        <f>_xlfn.FLOOR.MATH(41+0.51*B553)</f>
        <v>97</v>
      </c>
      <c r="U553" s="102">
        <v>15</v>
      </c>
      <c r="V553" s="102">
        <v>32.5</v>
      </c>
      <c r="W553" s="106" t="s">
        <v>158</v>
      </c>
      <c r="Y553" s="102" t="s">
        <v>127</v>
      </c>
      <c r="Z553" s="102" t="s">
        <v>128</v>
      </c>
      <c r="AA553" s="104">
        <v>0</v>
      </c>
      <c r="AB553" s="105">
        <v>0</v>
      </c>
      <c r="AC553" s="104">
        <v>4</v>
      </c>
      <c r="AD553" s="107" t="s">
        <v>1566</v>
      </c>
      <c r="AE553" s="104">
        <v>40</v>
      </c>
      <c r="AF553" s="105">
        <v>70</v>
      </c>
      <c r="AG553" s="104">
        <v>1.28</v>
      </c>
      <c r="AH553" s="102">
        <v>2.4</v>
      </c>
      <c r="AI553" s="105">
        <v>0.625</v>
      </c>
      <c r="AJ553" s="104">
        <v>30</v>
      </c>
      <c r="AK553" s="102">
        <v>40</v>
      </c>
      <c r="AL553" s="102">
        <v>30</v>
      </c>
      <c r="AM553" s="105">
        <v>0</v>
      </c>
      <c r="AN553" s="104">
        <v>43</v>
      </c>
      <c r="AO553" s="102">
        <v>0</v>
      </c>
      <c r="AP553" s="102">
        <v>19</v>
      </c>
      <c r="AQ553" s="105">
        <v>38</v>
      </c>
      <c r="AR553" s="108" t="s">
        <v>717</v>
      </c>
    </row>
    <row r="554" ht="52.8" spans="1:44">
      <c r="A554" s="100">
        <v>11014312</v>
      </c>
      <c r="B554" s="101">
        <v>110</v>
      </c>
      <c r="C554" s="102">
        <v>4</v>
      </c>
      <c r="D554" s="103" t="s">
        <v>1567</v>
      </c>
      <c r="F554" s="103" t="s">
        <v>1212</v>
      </c>
      <c r="G554" s="103">
        <v>3</v>
      </c>
      <c r="H554" s="103">
        <v>3</v>
      </c>
      <c r="I554" s="104" t="s">
        <v>86</v>
      </c>
      <c r="J554" s="102" t="s">
        <v>157</v>
      </c>
      <c r="K554" s="102">
        <v>58</v>
      </c>
      <c r="L554" s="103">
        <v>2</v>
      </c>
      <c r="M554" s="104">
        <v>73</v>
      </c>
      <c r="N554" s="102">
        <v>56</v>
      </c>
      <c r="O554" s="102">
        <v>0</v>
      </c>
      <c r="P554" s="102">
        <v>85</v>
      </c>
      <c r="Q554" s="104">
        <f>_xlfn.FLOOR.MATH(0+0*B554)</f>
        <v>0</v>
      </c>
      <c r="R554" s="102">
        <f>_xlfn.FLOOR.MATH(25+0.35*B554)</f>
        <v>63</v>
      </c>
      <c r="S554" s="102">
        <f>_xlfn.FLOOR.MATH(37+0.42*B554)</f>
        <v>83</v>
      </c>
      <c r="T554" s="105">
        <f>_xlfn.FLOOR.MATH(41+0.51*B554)</f>
        <v>97</v>
      </c>
      <c r="U554" s="102">
        <v>20</v>
      </c>
      <c r="V554" s="102">
        <v>32.7</v>
      </c>
      <c r="W554" s="106" t="s">
        <v>158</v>
      </c>
      <c r="Y554" s="102" t="s">
        <v>127</v>
      </c>
      <c r="Z554" s="102" t="s">
        <v>128</v>
      </c>
      <c r="AA554" s="104">
        <v>0</v>
      </c>
      <c r="AB554" s="105">
        <v>0</v>
      </c>
      <c r="AC554" s="104">
        <v>4</v>
      </c>
      <c r="AD554" s="107" t="s">
        <v>1568</v>
      </c>
      <c r="AE554" s="104">
        <v>40</v>
      </c>
      <c r="AF554" s="105">
        <v>70</v>
      </c>
      <c r="AG554" s="104">
        <v>1.28</v>
      </c>
      <c r="AH554" s="102">
        <v>2.4</v>
      </c>
      <c r="AI554" s="105">
        <v>0.625</v>
      </c>
      <c r="AJ554" s="104">
        <v>30</v>
      </c>
      <c r="AK554" s="102">
        <v>40</v>
      </c>
      <c r="AL554" s="102">
        <v>30</v>
      </c>
      <c r="AM554" s="105">
        <v>0</v>
      </c>
      <c r="AN554" s="104">
        <v>43</v>
      </c>
      <c r="AO554" s="102">
        <v>0</v>
      </c>
      <c r="AP554" s="102">
        <v>18</v>
      </c>
      <c r="AQ554" s="105">
        <v>53</v>
      </c>
      <c r="AR554" s="108" t="s">
        <v>1569</v>
      </c>
    </row>
    <row r="555" ht="66" spans="1:44">
      <c r="A555" s="100">
        <v>11014512</v>
      </c>
      <c r="B555" s="101">
        <v>110</v>
      </c>
      <c r="C555" s="102">
        <v>3</v>
      </c>
      <c r="D555" s="103" t="s">
        <v>1570</v>
      </c>
      <c r="E555" s="103" t="s">
        <v>1571</v>
      </c>
      <c r="F555" s="103" t="s">
        <v>1212</v>
      </c>
      <c r="G555" s="103">
        <v>2</v>
      </c>
      <c r="H555" s="103">
        <v>2</v>
      </c>
      <c r="I555" s="104" t="s">
        <v>60</v>
      </c>
      <c r="J555" s="102" t="s">
        <v>184</v>
      </c>
      <c r="K555" s="102">
        <v>40</v>
      </c>
      <c r="L555" s="103">
        <v>0</v>
      </c>
      <c r="M555" s="104">
        <v>50</v>
      </c>
      <c r="N555" s="102">
        <v>33</v>
      </c>
      <c r="O555" s="102">
        <v>85</v>
      </c>
      <c r="P555" s="102">
        <v>59</v>
      </c>
      <c r="Q555" s="104">
        <f>_xlfn.FLOOR.MATH(37+0.47*B555)</f>
        <v>88</v>
      </c>
      <c r="R555" s="102">
        <f>_xlfn.FLOOR.MATH(10+0.2*B555)</f>
        <v>32</v>
      </c>
      <c r="S555" s="102">
        <f>_xlfn.FLOOR.MATH(48+0.36*B555)</f>
        <v>87</v>
      </c>
      <c r="T555" s="105">
        <f>_xlfn.FLOOR.MATH(36+0.54*B555)</f>
        <v>95</v>
      </c>
      <c r="U555" s="102">
        <v>13</v>
      </c>
      <c r="V555" s="102">
        <v>35.2</v>
      </c>
      <c r="W555" s="106" t="s">
        <v>158</v>
      </c>
      <c r="Y555" s="102" t="s">
        <v>127</v>
      </c>
      <c r="Z555" s="102" t="s">
        <v>128</v>
      </c>
      <c r="AA555" s="104">
        <v>0</v>
      </c>
      <c r="AB555" s="105">
        <v>0</v>
      </c>
      <c r="AC555" s="104">
        <v>3</v>
      </c>
      <c r="AD555" s="107" t="s">
        <v>1572</v>
      </c>
      <c r="AE555" s="104">
        <v>20</v>
      </c>
      <c r="AF555" s="105">
        <v>35</v>
      </c>
      <c r="AG555" s="104">
        <v>1</v>
      </c>
      <c r="AH555" s="102">
        <v>1.6</v>
      </c>
      <c r="AI555" s="105">
        <v>0.55</v>
      </c>
      <c r="AJ555" s="104">
        <v>10</v>
      </c>
      <c r="AK555" s="102">
        <v>16</v>
      </c>
      <c r="AL555" s="102">
        <v>10</v>
      </c>
      <c r="AM555" s="105">
        <v>0</v>
      </c>
      <c r="AN555" s="104">
        <v>10</v>
      </c>
      <c r="AO555" s="102">
        <v>43</v>
      </c>
      <c r="AP555" s="102">
        <v>7</v>
      </c>
      <c r="AQ555" s="105">
        <v>15</v>
      </c>
      <c r="AR555" s="108" t="s">
        <v>1573</v>
      </c>
    </row>
    <row r="556" ht="79.2" spans="1:44">
      <c r="A556" s="100">
        <v>11015012</v>
      </c>
      <c r="B556" s="101">
        <v>110</v>
      </c>
      <c r="C556" s="102">
        <v>3</v>
      </c>
      <c r="D556" s="103" t="s">
        <v>1574</v>
      </c>
      <c r="F556" s="103" t="s">
        <v>1212</v>
      </c>
      <c r="G556" s="103">
        <v>2</v>
      </c>
      <c r="H556" s="103">
        <v>2</v>
      </c>
      <c r="I556" s="104" t="s">
        <v>50</v>
      </c>
      <c r="J556" s="102" t="s">
        <v>184</v>
      </c>
      <c r="K556" s="102">
        <v>45</v>
      </c>
      <c r="L556" s="103">
        <v>-1</v>
      </c>
      <c r="M556" s="104">
        <v>55</v>
      </c>
      <c r="N556" s="102">
        <v>42</v>
      </c>
      <c r="O556" s="102">
        <v>75</v>
      </c>
      <c r="P556" s="102">
        <v>72</v>
      </c>
      <c r="Q556" s="104">
        <f>_xlfn.FLOOR.MATH(45+0.5*B556)</f>
        <v>100</v>
      </c>
      <c r="R556" s="102">
        <f>_xlfn.FLOOR.MATH(15+0.25*B556)</f>
        <v>42</v>
      </c>
      <c r="S556" s="102">
        <f>_xlfn.FLOOR.MATH(38+0.36*B556)</f>
        <v>77</v>
      </c>
      <c r="T556" s="105">
        <f>_xlfn.FLOOR.MATH(36+0.54*B556)</f>
        <v>95</v>
      </c>
      <c r="U556" s="102">
        <v>24</v>
      </c>
      <c r="V556" s="102">
        <v>33</v>
      </c>
      <c r="W556" s="106" t="s">
        <v>158</v>
      </c>
      <c r="Y556" s="102" t="s">
        <v>127</v>
      </c>
      <c r="Z556" s="102" t="s">
        <v>128</v>
      </c>
      <c r="AA556" s="104">
        <v>0</v>
      </c>
      <c r="AB556" s="105">
        <v>0</v>
      </c>
      <c r="AC556" s="104">
        <v>3</v>
      </c>
      <c r="AD556" s="107" t="s">
        <v>1575</v>
      </c>
      <c r="AE556" s="104">
        <v>20</v>
      </c>
      <c r="AF556" s="105">
        <v>30</v>
      </c>
      <c r="AG556" s="104">
        <v>0.8</v>
      </c>
      <c r="AH556" s="102">
        <v>1.5</v>
      </c>
      <c r="AI556" s="105">
        <v>0.5</v>
      </c>
      <c r="AJ556" s="104">
        <v>10</v>
      </c>
      <c r="AK556" s="102">
        <v>16</v>
      </c>
      <c r="AL556" s="102">
        <v>10</v>
      </c>
      <c r="AM556" s="105">
        <v>0</v>
      </c>
      <c r="AN556" s="104">
        <v>17</v>
      </c>
      <c r="AO556" s="102">
        <v>30</v>
      </c>
      <c r="AP556" s="102">
        <v>11</v>
      </c>
      <c r="AQ556" s="105">
        <v>27</v>
      </c>
      <c r="AR556" s="108" t="s">
        <v>1576</v>
      </c>
    </row>
    <row r="557" ht="52.8" spans="1:44">
      <c r="A557" s="100">
        <v>11015112</v>
      </c>
      <c r="B557" s="101">
        <v>110</v>
      </c>
      <c r="C557" s="102">
        <v>3</v>
      </c>
      <c r="D557" s="103" t="s">
        <v>1577</v>
      </c>
      <c r="F557" s="103" t="s">
        <v>1212</v>
      </c>
      <c r="G557" s="103">
        <v>2</v>
      </c>
      <c r="H557" s="103">
        <v>2</v>
      </c>
      <c r="I557" s="104" t="s">
        <v>50</v>
      </c>
      <c r="J557" s="102" t="s">
        <v>184</v>
      </c>
      <c r="K557" s="102">
        <v>45</v>
      </c>
      <c r="L557" s="103">
        <v>-1</v>
      </c>
      <c r="M557" s="104">
        <v>58</v>
      </c>
      <c r="N557" s="102">
        <v>43</v>
      </c>
      <c r="O557" s="102">
        <v>75</v>
      </c>
      <c r="P557" s="102">
        <v>72</v>
      </c>
      <c r="Q557" s="104">
        <f>_xlfn.FLOOR.MATH(45+0.5*B557)</f>
        <v>100</v>
      </c>
      <c r="R557" s="102">
        <f>_xlfn.FLOOR.MATH(15+0.25*B557)</f>
        <v>42</v>
      </c>
      <c r="S557" s="102">
        <f>_xlfn.FLOOR.MATH(38+0.36*B557)</f>
        <v>77</v>
      </c>
      <c r="T557" s="105">
        <f>_xlfn.FLOOR.MATH(36+0.54*B557)</f>
        <v>95</v>
      </c>
      <c r="U557" s="102">
        <v>25</v>
      </c>
      <c r="V557" s="102">
        <v>33</v>
      </c>
      <c r="W557" s="106" t="s">
        <v>158</v>
      </c>
      <c r="Y557" s="102" t="s">
        <v>127</v>
      </c>
      <c r="Z557" s="102" t="s">
        <v>128</v>
      </c>
      <c r="AA557" s="104">
        <v>0</v>
      </c>
      <c r="AB557" s="105">
        <v>0</v>
      </c>
      <c r="AC557" s="104">
        <v>3</v>
      </c>
      <c r="AD557" s="107" t="s">
        <v>1578</v>
      </c>
      <c r="AE557" s="104">
        <v>20</v>
      </c>
      <c r="AF557" s="105">
        <v>30</v>
      </c>
      <c r="AG557" s="104">
        <v>0.8</v>
      </c>
      <c r="AH557" s="102">
        <v>1.5</v>
      </c>
      <c r="AI557" s="105">
        <v>0.5</v>
      </c>
      <c r="AJ557" s="104">
        <v>10</v>
      </c>
      <c r="AK557" s="102">
        <v>16</v>
      </c>
      <c r="AL557" s="102">
        <v>10</v>
      </c>
      <c r="AM557" s="105">
        <v>0</v>
      </c>
      <c r="AN557" s="104">
        <v>18</v>
      </c>
      <c r="AO557" s="102">
        <v>30</v>
      </c>
      <c r="AP557" s="102">
        <v>12</v>
      </c>
      <c r="AQ557" s="105">
        <v>27</v>
      </c>
      <c r="AR557" s="108" t="s">
        <v>1579</v>
      </c>
    </row>
    <row r="558" ht="52.8" spans="1:44">
      <c r="A558" s="100">
        <v>11016012</v>
      </c>
      <c r="B558" s="101">
        <v>110</v>
      </c>
      <c r="C558" s="102">
        <v>4</v>
      </c>
      <c r="D558" s="103" t="s">
        <v>1580</v>
      </c>
      <c r="F558" s="103" t="s">
        <v>1212</v>
      </c>
      <c r="G558" s="103">
        <v>2</v>
      </c>
      <c r="H558" s="103">
        <v>2</v>
      </c>
      <c r="I558" s="104" t="s">
        <v>326</v>
      </c>
      <c r="J558" s="102" t="s">
        <v>184</v>
      </c>
      <c r="K558" s="102">
        <v>43</v>
      </c>
      <c r="L558" s="103">
        <v>1</v>
      </c>
      <c r="M558" s="104">
        <v>58</v>
      </c>
      <c r="N558" s="102">
        <v>38</v>
      </c>
      <c r="O558" s="102">
        <v>67</v>
      </c>
      <c r="P558" s="102">
        <v>67</v>
      </c>
      <c r="Q558" s="104">
        <f>_xlfn.FLOOR.MATH(28+0.4*B558)</f>
        <v>72</v>
      </c>
      <c r="R558" s="102">
        <f>_xlfn.FLOOR.MATH(12+0.16*B558)</f>
        <v>29</v>
      </c>
      <c r="S558" s="102">
        <f>_xlfn.FLOOR.MATH(41+0.36*B558)</f>
        <v>80</v>
      </c>
      <c r="T558" s="105">
        <f>_xlfn.FLOOR.MATH(37+0.54*B558)</f>
        <v>96</v>
      </c>
      <c r="U558" s="102">
        <v>20</v>
      </c>
      <c r="V558" s="102">
        <v>35</v>
      </c>
      <c r="W558" s="106" t="s">
        <v>158</v>
      </c>
      <c r="Y558" s="102" t="s">
        <v>127</v>
      </c>
      <c r="Z558" s="102" t="s">
        <v>128</v>
      </c>
      <c r="AA558" s="104" t="s">
        <v>160</v>
      </c>
      <c r="AB558" s="105">
        <v>6</v>
      </c>
      <c r="AC558" s="104">
        <v>3</v>
      </c>
      <c r="AD558" s="107" t="s">
        <v>1581</v>
      </c>
      <c r="AE558" s="104">
        <v>25</v>
      </c>
      <c r="AF558" s="105">
        <v>25</v>
      </c>
      <c r="AG558" s="104">
        <v>0.8</v>
      </c>
      <c r="AH558" s="102">
        <v>1.5</v>
      </c>
      <c r="AI558" s="105">
        <v>0.4</v>
      </c>
      <c r="AJ558" s="104">
        <v>10</v>
      </c>
      <c r="AK558" s="102">
        <v>16</v>
      </c>
      <c r="AL558" s="102">
        <v>10</v>
      </c>
      <c r="AM558" s="105">
        <v>0</v>
      </c>
      <c r="AN558" s="104">
        <v>14</v>
      </c>
      <c r="AO558" s="102">
        <v>22</v>
      </c>
      <c r="AP558" s="102">
        <v>9</v>
      </c>
      <c r="AQ558" s="105">
        <v>20</v>
      </c>
      <c r="AR558" s="108" t="s">
        <v>1582</v>
      </c>
    </row>
    <row r="559" ht="39.6" spans="1:44">
      <c r="A559" s="100">
        <v>11016212</v>
      </c>
      <c r="B559" s="101">
        <v>110</v>
      </c>
      <c r="C559" s="102">
        <v>5</v>
      </c>
      <c r="D559" s="103" t="s">
        <v>1583</v>
      </c>
      <c r="F559" s="103" t="s">
        <v>1212</v>
      </c>
      <c r="G559" s="103">
        <v>1</v>
      </c>
      <c r="H559" s="103">
        <v>2</v>
      </c>
      <c r="I559" s="104" t="s">
        <v>233</v>
      </c>
      <c r="J559" s="102" t="s">
        <v>184</v>
      </c>
      <c r="K559" s="102">
        <v>33</v>
      </c>
      <c r="L559" s="103">
        <v>-1</v>
      </c>
      <c r="M559" s="104">
        <v>47</v>
      </c>
      <c r="N559" s="102">
        <v>33</v>
      </c>
      <c r="O559" s="102">
        <v>58</v>
      </c>
      <c r="P559" s="102">
        <v>65</v>
      </c>
      <c r="Q559" s="104">
        <f>_xlfn.FLOOR.MATH(25+0.5*B559)</f>
        <v>80</v>
      </c>
      <c r="R559" s="102">
        <f>_xlfn.FLOOR.MATH(16+0.2*B559)</f>
        <v>38</v>
      </c>
      <c r="S559" s="102">
        <f>_xlfn.FLOOR.MATH(29+0.36*B559)</f>
        <v>68</v>
      </c>
      <c r="T559" s="105">
        <f>_xlfn.FLOOR.MATH(38+0.54*B559)</f>
        <v>97</v>
      </c>
      <c r="U559" s="102">
        <v>35</v>
      </c>
      <c r="V559" s="102">
        <v>20</v>
      </c>
      <c r="W559" s="106" t="s">
        <v>158</v>
      </c>
      <c r="Y559" s="102" t="s">
        <v>127</v>
      </c>
      <c r="Z559" s="102" t="s">
        <v>128</v>
      </c>
      <c r="AA559" s="104">
        <v>0</v>
      </c>
      <c r="AB559" s="105">
        <v>0</v>
      </c>
      <c r="AC559" s="104">
        <v>3</v>
      </c>
      <c r="AD559" s="107" t="s">
        <v>1584</v>
      </c>
      <c r="AE559" s="104">
        <v>30</v>
      </c>
      <c r="AF559" s="105">
        <v>35</v>
      </c>
      <c r="AG559" s="104">
        <v>0.8</v>
      </c>
      <c r="AH559" s="102">
        <v>1.5</v>
      </c>
      <c r="AI559" s="105">
        <v>0.4</v>
      </c>
      <c r="AJ559" s="104">
        <v>10</v>
      </c>
      <c r="AK559" s="102">
        <v>16</v>
      </c>
      <c r="AL559" s="102">
        <v>10</v>
      </c>
      <c r="AM559" s="105">
        <v>0</v>
      </c>
      <c r="AN559" s="104">
        <v>9</v>
      </c>
      <c r="AO559" s="102">
        <v>13</v>
      </c>
      <c r="AP559" s="102">
        <v>7</v>
      </c>
      <c r="AQ559" s="105">
        <v>18</v>
      </c>
      <c r="AR559" s="108" t="s">
        <v>1585</v>
      </c>
    </row>
    <row r="560" ht="52.8" spans="1:44">
      <c r="A560" s="100">
        <v>11016411</v>
      </c>
      <c r="B560" s="101">
        <v>110</v>
      </c>
      <c r="C560" s="102">
        <v>3</v>
      </c>
      <c r="D560" s="103" t="s">
        <v>1586</v>
      </c>
      <c r="E560" s="103" t="s">
        <v>1587</v>
      </c>
      <c r="F560" s="103" t="s">
        <v>1212</v>
      </c>
      <c r="G560" s="103">
        <v>2</v>
      </c>
      <c r="H560" s="103">
        <v>2</v>
      </c>
      <c r="I560" s="104" t="s">
        <v>60</v>
      </c>
      <c r="J560" s="102" t="s">
        <v>246</v>
      </c>
      <c r="K560" s="102">
        <v>34</v>
      </c>
      <c r="L560" s="103">
        <v>2</v>
      </c>
      <c r="M560" s="104">
        <v>40</v>
      </c>
      <c r="N560" s="102">
        <v>38</v>
      </c>
      <c r="O560" s="102">
        <v>85</v>
      </c>
      <c r="P560" s="102">
        <v>70</v>
      </c>
      <c r="Q560" s="104">
        <f>_xlfn.FLOOR.MATH(26+0.4*B560)</f>
        <v>70</v>
      </c>
      <c r="R560" s="102">
        <f>_xlfn.FLOOR.MATH(8+0.3*B560)</f>
        <v>41</v>
      </c>
      <c r="S560" s="102">
        <f>_xlfn.FLOOR.MATH(40+0.4*B560)</f>
        <v>84</v>
      </c>
      <c r="T560" s="105">
        <f>_xlfn.FLOOR.MATH(33+0.55*B560)</f>
        <v>93</v>
      </c>
      <c r="U560" s="102">
        <v>10</v>
      </c>
      <c r="V560" s="102">
        <v>33</v>
      </c>
      <c r="W560" s="106" t="s">
        <v>115</v>
      </c>
      <c r="Y560" s="102" t="s">
        <v>241</v>
      </c>
      <c r="Z560" s="102" t="s">
        <v>128</v>
      </c>
      <c r="AA560" s="104">
        <v>0</v>
      </c>
      <c r="AB560" s="105">
        <v>0</v>
      </c>
      <c r="AC560" s="104">
        <v>3</v>
      </c>
      <c r="AD560" s="107" t="s">
        <v>1588</v>
      </c>
      <c r="AE560" s="104">
        <v>15</v>
      </c>
      <c r="AF560" s="105">
        <v>25</v>
      </c>
      <c r="AG560" s="104">
        <v>0.48</v>
      </c>
      <c r="AH560" s="102">
        <v>0.9</v>
      </c>
      <c r="AI560" s="105">
        <v>0.5</v>
      </c>
      <c r="AJ560" s="104">
        <v>4</v>
      </c>
      <c r="AK560" s="102">
        <v>8</v>
      </c>
      <c r="AL560" s="102">
        <v>6</v>
      </c>
      <c r="AM560" s="105">
        <v>0</v>
      </c>
      <c r="AN560" s="104">
        <v>0</v>
      </c>
      <c r="AO560" s="102">
        <v>33</v>
      </c>
      <c r="AP560" s="102">
        <v>13</v>
      </c>
      <c r="AQ560" s="105">
        <v>4</v>
      </c>
      <c r="AR560" s="108" t="s">
        <v>1589</v>
      </c>
    </row>
    <row r="561" ht="52.8" spans="1:44">
      <c r="A561" s="100">
        <v>11016511</v>
      </c>
      <c r="B561" s="101">
        <v>110</v>
      </c>
      <c r="C561" s="102">
        <v>3</v>
      </c>
      <c r="D561" s="103" t="s">
        <v>1590</v>
      </c>
      <c r="E561" s="103" t="s">
        <v>1591</v>
      </c>
      <c r="F561" s="103" t="s">
        <v>1212</v>
      </c>
      <c r="G561" s="103">
        <v>2</v>
      </c>
      <c r="H561" s="103">
        <v>2</v>
      </c>
      <c r="I561" s="104" t="s">
        <v>60</v>
      </c>
      <c r="J561" s="102" t="s">
        <v>246</v>
      </c>
      <c r="K561" s="102">
        <v>34</v>
      </c>
      <c r="L561" s="103">
        <v>2</v>
      </c>
      <c r="M561" s="104">
        <v>40</v>
      </c>
      <c r="N561" s="102">
        <v>38</v>
      </c>
      <c r="O561" s="102">
        <v>85</v>
      </c>
      <c r="P561" s="102">
        <v>72</v>
      </c>
      <c r="Q561" s="104">
        <f>_xlfn.FLOOR.MATH(23+0.4*B561)</f>
        <v>67</v>
      </c>
      <c r="R561" s="102">
        <f>_xlfn.FLOOR.MATH(8+0.3*B561)</f>
        <v>41</v>
      </c>
      <c r="S561" s="102">
        <f>_xlfn.FLOOR.MATH(40+0.4*B561)</f>
        <v>84</v>
      </c>
      <c r="T561" s="105">
        <f>_xlfn.FLOOR.MATH(32+0.55*B561)</f>
        <v>92</v>
      </c>
      <c r="U561" s="102">
        <v>15</v>
      </c>
      <c r="V561" s="102">
        <v>34</v>
      </c>
      <c r="W561" s="106" t="s">
        <v>115</v>
      </c>
      <c r="Y561" s="102" t="s">
        <v>241</v>
      </c>
      <c r="Z561" s="102" t="s">
        <v>128</v>
      </c>
      <c r="AA561" s="104">
        <v>0</v>
      </c>
      <c r="AB561" s="105">
        <v>0</v>
      </c>
      <c r="AC561" s="104">
        <v>3</v>
      </c>
      <c r="AD561" s="107" t="s">
        <v>1592</v>
      </c>
      <c r="AE561" s="104">
        <v>15</v>
      </c>
      <c r="AF561" s="105">
        <v>25</v>
      </c>
      <c r="AG561" s="104">
        <v>0.48</v>
      </c>
      <c r="AH561" s="102">
        <v>0.9</v>
      </c>
      <c r="AI561" s="105">
        <v>0.5</v>
      </c>
      <c r="AJ561" s="104">
        <v>4</v>
      </c>
      <c r="AK561" s="102">
        <v>8</v>
      </c>
      <c r="AL561" s="102">
        <v>6</v>
      </c>
      <c r="AM561" s="105">
        <v>0</v>
      </c>
      <c r="AN561" s="104">
        <v>0</v>
      </c>
      <c r="AO561" s="102">
        <v>33</v>
      </c>
      <c r="AP561" s="102">
        <v>13</v>
      </c>
      <c r="AQ561" s="105">
        <v>6</v>
      </c>
      <c r="AR561" s="108" t="s">
        <v>1589</v>
      </c>
    </row>
    <row r="562" ht="52.8" spans="1:44">
      <c r="A562" s="100">
        <v>11016611</v>
      </c>
      <c r="B562" s="101">
        <v>110</v>
      </c>
      <c r="C562" s="102">
        <v>4</v>
      </c>
      <c r="D562" s="103" t="s">
        <v>1593</v>
      </c>
      <c r="E562" s="103" t="s">
        <v>1594</v>
      </c>
      <c r="F562" s="103" t="s">
        <v>1212</v>
      </c>
      <c r="G562" s="103">
        <v>2</v>
      </c>
      <c r="H562" s="103">
        <v>4</v>
      </c>
      <c r="I562" s="104" t="s">
        <v>60</v>
      </c>
      <c r="J562" s="102" t="s">
        <v>246</v>
      </c>
      <c r="K562" s="102">
        <v>31</v>
      </c>
      <c r="L562" s="103">
        <v>1</v>
      </c>
      <c r="M562" s="104">
        <v>38</v>
      </c>
      <c r="N562" s="102">
        <v>38</v>
      </c>
      <c r="O562" s="102">
        <v>97</v>
      </c>
      <c r="P562" s="102">
        <v>55</v>
      </c>
      <c r="Q562" s="104">
        <f>_xlfn.FLOOR.MATH(25+0.4*B562)</f>
        <v>69</v>
      </c>
      <c r="R562" s="102">
        <f>_xlfn.FLOOR.MATH(6+0.3*B562)</f>
        <v>39</v>
      </c>
      <c r="S562" s="102">
        <f>_xlfn.FLOOR.MATH(50+0.4*B562)</f>
        <v>94</v>
      </c>
      <c r="T562" s="105">
        <f>_xlfn.FLOOR.MATH(33+0.55*B562)</f>
        <v>93</v>
      </c>
      <c r="U562" s="102">
        <v>10</v>
      </c>
      <c r="V562" s="102">
        <v>34</v>
      </c>
      <c r="W562" s="106" t="s">
        <v>115</v>
      </c>
      <c r="Y562" s="102" t="s">
        <v>241</v>
      </c>
      <c r="Z562" s="102" t="s">
        <v>128</v>
      </c>
      <c r="AA562" s="104">
        <v>0</v>
      </c>
      <c r="AB562" s="105">
        <v>0</v>
      </c>
      <c r="AC562" s="104">
        <v>3</v>
      </c>
      <c r="AD562" s="107" t="s">
        <v>1572</v>
      </c>
      <c r="AE562" s="104">
        <v>15</v>
      </c>
      <c r="AF562" s="105">
        <v>20</v>
      </c>
      <c r="AG562" s="104">
        <v>0.48</v>
      </c>
      <c r="AH562" s="102">
        <v>0.9</v>
      </c>
      <c r="AI562" s="105">
        <v>0.5</v>
      </c>
      <c r="AJ562" s="104">
        <v>4</v>
      </c>
      <c r="AK562" s="102">
        <v>8</v>
      </c>
      <c r="AL562" s="102">
        <v>6</v>
      </c>
      <c r="AM562" s="105">
        <v>0</v>
      </c>
      <c r="AN562" s="104">
        <v>0</v>
      </c>
      <c r="AO562" s="102">
        <v>46</v>
      </c>
      <c r="AP562" s="102">
        <v>13</v>
      </c>
      <c r="AQ562" s="105">
        <v>0</v>
      </c>
      <c r="AR562" s="108" t="s">
        <v>1595</v>
      </c>
    </row>
    <row r="563" ht="66" spans="1:44">
      <c r="A563" s="100">
        <v>11016711</v>
      </c>
      <c r="B563" s="101">
        <v>110</v>
      </c>
      <c r="C563" s="102">
        <v>3</v>
      </c>
      <c r="D563" s="103" t="s">
        <v>1596</v>
      </c>
      <c r="F563" s="103" t="s">
        <v>1212</v>
      </c>
      <c r="G563" s="103">
        <v>2</v>
      </c>
      <c r="H563" s="103">
        <v>2</v>
      </c>
      <c r="I563" s="104" t="s">
        <v>60</v>
      </c>
      <c r="J563" s="102" t="s">
        <v>246</v>
      </c>
      <c r="K563" s="102">
        <v>31</v>
      </c>
      <c r="L563" s="103">
        <v>1</v>
      </c>
      <c r="M563" s="104">
        <v>38</v>
      </c>
      <c r="N563" s="102">
        <v>38</v>
      </c>
      <c r="O563" s="102">
        <v>97</v>
      </c>
      <c r="P563" s="102">
        <v>50</v>
      </c>
      <c r="Q563" s="104">
        <f>_xlfn.FLOOR.MATH(25+0.4*B563)</f>
        <v>69</v>
      </c>
      <c r="R563" s="102">
        <f>_xlfn.FLOOR.MATH(6+0.3*B563)</f>
        <v>39</v>
      </c>
      <c r="S563" s="102">
        <f>_xlfn.FLOOR.MATH(50+0.4*B563)</f>
        <v>94</v>
      </c>
      <c r="T563" s="105">
        <f>_xlfn.FLOOR.MATH(32+0.55*B563)</f>
        <v>92</v>
      </c>
      <c r="U563" s="102">
        <v>15</v>
      </c>
      <c r="V563" s="102">
        <v>34</v>
      </c>
      <c r="W563" s="106" t="s">
        <v>115</v>
      </c>
      <c r="Y563" s="102" t="s">
        <v>241</v>
      </c>
      <c r="Z563" s="102" t="s">
        <v>128</v>
      </c>
      <c r="AA563" s="104">
        <v>0</v>
      </c>
      <c r="AB563" s="105">
        <v>0</v>
      </c>
      <c r="AC563" s="104">
        <v>3</v>
      </c>
      <c r="AD563" s="107" t="s">
        <v>1572</v>
      </c>
      <c r="AE563" s="104">
        <v>15</v>
      </c>
      <c r="AF563" s="105">
        <v>20</v>
      </c>
      <c r="AG563" s="104">
        <v>0.48</v>
      </c>
      <c r="AH563" s="102">
        <v>0.9</v>
      </c>
      <c r="AI563" s="105">
        <v>0.5</v>
      </c>
      <c r="AJ563" s="104">
        <v>4</v>
      </c>
      <c r="AK563" s="102">
        <v>8</v>
      </c>
      <c r="AL563" s="102">
        <v>6</v>
      </c>
      <c r="AM563" s="105">
        <v>0</v>
      </c>
      <c r="AN563" s="104">
        <v>0</v>
      </c>
      <c r="AO563" s="102">
        <v>46</v>
      </c>
      <c r="AP563" s="102">
        <v>13</v>
      </c>
      <c r="AQ563" s="105">
        <v>0</v>
      </c>
      <c r="AR563" s="108" t="s">
        <v>1597</v>
      </c>
    </row>
    <row r="564" ht="52.8" spans="1:44">
      <c r="A564" s="100">
        <v>11016811</v>
      </c>
      <c r="B564" s="101">
        <v>110</v>
      </c>
      <c r="C564" s="102">
        <v>3</v>
      </c>
      <c r="D564" s="103" t="s">
        <v>1598</v>
      </c>
      <c r="E564" s="103" t="s">
        <v>1599</v>
      </c>
      <c r="F564" s="103" t="s">
        <v>1212</v>
      </c>
      <c r="G564" s="103">
        <v>2</v>
      </c>
      <c r="H564" s="103">
        <v>3</v>
      </c>
      <c r="I564" s="104" t="s">
        <v>60</v>
      </c>
      <c r="J564" s="102" t="s">
        <v>246</v>
      </c>
      <c r="K564" s="102">
        <v>31</v>
      </c>
      <c r="L564" s="103">
        <v>1</v>
      </c>
      <c r="M564" s="104">
        <v>38</v>
      </c>
      <c r="N564" s="102">
        <v>38</v>
      </c>
      <c r="O564" s="102">
        <v>97</v>
      </c>
      <c r="P564" s="102">
        <v>52</v>
      </c>
      <c r="Q564" s="104">
        <f>_xlfn.FLOOR.MATH(30+0.4*B564)</f>
        <v>74</v>
      </c>
      <c r="R564" s="102">
        <f>_xlfn.FLOOR.MATH(7+0.3*B564)</f>
        <v>40</v>
      </c>
      <c r="S564" s="102">
        <f>_xlfn.FLOOR.MATH(50+0.4*B564)</f>
        <v>94</v>
      </c>
      <c r="T564" s="105">
        <f>_xlfn.FLOOR.MATH(32+0.55*B564)</f>
        <v>92</v>
      </c>
      <c r="U564" s="102">
        <v>10</v>
      </c>
      <c r="V564" s="102">
        <v>34</v>
      </c>
      <c r="W564" s="106" t="s">
        <v>115</v>
      </c>
      <c r="Y564" s="102" t="s">
        <v>241</v>
      </c>
      <c r="Z564" s="102" t="s">
        <v>128</v>
      </c>
      <c r="AA564" s="104">
        <v>0</v>
      </c>
      <c r="AB564" s="105">
        <v>0</v>
      </c>
      <c r="AC564" s="104">
        <v>3</v>
      </c>
      <c r="AD564" s="107" t="s">
        <v>1572</v>
      </c>
      <c r="AE564" s="104">
        <v>15</v>
      </c>
      <c r="AF564" s="105">
        <v>20</v>
      </c>
      <c r="AG564" s="104">
        <v>0.48</v>
      </c>
      <c r="AH564" s="102">
        <v>0.9</v>
      </c>
      <c r="AI564" s="105">
        <v>0.5</v>
      </c>
      <c r="AJ564" s="104">
        <v>4</v>
      </c>
      <c r="AK564" s="102">
        <v>8</v>
      </c>
      <c r="AL564" s="102">
        <v>6</v>
      </c>
      <c r="AM564" s="105">
        <v>0</v>
      </c>
      <c r="AN564" s="104">
        <v>0</v>
      </c>
      <c r="AO564" s="102">
        <v>46</v>
      </c>
      <c r="AP564" s="102">
        <v>13</v>
      </c>
      <c r="AQ564" s="105">
        <v>0</v>
      </c>
      <c r="AR564" s="108" t="s">
        <v>1600</v>
      </c>
    </row>
    <row r="565" ht="92.4" spans="1:45">
      <c r="A565" s="100">
        <v>11016911</v>
      </c>
      <c r="B565" s="101">
        <v>110</v>
      </c>
      <c r="C565" s="102">
        <v>6</v>
      </c>
      <c r="D565" s="103" t="s">
        <v>1601</v>
      </c>
      <c r="F565" s="103" t="s">
        <v>1212</v>
      </c>
      <c r="G565" s="103">
        <v>4</v>
      </c>
      <c r="H565" s="103">
        <v>5</v>
      </c>
      <c r="I565" s="104" t="s">
        <v>233</v>
      </c>
      <c r="J565" s="102" t="s">
        <v>246</v>
      </c>
      <c r="K565" s="102">
        <v>32</v>
      </c>
      <c r="L565" s="103">
        <v>0</v>
      </c>
      <c r="M565" s="104">
        <v>37</v>
      </c>
      <c r="N565" s="102">
        <v>34</v>
      </c>
      <c r="O565" s="102">
        <v>83</v>
      </c>
      <c r="P565" s="102">
        <v>75</v>
      </c>
      <c r="Q565" s="104">
        <f>_xlfn.FLOOR.MATH(45+0.4*B565)</f>
        <v>89</v>
      </c>
      <c r="R565" s="102">
        <f>_xlfn.FLOOR.MATH(7+0.3*B565)</f>
        <v>40</v>
      </c>
      <c r="S565" s="102">
        <f>_xlfn.FLOOR.MATH(60+0.4*B565)</f>
        <v>104</v>
      </c>
      <c r="T565" s="105">
        <f>_xlfn.FLOOR.MATH(35+0.55*B565)</f>
        <v>95</v>
      </c>
      <c r="U565" s="102">
        <v>53</v>
      </c>
      <c r="V565" s="102">
        <v>35</v>
      </c>
      <c r="W565" s="106" t="s">
        <v>115</v>
      </c>
      <c r="Y565" s="102" t="s">
        <v>241</v>
      </c>
      <c r="Z565" s="102" t="s">
        <v>128</v>
      </c>
      <c r="AA565" s="104">
        <v>0</v>
      </c>
      <c r="AB565" s="105">
        <v>0</v>
      </c>
      <c r="AC565" s="104">
        <v>3</v>
      </c>
      <c r="AD565" s="107" t="s">
        <v>316</v>
      </c>
      <c r="AE565" s="104">
        <v>15</v>
      </c>
      <c r="AF565" s="105">
        <v>25</v>
      </c>
      <c r="AG565" s="104">
        <v>0.45</v>
      </c>
      <c r="AH565" s="102">
        <v>0.8</v>
      </c>
      <c r="AI565" s="105">
        <v>0.4</v>
      </c>
      <c r="AJ565" s="104">
        <v>4</v>
      </c>
      <c r="AK565" s="102">
        <v>8</v>
      </c>
      <c r="AL565" s="102">
        <v>6</v>
      </c>
      <c r="AM565" s="105">
        <v>0</v>
      </c>
      <c r="AN565" s="104">
        <v>0</v>
      </c>
      <c r="AO565" s="102">
        <v>28</v>
      </c>
      <c r="AP565" s="102">
        <v>9</v>
      </c>
      <c r="AQ565" s="105">
        <v>9</v>
      </c>
      <c r="AR565" s="108" t="s">
        <v>518</v>
      </c>
      <c r="AS565" s="109" t="s">
        <v>1602</v>
      </c>
    </row>
    <row r="566" ht="79.2" spans="1:44">
      <c r="A566" s="100">
        <v>11017111</v>
      </c>
      <c r="B566" s="101">
        <v>110</v>
      </c>
      <c r="C566" s="102">
        <v>6</v>
      </c>
      <c r="D566" s="103" t="s">
        <v>1603</v>
      </c>
      <c r="F566" s="103" t="s">
        <v>1212</v>
      </c>
      <c r="G566" s="103">
        <v>2</v>
      </c>
      <c r="H566" s="103">
        <v>3</v>
      </c>
      <c r="I566" s="104" t="s">
        <v>73</v>
      </c>
      <c r="J566" s="102" t="s">
        <v>246</v>
      </c>
      <c r="K566" s="102">
        <v>36</v>
      </c>
      <c r="L566" s="103">
        <v>0</v>
      </c>
      <c r="M566" s="104">
        <v>40</v>
      </c>
      <c r="N566" s="102">
        <v>38</v>
      </c>
      <c r="O566" s="102">
        <v>83</v>
      </c>
      <c r="P566" s="102">
        <v>68</v>
      </c>
      <c r="Q566" s="104">
        <f>_xlfn.FLOOR.MATH(35+0.3*B566)</f>
        <v>68</v>
      </c>
      <c r="R566" s="102">
        <f>_xlfn.FLOOR.MATH(10+0.1*B566)</f>
        <v>21</v>
      </c>
      <c r="S566" s="102">
        <f>_xlfn.FLOOR.MATH(48+0.4*B566)</f>
        <v>92</v>
      </c>
      <c r="T566" s="105">
        <f>_xlfn.FLOOR.MATH(35+0.55*B566)</f>
        <v>95</v>
      </c>
      <c r="U566" s="102">
        <v>8</v>
      </c>
      <c r="V566" s="102">
        <v>36</v>
      </c>
      <c r="W566" s="106" t="s">
        <v>115</v>
      </c>
      <c r="Y566" s="102" t="s">
        <v>241</v>
      </c>
      <c r="Z566" s="102" t="s">
        <v>128</v>
      </c>
      <c r="AA566" s="104">
        <v>0</v>
      </c>
      <c r="AB566" s="105">
        <v>0</v>
      </c>
      <c r="AC566" s="104">
        <v>3</v>
      </c>
      <c r="AD566" s="107" t="s">
        <v>522</v>
      </c>
      <c r="AE566" s="104">
        <v>10</v>
      </c>
      <c r="AF566" s="105">
        <v>20</v>
      </c>
      <c r="AG566" s="104">
        <v>0.48</v>
      </c>
      <c r="AH566" s="102">
        <v>0.9</v>
      </c>
      <c r="AI566" s="105">
        <v>0.5</v>
      </c>
      <c r="AJ566" s="104">
        <v>4</v>
      </c>
      <c r="AK566" s="102">
        <v>8</v>
      </c>
      <c r="AL566" s="102">
        <v>6</v>
      </c>
      <c r="AM566" s="105">
        <v>0</v>
      </c>
      <c r="AN566" s="104">
        <v>0</v>
      </c>
      <c r="AO566" s="102">
        <v>28</v>
      </c>
      <c r="AP566" s="102">
        <v>15</v>
      </c>
      <c r="AQ566" s="105">
        <v>2</v>
      </c>
      <c r="AR566" s="108" t="s">
        <v>1604</v>
      </c>
    </row>
    <row r="567" ht="66" spans="1:44">
      <c r="A567" s="100">
        <v>11017511</v>
      </c>
      <c r="B567" s="101">
        <v>110</v>
      </c>
      <c r="C567" s="102">
        <v>4</v>
      </c>
      <c r="D567" s="103" t="s">
        <v>1605</v>
      </c>
      <c r="F567" s="103" t="s">
        <v>1212</v>
      </c>
      <c r="G567" s="103">
        <v>2</v>
      </c>
      <c r="H567" s="103">
        <v>2</v>
      </c>
      <c r="I567" s="104" t="s">
        <v>50</v>
      </c>
      <c r="J567" s="102" t="s">
        <v>246</v>
      </c>
      <c r="K567" s="102">
        <v>29</v>
      </c>
      <c r="L567" s="103">
        <v>-1</v>
      </c>
      <c r="M567" s="104">
        <v>40</v>
      </c>
      <c r="N567" s="102">
        <v>39</v>
      </c>
      <c r="O567" s="102">
        <v>87</v>
      </c>
      <c r="P567" s="102">
        <v>57</v>
      </c>
      <c r="Q567" s="104">
        <f>_xlfn.FLOOR.MATH(45+0.4*B567)</f>
        <v>89</v>
      </c>
      <c r="R567" s="102">
        <f>_xlfn.FLOOR.MATH(10+0.25*B567)</f>
        <v>37</v>
      </c>
      <c r="S567" s="102">
        <f>_xlfn.FLOOR.MATH(48+0.4*B567)</f>
        <v>92</v>
      </c>
      <c r="T567" s="105">
        <f>_xlfn.FLOOR.MATH(33+0.55*B567)</f>
        <v>93</v>
      </c>
      <c r="U567" s="102">
        <v>20</v>
      </c>
      <c r="V567" s="102">
        <v>37</v>
      </c>
      <c r="W567" s="106" t="s">
        <v>115</v>
      </c>
      <c r="Y567" s="102" t="s">
        <v>241</v>
      </c>
      <c r="Z567" s="102" t="s">
        <v>128</v>
      </c>
      <c r="AA567" s="104">
        <v>0</v>
      </c>
      <c r="AB567" s="105">
        <v>0</v>
      </c>
      <c r="AC567" s="104">
        <v>3</v>
      </c>
      <c r="AD567" s="107" t="s">
        <v>1458</v>
      </c>
      <c r="AE567" s="104">
        <v>15</v>
      </c>
      <c r="AF567" s="105">
        <v>25</v>
      </c>
      <c r="AG567" s="104">
        <v>0.48</v>
      </c>
      <c r="AH567" s="102">
        <v>0.9</v>
      </c>
      <c r="AI567" s="105">
        <v>0.475</v>
      </c>
      <c r="AJ567" s="104">
        <v>4</v>
      </c>
      <c r="AK567" s="102">
        <v>8</v>
      </c>
      <c r="AL567" s="102">
        <v>6</v>
      </c>
      <c r="AM567" s="105">
        <v>0</v>
      </c>
      <c r="AN567" s="104">
        <v>3</v>
      </c>
      <c r="AO567" s="102">
        <v>32</v>
      </c>
      <c r="AP567" s="102">
        <v>14</v>
      </c>
      <c r="AQ567" s="105">
        <v>0</v>
      </c>
      <c r="AR567" s="108" t="s">
        <v>1606</v>
      </c>
    </row>
    <row r="568" ht="52.8" spans="1:44">
      <c r="A568" s="100">
        <v>11017811</v>
      </c>
      <c r="B568" s="101">
        <v>110</v>
      </c>
      <c r="C568" s="102">
        <v>3</v>
      </c>
      <c r="D568" s="103" t="s">
        <v>1607</v>
      </c>
      <c r="F568" s="103" t="s">
        <v>1212</v>
      </c>
      <c r="G568" s="103">
        <v>3</v>
      </c>
      <c r="H568" s="103">
        <v>3</v>
      </c>
      <c r="I568" s="104" t="s">
        <v>86</v>
      </c>
      <c r="J568" s="102" t="s">
        <v>246</v>
      </c>
      <c r="K568" s="102">
        <v>32</v>
      </c>
      <c r="L568" s="103">
        <v>0</v>
      </c>
      <c r="M568" s="104">
        <v>41</v>
      </c>
      <c r="N568" s="102">
        <v>39</v>
      </c>
      <c r="O568" s="102">
        <v>83</v>
      </c>
      <c r="P568" s="102">
        <v>80</v>
      </c>
      <c r="Q568" s="104">
        <f>_xlfn.FLOOR.MATH(55+0.55*B568)</f>
        <v>115</v>
      </c>
      <c r="R568" s="102">
        <f>_xlfn.FLOOR.MATH(10+0.3*B568)</f>
        <v>43</v>
      </c>
      <c r="S568" s="102">
        <f>_xlfn.FLOOR.MATH(43+0.44*B568)</f>
        <v>91</v>
      </c>
      <c r="T568" s="105">
        <f>_xlfn.FLOOR.MATH(32+0.55*B568)</f>
        <v>92</v>
      </c>
      <c r="U568" s="102">
        <v>35</v>
      </c>
      <c r="V568" s="102">
        <v>37</v>
      </c>
      <c r="W568" s="106" t="s">
        <v>115</v>
      </c>
      <c r="Y568" s="102" t="s">
        <v>241</v>
      </c>
      <c r="Z568" s="102" t="s">
        <v>128</v>
      </c>
      <c r="AA568" s="104">
        <v>0</v>
      </c>
      <c r="AB568" s="105">
        <v>0</v>
      </c>
      <c r="AC568" s="104">
        <v>3</v>
      </c>
      <c r="AD568" s="107" t="s">
        <v>1468</v>
      </c>
      <c r="AE568" s="104">
        <v>15</v>
      </c>
      <c r="AF568" s="105">
        <v>25</v>
      </c>
      <c r="AG568" s="104">
        <v>0.48</v>
      </c>
      <c r="AH568" s="102">
        <v>0.9</v>
      </c>
      <c r="AI568" s="105">
        <v>0.4</v>
      </c>
      <c r="AJ568" s="104">
        <v>4</v>
      </c>
      <c r="AK568" s="102">
        <v>8</v>
      </c>
      <c r="AL568" s="102">
        <v>6</v>
      </c>
      <c r="AM568" s="105">
        <v>0</v>
      </c>
      <c r="AN568" s="104">
        <v>0</v>
      </c>
      <c r="AO568" s="102">
        <v>28</v>
      </c>
      <c r="AP568" s="102">
        <v>14</v>
      </c>
      <c r="AQ568" s="105">
        <v>20</v>
      </c>
      <c r="AR568" s="108" t="s">
        <v>1608</v>
      </c>
    </row>
    <row r="569" ht="39.6" spans="1:45">
      <c r="A569" s="100">
        <v>11018111</v>
      </c>
      <c r="B569" s="101">
        <v>110</v>
      </c>
      <c r="C569" s="102">
        <v>6</v>
      </c>
      <c r="D569" s="103" t="s">
        <v>1609</v>
      </c>
      <c r="F569" s="103" t="s">
        <v>1212</v>
      </c>
      <c r="G569" s="103">
        <v>2</v>
      </c>
      <c r="H569" s="103">
        <v>5</v>
      </c>
      <c r="I569" s="104" t="s">
        <v>86</v>
      </c>
      <c r="J569" s="102" t="s">
        <v>246</v>
      </c>
      <c r="K569" s="102">
        <v>32</v>
      </c>
      <c r="L569" s="103">
        <v>0</v>
      </c>
      <c r="M569" s="104">
        <v>41</v>
      </c>
      <c r="N569" s="102">
        <v>39</v>
      </c>
      <c r="O569" s="102">
        <v>85</v>
      </c>
      <c r="P569" s="102">
        <v>75</v>
      </c>
      <c r="Q569" s="104">
        <f>_xlfn.FLOOR.MATH(40+0.4*B569)</f>
        <v>84</v>
      </c>
      <c r="R569" s="102">
        <f>_xlfn.FLOOR.MATH(10+0.25*B569)</f>
        <v>37</v>
      </c>
      <c r="S569" s="102">
        <f>_xlfn.FLOOR.MATH(43+0.44*B569)</f>
        <v>91</v>
      </c>
      <c r="T569" s="105">
        <f>_xlfn.FLOOR.MATH(33+0.55*B569)</f>
        <v>93</v>
      </c>
      <c r="U569" s="102">
        <v>10</v>
      </c>
      <c r="V569" s="102">
        <v>37</v>
      </c>
      <c r="W569" s="106" t="s">
        <v>115</v>
      </c>
      <c r="Y569" s="102" t="s">
        <v>241</v>
      </c>
      <c r="Z569" s="102" t="s">
        <v>128</v>
      </c>
      <c r="AA569" s="104">
        <v>0</v>
      </c>
      <c r="AB569" s="105">
        <v>0</v>
      </c>
      <c r="AC569" s="104">
        <v>3</v>
      </c>
      <c r="AD569" s="107" t="s">
        <v>1465</v>
      </c>
      <c r="AE569" s="104">
        <v>15</v>
      </c>
      <c r="AF569" s="105">
        <v>25</v>
      </c>
      <c r="AG569" s="104">
        <v>0.48</v>
      </c>
      <c r="AH569" s="102">
        <v>0.9</v>
      </c>
      <c r="AI569" s="105">
        <v>0.4</v>
      </c>
      <c r="AJ569" s="104">
        <v>4</v>
      </c>
      <c r="AK569" s="102">
        <v>8</v>
      </c>
      <c r="AL569" s="102">
        <v>6</v>
      </c>
      <c r="AM569" s="105">
        <v>0</v>
      </c>
      <c r="AN569" s="104">
        <v>0</v>
      </c>
      <c r="AO569" s="102">
        <v>30</v>
      </c>
      <c r="AP569" s="102">
        <v>14</v>
      </c>
      <c r="AQ569" s="105">
        <v>15</v>
      </c>
      <c r="AR569" s="108" t="s">
        <v>538</v>
      </c>
      <c r="AS569" s="109" t="s">
        <v>1610</v>
      </c>
    </row>
    <row r="570" ht="39.6" spans="1:44">
      <c r="A570" s="100">
        <v>11018211</v>
      </c>
      <c r="B570" s="101">
        <v>110</v>
      </c>
      <c r="C570" s="102">
        <v>4</v>
      </c>
      <c r="D570" s="103" t="s">
        <v>1611</v>
      </c>
      <c r="F570" s="103" t="s">
        <v>1212</v>
      </c>
      <c r="G570" s="103">
        <v>2</v>
      </c>
      <c r="H570" s="103">
        <v>2</v>
      </c>
      <c r="I570" s="104" t="s">
        <v>86</v>
      </c>
      <c r="J570" s="102" t="s">
        <v>246</v>
      </c>
      <c r="K570" s="102">
        <v>33</v>
      </c>
      <c r="L570" s="103">
        <v>-1</v>
      </c>
      <c r="M570" s="104">
        <v>49</v>
      </c>
      <c r="N570" s="102">
        <v>40</v>
      </c>
      <c r="O570" s="102">
        <v>85</v>
      </c>
      <c r="P570" s="102">
        <v>65</v>
      </c>
      <c r="Q570" s="104">
        <f>_xlfn.FLOOR.MATH(35+0.4*B570)</f>
        <v>79</v>
      </c>
      <c r="R570" s="102">
        <f>_xlfn.FLOOR.MATH(10+0.25*B570)</f>
        <v>37</v>
      </c>
      <c r="S570" s="102">
        <f>_xlfn.FLOOR.MATH(46+0.4*B570)</f>
        <v>90</v>
      </c>
      <c r="T570" s="105">
        <f>_xlfn.FLOOR.MATH(33+0.55*B570)</f>
        <v>93</v>
      </c>
      <c r="U570" s="102">
        <v>9</v>
      </c>
      <c r="V570" s="102">
        <v>38.5</v>
      </c>
      <c r="W570" s="106" t="s">
        <v>115</v>
      </c>
      <c r="Y570" s="102" t="s">
        <v>241</v>
      </c>
      <c r="Z570" s="102" t="s">
        <v>128</v>
      </c>
      <c r="AA570" s="104">
        <v>0</v>
      </c>
      <c r="AB570" s="105">
        <v>0</v>
      </c>
      <c r="AC570" s="104">
        <v>3</v>
      </c>
      <c r="AD570" s="107" t="s">
        <v>1612</v>
      </c>
      <c r="AE570" s="104">
        <v>15</v>
      </c>
      <c r="AF570" s="105">
        <v>25</v>
      </c>
      <c r="AG570" s="104">
        <v>0.48</v>
      </c>
      <c r="AH570" s="102">
        <v>0.9</v>
      </c>
      <c r="AI570" s="105">
        <v>0.4</v>
      </c>
      <c r="AJ570" s="104">
        <v>4</v>
      </c>
      <c r="AK570" s="102">
        <v>8</v>
      </c>
      <c r="AL570" s="102">
        <v>6</v>
      </c>
      <c r="AM570" s="105">
        <v>0</v>
      </c>
      <c r="AN570" s="104">
        <v>0</v>
      </c>
      <c r="AO570" s="102">
        <v>30</v>
      </c>
      <c r="AP570" s="102">
        <v>15</v>
      </c>
      <c r="AQ570" s="105">
        <v>5</v>
      </c>
      <c r="AR570" s="108" t="s">
        <v>1613</v>
      </c>
    </row>
    <row r="571" ht="66" spans="1:44">
      <c r="A571" s="100">
        <v>11018311</v>
      </c>
      <c r="B571" s="101">
        <v>110</v>
      </c>
      <c r="C571" s="102">
        <v>5</v>
      </c>
      <c r="D571" s="103" t="s">
        <v>1614</v>
      </c>
      <c r="F571" s="103" t="s">
        <v>1212</v>
      </c>
      <c r="G571" s="103">
        <v>3</v>
      </c>
      <c r="H571" s="103">
        <v>4</v>
      </c>
      <c r="I571" s="104" t="s">
        <v>86</v>
      </c>
      <c r="J571" s="102" t="s">
        <v>246</v>
      </c>
      <c r="K571" s="102">
        <v>37</v>
      </c>
      <c r="L571" s="103">
        <v>-1</v>
      </c>
      <c r="M571" s="104">
        <v>41</v>
      </c>
      <c r="N571" s="102">
        <v>40</v>
      </c>
      <c r="O571" s="102">
        <v>83</v>
      </c>
      <c r="P571" s="102">
        <v>75</v>
      </c>
      <c r="Q571" s="104">
        <f>_xlfn.FLOOR.MATH(40+0.4*B571)</f>
        <v>84</v>
      </c>
      <c r="R571" s="102">
        <f>_xlfn.FLOOR.MATH(10+0.25*B571)</f>
        <v>37</v>
      </c>
      <c r="S571" s="102">
        <f>_xlfn.FLOOR.MATH(46+0.4*B571)</f>
        <v>90</v>
      </c>
      <c r="T571" s="105">
        <f>_xlfn.FLOOR.MATH(34+0.55*B571)</f>
        <v>94</v>
      </c>
      <c r="U571" s="102">
        <v>45</v>
      </c>
      <c r="V571" s="102">
        <v>38.5</v>
      </c>
      <c r="W571" s="106" t="s">
        <v>115</v>
      </c>
      <c r="Y571" s="102" t="s">
        <v>241</v>
      </c>
      <c r="Z571" s="102" t="s">
        <v>128</v>
      </c>
      <c r="AA571" s="104">
        <v>0</v>
      </c>
      <c r="AB571" s="105">
        <v>0</v>
      </c>
      <c r="AC571" s="104">
        <v>3</v>
      </c>
      <c r="AD571" s="107" t="s">
        <v>1615</v>
      </c>
      <c r="AE571" s="104">
        <v>15</v>
      </c>
      <c r="AF571" s="105">
        <v>25</v>
      </c>
      <c r="AG571" s="104">
        <v>0.48</v>
      </c>
      <c r="AH571" s="102">
        <v>0.9</v>
      </c>
      <c r="AI571" s="105">
        <v>0.4</v>
      </c>
      <c r="AJ571" s="104">
        <v>4</v>
      </c>
      <c r="AK571" s="102">
        <v>8</v>
      </c>
      <c r="AL571" s="102">
        <v>6</v>
      </c>
      <c r="AM571" s="105">
        <v>0</v>
      </c>
      <c r="AN571" s="104">
        <v>0</v>
      </c>
      <c r="AO571" s="102">
        <v>28</v>
      </c>
      <c r="AP571" s="102">
        <v>15</v>
      </c>
      <c r="AQ571" s="105">
        <v>15</v>
      </c>
      <c r="AR571" s="108" t="s">
        <v>1616</v>
      </c>
    </row>
    <row r="572" ht="52.8" spans="1:44">
      <c r="A572" s="100">
        <v>11018511</v>
      </c>
      <c r="B572" s="101">
        <v>110</v>
      </c>
      <c r="C572" s="102">
        <v>5</v>
      </c>
      <c r="D572" s="103" t="s">
        <v>1617</v>
      </c>
      <c r="F572" s="103" t="s">
        <v>1212</v>
      </c>
      <c r="G572" s="103">
        <v>2</v>
      </c>
      <c r="H572" s="103">
        <v>2</v>
      </c>
      <c r="I572" s="104" t="s">
        <v>326</v>
      </c>
      <c r="J572" s="102" t="s">
        <v>246</v>
      </c>
      <c r="K572" s="102">
        <v>33</v>
      </c>
      <c r="L572" s="103">
        <v>-1</v>
      </c>
      <c r="M572" s="104">
        <v>40</v>
      </c>
      <c r="N572" s="102">
        <v>40</v>
      </c>
      <c r="O572" s="102">
        <v>75</v>
      </c>
      <c r="P572" s="102">
        <v>70</v>
      </c>
      <c r="Q572" s="104">
        <f>_xlfn.FLOOR.MATH(40+0.35*B572)</f>
        <v>78</v>
      </c>
      <c r="R572" s="102">
        <f>_xlfn.FLOOR.MATH(10+0.3*B572)</f>
        <v>43</v>
      </c>
      <c r="S572" s="102">
        <f>_xlfn.FLOOR.MATH(49+0.4*B572)</f>
        <v>93</v>
      </c>
      <c r="T572" s="105">
        <f>_xlfn.FLOOR.MATH(34+0.55*B572)</f>
        <v>94</v>
      </c>
      <c r="U572" s="102">
        <v>21</v>
      </c>
      <c r="V572" s="102">
        <v>38</v>
      </c>
      <c r="W572" s="106" t="s">
        <v>115</v>
      </c>
      <c r="Y572" s="102" t="s">
        <v>241</v>
      </c>
      <c r="Z572" s="102" t="s">
        <v>128</v>
      </c>
      <c r="AA572" s="104">
        <v>0</v>
      </c>
      <c r="AB572" s="105">
        <v>0</v>
      </c>
      <c r="AC572" s="104">
        <v>3</v>
      </c>
      <c r="AD572" s="107" t="s">
        <v>1618</v>
      </c>
      <c r="AE572" s="104">
        <v>15</v>
      </c>
      <c r="AF572" s="105">
        <v>25</v>
      </c>
      <c r="AG572" s="104">
        <v>0.48</v>
      </c>
      <c r="AH572" s="102">
        <v>0.9</v>
      </c>
      <c r="AI572" s="105">
        <v>0.4</v>
      </c>
      <c r="AJ572" s="104">
        <v>4</v>
      </c>
      <c r="AK572" s="102">
        <v>8</v>
      </c>
      <c r="AL572" s="102">
        <v>6</v>
      </c>
      <c r="AM572" s="105">
        <v>0</v>
      </c>
      <c r="AN572" s="104">
        <v>0</v>
      </c>
      <c r="AO572" s="102">
        <v>20</v>
      </c>
      <c r="AP572" s="102">
        <v>15</v>
      </c>
      <c r="AQ572" s="105">
        <v>4</v>
      </c>
      <c r="AR572" s="108" t="s">
        <v>1619</v>
      </c>
    </row>
    <row r="573" ht="66" spans="1:44">
      <c r="A573" s="100">
        <v>11018711</v>
      </c>
      <c r="B573" s="101">
        <v>110</v>
      </c>
      <c r="C573" s="102">
        <v>5</v>
      </c>
      <c r="D573" s="103" t="s">
        <v>1620</v>
      </c>
      <c r="F573" s="103" t="s">
        <v>1212</v>
      </c>
      <c r="G573" s="103">
        <v>3</v>
      </c>
      <c r="H573" s="103">
        <v>3</v>
      </c>
      <c r="I573" s="104" t="s">
        <v>91</v>
      </c>
      <c r="J573" s="102" t="s">
        <v>246</v>
      </c>
      <c r="K573" s="102">
        <v>35</v>
      </c>
      <c r="L573" s="103">
        <v>1</v>
      </c>
      <c r="M573" s="104">
        <v>38</v>
      </c>
      <c r="N573" s="102">
        <v>40</v>
      </c>
      <c r="O573" s="102">
        <v>80</v>
      </c>
      <c r="P573" s="102">
        <v>53</v>
      </c>
      <c r="Q573" s="104">
        <f>_xlfn.FLOOR.MATH(25+0.37*B573)</f>
        <v>65</v>
      </c>
      <c r="R573" s="102">
        <f>_xlfn.FLOOR.MATH(7+0.2*B573)</f>
        <v>29</v>
      </c>
      <c r="S573" s="102">
        <f>_xlfn.FLOOR.MATH(50+0.4*B573)</f>
        <v>94</v>
      </c>
      <c r="T573" s="105">
        <f>_xlfn.FLOOR.MATH(34+0.55*B573)</f>
        <v>94</v>
      </c>
      <c r="U573" s="102">
        <v>15</v>
      </c>
      <c r="V573" s="102">
        <v>39</v>
      </c>
      <c r="W573" s="106" t="s">
        <v>115</v>
      </c>
      <c r="Y573" s="102" t="s">
        <v>241</v>
      </c>
      <c r="Z573" s="102" t="s">
        <v>128</v>
      </c>
      <c r="AA573" s="104">
        <v>0</v>
      </c>
      <c r="AB573" s="105">
        <v>0</v>
      </c>
      <c r="AC573" s="104">
        <v>3</v>
      </c>
      <c r="AD573" s="107" t="s">
        <v>1621</v>
      </c>
      <c r="AE573" s="104">
        <v>15</v>
      </c>
      <c r="AF573" s="105">
        <v>25</v>
      </c>
      <c r="AG573" s="104">
        <v>0.48</v>
      </c>
      <c r="AH573" s="102">
        <v>0.9</v>
      </c>
      <c r="AI573" s="105">
        <v>0.4</v>
      </c>
      <c r="AJ573" s="104">
        <v>4</v>
      </c>
      <c r="AK573" s="102">
        <v>8</v>
      </c>
      <c r="AL573" s="102">
        <v>6</v>
      </c>
      <c r="AM573" s="105">
        <v>0</v>
      </c>
      <c r="AN573" s="104">
        <v>0</v>
      </c>
      <c r="AO573" s="102">
        <v>25</v>
      </c>
      <c r="AP573" s="102">
        <v>15</v>
      </c>
      <c r="AQ573" s="105">
        <v>0</v>
      </c>
      <c r="AR573" s="108" t="s">
        <v>1622</v>
      </c>
    </row>
    <row r="574" ht="39.6" spans="1:44">
      <c r="A574" s="100">
        <v>11018811</v>
      </c>
      <c r="B574" s="101">
        <v>110</v>
      </c>
      <c r="C574" s="102">
        <v>5</v>
      </c>
      <c r="D574" s="103" t="s">
        <v>1623</v>
      </c>
      <c r="F574" s="103" t="s">
        <v>1212</v>
      </c>
      <c r="G574" s="103">
        <v>5</v>
      </c>
      <c r="H574" s="103">
        <v>5</v>
      </c>
      <c r="I574" s="104" t="s">
        <v>91</v>
      </c>
      <c r="J574" s="102" t="s">
        <v>246</v>
      </c>
      <c r="K574" s="102">
        <v>35</v>
      </c>
      <c r="L574" s="103">
        <v>1</v>
      </c>
      <c r="M574" s="104">
        <v>38</v>
      </c>
      <c r="N574" s="102">
        <v>40</v>
      </c>
      <c r="O574" s="102">
        <v>82</v>
      </c>
      <c r="P574" s="102">
        <v>51</v>
      </c>
      <c r="Q574" s="104">
        <f>_xlfn.FLOOR.MATH(25+0.37*B574)</f>
        <v>65</v>
      </c>
      <c r="R574" s="102">
        <f>_xlfn.FLOOR.MATH(7+0.3*B574)</f>
        <v>40</v>
      </c>
      <c r="S574" s="102">
        <f>_xlfn.FLOOR.MATH(50+0.4*B574)</f>
        <v>94</v>
      </c>
      <c r="T574" s="105">
        <f>_xlfn.FLOOR.MATH(34+0.55*B574)</f>
        <v>94</v>
      </c>
      <c r="U574" s="102">
        <v>20</v>
      </c>
      <c r="V574" s="102">
        <v>39</v>
      </c>
      <c r="W574" s="106" t="s">
        <v>115</v>
      </c>
      <c r="Y574" s="102" t="s">
        <v>241</v>
      </c>
      <c r="Z574" s="102" t="s">
        <v>128</v>
      </c>
      <c r="AA574" s="104">
        <v>0</v>
      </c>
      <c r="AB574" s="105">
        <v>0</v>
      </c>
      <c r="AC574" s="104">
        <v>3</v>
      </c>
      <c r="AD574" s="107" t="s">
        <v>1624</v>
      </c>
      <c r="AE574" s="104">
        <v>15</v>
      </c>
      <c r="AF574" s="105">
        <v>25</v>
      </c>
      <c r="AG574" s="104">
        <v>0.48</v>
      </c>
      <c r="AH574" s="102">
        <v>0.9</v>
      </c>
      <c r="AI574" s="105">
        <v>0.4</v>
      </c>
      <c r="AJ574" s="104">
        <v>4</v>
      </c>
      <c r="AK574" s="102">
        <v>8</v>
      </c>
      <c r="AL574" s="102">
        <v>6</v>
      </c>
      <c r="AM574" s="105">
        <v>0</v>
      </c>
      <c r="AN574" s="104">
        <v>0</v>
      </c>
      <c r="AO574" s="102">
        <v>27</v>
      </c>
      <c r="AP574" s="102">
        <v>15</v>
      </c>
      <c r="AQ574" s="105">
        <v>0</v>
      </c>
      <c r="AR574" s="108" t="s">
        <v>1625</v>
      </c>
    </row>
    <row r="575" ht="26.4" spans="1:44">
      <c r="A575" s="100">
        <v>11019211</v>
      </c>
      <c r="B575" s="101">
        <v>110</v>
      </c>
      <c r="C575" s="102">
        <v>6</v>
      </c>
      <c r="D575" s="103" t="s">
        <v>1626</v>
      </c>
      <c r="F575" s="103" t="s">
        <v>1212</v>
      </c>
      <c r="G575" s="103">
        <v>3</v>
      </c>
      <c r="H575" s="103">
        <v>3</v>
      </c>
      <c r="I575" s="104" t="s">
        <v>326</v>
      </c>
      <c r="J575" s="102" t="s">
        <v>246</v>
      </c>
      <c r="K575" s="102">
        <v>36</v>
      </c>
      <c r="L575" s="103">
        <v>0</v>
      </c>
      <c r="M575" s="104">
        <v>46</v>
      </c>
      <c r="N575" s="102">
        <v>40</v>
      </c>
      <c r="O575" s="102">
        <v>87</v>
      </c>
      <c r="P575" s="102">
        <v>65</v>
      </c>
      <c r="Q575" s="104">
        <f>_xlfn.FLOOR.MATH(25+0.4*B575)</f>
        <v>69</v>
      </c>
      <c r="R575" s="102">
        <f>_xlfn.FLOOR.MATH(7+0.1*B575)</f>
        <v>18</v>
      </c>
      <c r="S575" s="102">
        <f>_xlfn.FLOOR.MATH(60+0.4*B575)</f>
        <v>104</v>
      </c>
      <c r="T575" s="105">
        <f>_xlfn.FLOOR.MATH(35+0.55*B575)</f>
        <v>95</v>
      </c>
      <c r="U575" s="102">
        <v>17</v>
      </c>
      <c r="V575" s="102">
        <v>42.7</v>
      </c>
      <c r="W575" s="106" t="s">
        <v>115</v>
      </c>
      <c r="Y575" s="102" t="s">
        <v>241</v>
      </c>
      <c r="Z575" s="102" t="s">
        <v>128</v>
      </c>
      <c r="AA575" s="104">
        <v>0</v>
      </c>
      <c r="AB575" s="105">
        <v>0</v>
      </c>
      <c r="AC575" s="104">
        <v>3</v>
      </c>
      <c r="AD575" s="107" t="s">
        <v>1627</v>
      </c>
      <c r="AE575" s="104">
        <v>15</v>
      </c>
      <c r="AF575" s="105">
        <v>20</v>
      </c>
      <c r="AG575" s="104">
        <v>0.65</v>
      </c>
      <c r="AH575" s="102">
        <v>1.1</v>
      </c>
      <c r="AI575" s="105">
        <v>0.55</v>
      </c>
      <c r="AJ575" s="104">
        <v>4</v>
      </c>
      <c r="AK575" s="102">
        <v>8</v>
      </c>
      <c r="AL575" s="102">
        <v>6</v>
      </c>
      <c r="AM575" s="105">
        <v>0</v>
      </c>
      <c r="AN575" s="104">
        <v>0</v>
      </c>
      <c r="AO575" s="102">
        <v>32</v>
      </c>
      <c r="AP575" s="102">
        <v>15</v>
      </c>
      <c r="AQ575" s="105">
        <v>0</v>
      </c>
      <c r="AR575" s="108" t="s">
        <v>1628</v>
      </c>
    </row>
    <row r="576" ht="39.6" spans="1:44">
      <c r="A576" s="100">
        <v>11019411</v>
      </c>
      <c r="B576" s="101">
        <v>110</v>
      </c>
      <c r="C576" s="102">
        <v>6</v>
      </c>
      <c r="D576" s="103" t="s">
        <v>1629</v>
      </c>
      <c r="F576" s="103" t="s">
        <v>1212</v>
      </c>
      <c r="G576" s="103">
        <v>7</v>
      </c>
      <c r="H576" s="103">
        <v>6</v>
      </c>
      <c r="I576" s="104" t="s">
        <v>86</v>
      </c>
      <c r="J576" s="102" t="s">
        <v>560</v>
      </c>
      <c r="K576" s="102">
        <v>17</v>
      </c>
      <c r="L576" s="103">
        <v>-1</v>
      </c>
      <c r="M576" s="104">
        <v>26</v>
      </c>
      <c r="N576" s="102">
        <v>32</v>
      </c>
      <c r="O576" s="102">
        <v>89</v>
      </c>
      <c r="P576" s="102">
        <v>0</v>
      </c>
      <c r="Q576" s="104">
        <f>_xlfn.FLOOR.MATH(0+0*B576)</f>
        <v>0</v>
      </c>
      <c r="R576" s="102">
        <f>_xlfn.FLOOR.MATH(16+0.3*B576)</f>
        <v>49</v>
      </c>
      <c r="S576" s="102">
        <f>_xlfn.FLOOR.MATH(20+0.25*B576)</f>
        <v>47</v>
      </c>
      <c r="T576" s="105">
        <f>_xlfn.FLOOR.MATH(34+0.68*B576)</f>
        <v>108</v>
      </c>
      <c r="U576" s="102">
        <v>25</v>
      </c>
      <c r="V576" s="102">
        <v>21</v>
      </c>
      <c r="W576" s="106" t="s">
        <v>115</v>
      </c>
      <c r="Y576" s="102" t="s">
        <v>241</v>
      </c>
      <c r="Z576" s="102" t="s">
        <v>128</v>
      </c>
      <c r="AA576" s="104">
        <v>0</v>
      </c>
      <c r="AB576" s="105">
        <v>0</v>
      </c>
      <c r="AC576" s="104">
        <v>3</v>
      </c>
      <c r="AD576" s="107" t="s">
        <v>1630</v>
      </c>
      <c r="AE576" s="104">
        <v>20</v>
      </c>
      <c r="AF576" s="105">
        <v>25</v>
      </c>
      <c r="AG576" s="104">
        <v>0.64</v>
      </c>
      <c r="AH576" s="102">
        <v>0.75</v>
      </c>
      <c r="AI576" s="105">
        <v>0.33</v>
      </c>
      <c r="AJ576" s="104">
        <v>10</v>
      </c>
      <c r="AK576" s="102">
        <v>10</v>
      </c>
      <c r="AL576" s="102">
        <v>20</v>
      </c>
      <c r="AM576" s="105">
        <v>0</v>
      </c>
      <c r="AN576" s="104">
        <v>0</v>
      </c>
      <c r="AO576" s="102">
        <v>34</v>
      </c>
      <c r="AP576" s="102">
        <v>17</v>
      </c>
      <c r="AQ576" s="105">
        <v>0</v>
      </c>
      <c r="AR576" s="108" t="s">
        <v>1631</v>
      </c>
    </row>
    <row r="577" ht="79.2" spans="1:44">
      <c r="A577" s="100">
        <v>11019511</v>
      </c>
      <c r="B577" s="101">
        <v>110</v>
      </c>
      <c r="C577" s="102">
        <v>6</v>
      </c>
      <c r="D577" s="103" t="s">
        <v>1632</v>
      </c>
      <c r="F577" s="103" t="s">
        <v>1212</v>
      </c>
      <c r="G577" s="103">
        <v>7</v>
      </c>
      <c r="H577" s="103">
        <v>6</v>
      </c>
      <c r="I577" s="104" t="s">
        <v>86</v>
      </c>
      <c r="J577" s="102" t="s">
        <v>560</v>
      </c>
      <c r="K577" s="102">
        <v>17</v>
      </c>
      <c r="L577" s="103">
        <v>-1</v>
      </c>
      <c r="M577" s="104">
        <v>26</v>
      </c>
      <c r="N577" s="102">
        <v>32</v>
      </c>
      <c r="O577" s="102">
        <v>89</v>
      </c>
      <c r="P577" s="102">
        <v>0</v>
      </c>
      <c r="Q577" s="104">
        <f>_xlfn.FLOOR.MATH(0+0*B577)</f>
        <v>0</v>
      </c>
      <c r="R577" s="102">
        <f>_xlfn.FLOOR.MATH(16+0.3*B577)</f>
        <v>49</v>
      </c>
      <c r="S577" s="102">
        <f>_xlfn.FLOOR.MATH(20+0.25*B577)</f>
        <v>47</v>
      </c>
      <c r="T577" s="105">
        <f>_xlfn.FLOOR.MATH(34+0.68*B577)</f>
        <v>108</v>
      </c>
      <c r="U577" s="102">
        <v>30</v>
      </c>
      <c r="V577" s="102">
        <v>21</v>
      </c>
      <c r="W577" s="106" t="s">
        <v>115</v>
      </c>
      <c r="Y577" s="102" t="s">
        <v>241</v>
      </c>
      <c r="Z577" s="102" t="s">
        <v>128</v>
      </c>
      <c r="AA577" s="104">
        <v>0</v>
      </c>
      <c r="AB577" s="105">
        <v>0</v>
      </c>
      <c r="AC577" s="104">
        <v>3</v>
      </c>
      <c r="AD577" s="107" t="s">
        <v>1630</v>
      </c>
      <c r="AE577" s="104">
        <v>20</v>
      </c>
      <c r="AF577" s="105">
        <v>25</v>
      </c>
      <c r="AG577" s="104">
        <v>0.64</v>
      </c>
      <c r="AH577" s="102">
        <v>0.75</v>
      </c>
      <c r="AI577" s="105">
        <v>0.33</v>
      </c>
      <c r="AJ577" s="104">
        <v>10</v>
      </c>
      <c r="AK577" s="102">
        <v>10</v>
      </c>
      <c r="AL577" s="102">
        <v>20</v>
      </c>
      <c r="AM577" s="105">
        <v>0</v>
      </c>
      <c r="AN577" s="104">
        <v>0</v>
      </c>
      <c r="AO577" s="102">
        <v>34</v>
      </c>
      <c r="AP577" s="102">
        <v>17</v>
      </c>
      <c r="AQ577" s="105">
        <v>0</v>
      </c>
      <c r="AR577" s="108" t="s">
        <v>1633</v>
      </c>
    </row>
    <row r="578" ht="52.8" spans="1:45">
      <c r="A578" s="100">
        <v>11019711</v>
      </c>
      <c r="B578" s="101">
        <v>110</v>
      </c>
      <c r="C578" s="102">
        <v>5</v>
      </c>
      <c r="D578" s="103" t="s">
        <v>1634</v>
      </c>
      <c r="F578" s="103" t="s">
        <v>1212</v>
      </c>
      <c r="G578" s="103">
        <v>7</v>
      </c>
      <c r="H578" s="103">
        <v>6</v>
      </c>
      <c r="I578" s="104" t="s">
        <v>73</v>
      </c>
      <c r="J578" s="102" t="s">
        <v>560</v>
      </c>
      <c r="K578" s="102">
        <v>15</v>
      </c>
      <c r="L578" s="103">
        <v>1</v>
      </c>
      <c r="M578" s="104">
        <v>25</v>
      </c>
      <c r="N578" s="102">
        <v>30</v>
      </c>
      <c r="O578" s="102">
        <v>80</v>
      </c>
      <c r="P578" s="102">
        <v>0</v>
      </c>
      <c r="Q578" s="104">
        <f>_xlfn.FLOOR.MATH(0+0*B578)</f>
        <v>0</v>
      </c>
      <c r="R578" s="102">
        <f>_xlfn.FLOOR.MATH(15+0.3*B578)</f>
        <v>48</v>
      </c>
      <c r="S578" s="102">
        <f>_xlfn.FLOOR.MATH(18+0.25*B578)</f>
        <v>45</v>
      </c>
      <c r="T578" s="105">
        <f>_xlfn.FLOOR.MATH(33+0.63*B578)</f>
        <v>102</v>
      </c>
      <c r="U578" s="102">
        <v>20</v>
      </c>
      <c r="V578" s="102">
        <v>18</v>
      </c>
      <c r="W578" s="106" t="s">
        <v>115</v>
      </c>
      <c r="Y578" s="102" t="s">
        <v>241</v>
      </c>
      <c r="Z578" s="102" t="s">
        <v>128</v>
      </c>
      <c r="AA578" s="104">
        <v>0</v>
      </c>
      <c r="AB578" s="105">
        <v>0</v>
      </c>
      <c r="AC578" s="104">
        <v>3</v>
      </c>
      <c r="AD578" s="107" t="s">
        <v>1635</v>
      </c>
      <c r="AE578" s="104">
        <v>15</v>
      </c>
      <c r="AF578" s="105">
        <v>20</v>
      </c>
      <c r="AG578" s="104">
        <v>0.6</v>
      </c>
      <c r="AH578" s="102">
        <v>0.5</v>
      </c>
      <c r="AI578" s="105">
        <v>0.275</v>
      </c>
      <c r="AJ578" s="104">
        <v>10</v>
      </c>
      <c r="AK578" s="102">
        <v>10</v>
      </c>
      <c r="AL578" s="102">
        <v>20</v>
      </c>
      <c r="AM578" s="105">
        <v>0</v>
      </c>
      <c r="AN578" s="104">
        <v>0</v>
      </c>
      <c r="AO578" s="102">
        <v>30</v>
      </c>
      <c r="AP578" s="102">
        <v>17</v>
      </c>
      <c r="AQ578" s="105">
        <v>0</v>
      </c>
      <c r="AR578" s="108" t="s">
        <v>1636</v>
      </c>
      <c r="AS578" s="109" t="s">
        <v>1637</v>
      </c>
    </row>
    <row r="579" ht="39.6" spans="1:44">
      <c r="A579" s="100">
        <v>11019911</v>
      </c>
      <c r="B579" s="101">
        <v>110</v>
      </c>
      <c r="C579" s="102">
        <v>4</v>
      </c>
      <c r="D579" s="103" t="s">
        <v>1638</v>
      </c>
      <c r="F579" s="103" t="s">
        <v>1212</v>
      </c>
      <c r="G579" s="103">
        <v>5</v>
      </c>
      <c r="H579" s="103">
        <v>5</v>
      </c>
      <c r="I579" s="104" t="s">
        <v>330</v>
      </c>
      <c r="J579" s="102" t="s">
        <v>566</v>
      </c>
      <c r="K579" s="102">
        <v>25</v>
      </c>
      <c r="L579" s="103">
        <v>-1</v>
      </c>
      <c r="M579" s="104">
        <v>55</v>
      </c>
      <c r="N579" s="102">
        <v>35</v>
      </c>
      <c r="O579" s="102">
        <v>68</v>
      </c>
      <c r="P579" s="102">
        <v>0</v>
      </c>
      <c r="Q579" s="104">
        <f>_xlfn.FLOOR.MATH(0+0*B579)</f>
        <v>0</v>
      </c>
      <c r="R579" s="102">
        <f>_xlfn.FLOOR.MATH(12+0.3*B579)</f>
        <v>45</v>
      </c>
      <c r="S579" s="102">
        <f>_xlfn.FLOOR.MATH(19+0.25*B579)</f>
        <v>46</v>
      </c>
      <c r="T579" s="105">
        <f>_xlfn.FLOOR.MATH(34+0.57*B579)</f>
        <v>96</v>
      </c>
      <c r="U579" s="102">
        <v>10</v>
      </c>
      <c r="V579" s="102">
        <v>18.5</v>
      </c>
      <c r="W579" s="106" t="s">
        <v>115</v>
      </c>
      <c r="Y579" s="102" t="s">
        <v>241</v>
      </c>
      <c r="Z579" s="102" t="s">
        <v>128</v>
      </c>
      <c r="AA579" s="104">
        <v>0</v>
      </c>
      <c r="AB579" s="105">
        <v>0</v>
      </c>
      <c r="AC579" s="104">
        <v>3</v>
      </c>
      <c r="AD579" s="107" t="s">
        <v>1639</v>
      </c>
      <c r="AE579" s="104">
        <v>25</v>
      </c>
      <c r="AF579" s="105">
        <v>40</v>
      </c>
      <c r="AG579" s="104">
        <v>1</v>
      </c>
      <c r="AH579" s="102">
        <v>1</v>
      </c>
      <c r="AI579" s="105">
        <v>0.45</v>
      </c>
      <c r="AJ579" s="104">
        <v>4</v>
      </c>
      <c r="AK579" s="102">
        <v>8</v>
      </c>
      <c r="AL579" s="102">
        <v>6</v>
      </c>
      <c r="AM579" s="105">
        <v>0</v>
      </c>
      <c r="AN579" s="104">
        <v>0</v>
      </c>
      <c r="AO579" s="102">
        <v>28</v>
      </c>
      <c r="AP579" s="102">
        <v>20</v>
      </c>
      <c r="AQ579" s="105">
        <v>0</v>
      </c>
      <c r="AR579" s="108" t="s">
        <v>1640</v>
      </c>
    </row>
    <row r="580" ht="66" spans="1:45">
      <c r="A580" s="100">
        <v>11020613</v>
      </c>
      <c r="B580" s="101">
        <v>110</v>
      </c>
      <c r="C580" s="102">
        <v>6</v>
      </c>
      <c r="D580" s="103" t="s">
        <v>1641</v>
      </c>
      <c r="F580" s="103" t="s">
        <v>1212</v>
      </c>
      <c r="G580" s="103">
        <v>6</v>
      </c>
      <c r="H580" s="103">
        <v>6</v>
      </c>
      <c r="I580" s="104" t="s">
        <v>86</v>
      </c>
      <c r="J580" s="102" t="s">
        <v>61</v>
      </c>
      <c r="K580" s="102">
        <v>80</v>
      </c>
      <c r="L580" s="103">
        <v>0</v>
      </c>
      <c r="M580" s="104">
        <v>120</v>
      </c>
      <c r="N580" s="102">
        <v>98</v>
      </c>
      <c r="O580" s="102">
        <v>0</v>
      </c>
      <c r="P580" s="102">
        <v>103</v>
      </c>
      <c r="Q580" s="104">
        <f>_xlfn.FLOOR.MATH(0+0*B580)</f>
        <v>0</v>
      </c>
      <c r="R580" s="102">
        <f>_xlfn.FLOOR.MATH(22+0.27*B580)</f>
        <v>51</v>
      </c>
      <c r="S580" s="102">
        <f>_xlfn.FLOOR.MATH(32+0.28*B580)</f>
        <v>62</v>
      </c>
      <c r="T580" s="105">
        <f>_xlfn.FLOOR.MATH(46+0.51*B580)</f>
        <v>102</v>
      </c>
      <c r="U580" s="102">
        <v>25</v>
      </c>
      <c r="V580" s="102">
        <v>28</v>
      </c>
      <c r="W580" s="106" t="s">
        <v>52</v>
      </c>
      <c r="Y580" s="102" t="s">
        <v>54</v>
      </c>
      <c r="Z580" s="102" t="s">
        <v>55</v>
      </c>
      <c r="AA580" s="104">
        <v>0</v>
      </c>
      <c r="AB580" s="105">
        <v>0</v>
      </c>
      <c r="AC580" s="104">
        <v>4</v>
      </c>
      <c r="AD580" s="107" t="s">
        <v>1642</v>
      </c>
      <c r="AE580" s="104">
        <v>95</v>
      </c>
      <c r="AF580" s="105">
        <v>140</v>
      </c>
      <c r="AG580" s="104">
        <v>4.2</v>
      </c>
      <c r="AH580" s="102">
        <v>8</v>
      </c>
      <c r="AI580" s="105">
        <v>0.8</v>
      </c>
      <c r="AJ580" s="104">
        <v>50</v>
      </c>
      <c r="AK580" s="102">
        <v>60</v>
      </c>
      <c r="AL580" s="102">
        <v>60</v>
      </c>
      <c r="AM580" s="105">
        <v>0</v>
      </c>
      <c r="AN580" s="104">
        <v>95</v>
      </c>
      <c r="AO580" s="102">
        <v>0</v>
      </c>
      <c r="AP580" s="102">
        <v>78</v>
      </c>
      <c r="AQ580" s="105">
        <v>81</v>
      </c>
      <c r="AR580" s="108" t="s">
        <v>589</v>
      </c>
      <c r="AS580" s="109" t="s">
        <v>1643</v>
      </c>
    </row>
    <row r="581" ht="92.4" spans="1:45">
      <c r="A581" s="100">
        <v>11020713</v>
      </c>
      <c r="B581" s="101">
        <v>110</v>
      </c>
      <c r="C581" s="102">
        <v>6</v>
      </c>
      <c r="D581" s="103" t="s">
        <v>1644</v>
      </c>
      <c r="F581" s="103" t="s">
        <v>1212</v>
      </c>
      <c r="G581" s="103">
        <v>6</v>
      </c>
      <c r="H581" s="103">
        <v>6</v>
      </c>
      <c r="I581" s="104" t="s">
        <v>86</v>
      </c>
      <c r="J581" s="102" t="s">
        <v>61</v>
      </c>
      <c r="K581" s="102">
        <v>80</v>
      </c>
      <c r="L581" s="103">
        <v>0</v>
      </c>
      <c r="M581" s="104">
        <v>120</v>
      </c>
      <c r="N581" s="102">
        <v>105</v>
      </c>
      <c r="O581" s="102">
        <v>0</v>
      </c>
      <c r="P581" s="102">
        <v>108</v>
      </c>
      <c r="Q581" s="104">
        <f>_xlfn.FLOOR.MATH(0+0*B581)</f>
        <v>0</v>
      </c>
      <c r="R581" s="102">
        <f>_xlfn.FLOOR.MATH(22+0.27*B581)</f>
        <v>51</v>
      </c>
      <c r="S581" s="102">
        <f>_xlfn.FLOOR.MATH(28+0.3*B581)</f>
        <v>61</v>
      </c>
      <c r="T581" s="105">
        <f>_xlfn.FLOOR.MATH(46+0.51*B581)</f>
        <v>102</v>
      </c>
      <c r="U581" s="102">
        <v>25</v>
      </c>
      <c r="V581" s="102">
        <v>27.5</v>
      </c>
      <c r="W581" s="106" t="s">
        <v>52</v>
      </c>
      <c r="Y581" s="102" t="s">
        <v>54</v>
      </c>
      <c r="Z581" s="102" t="s">
        <v>55</v>
      </c>
      <c r="AA581" s="104" t="s">
        <v>56</v>
      </c>
      <c r="AB581" s="105">
        <v>12</v>
      </c>
      <c r="AC581" s="104">
        <v>4</v>
      </c>
      <c r="AD581" s="107" t="s">
        <v>1645</v>
      </c>
      <c r="AE581" s="104">
        <v>95</v>
      </c>
      <c r="AF581" s="105">
        <v>145</v>
      </c>
      <c r="AG581" s="104">
        <v>4.2</v>
      </c>
      <c r="AH581" s="102">
        <v>8</v>
      </c>
      <c r="AI581" s="105">
        <v>0.8</v>
      </c>
      <c r="AJ581" s="104">
        <v>50</v>
      </c>
      <c r="AK581" s="102">
        <v>60</v>
      </c>
      <c r="AL581" s="102">
        <v>60</v>
      </c>
      <c r="AM581" s="105">
        <v>0</v>
      </c>
      <c r="AN581" s="104">
        <v>95</v>
      </c>
      <c r="AO581" s="102">
        <v>0</v>
      </c>
      <c r="AP581" s="102">
        <v>85</v>
      </c>
      <c r="AQ581" s="105">
        <v>88</v>
      </c>
      <c r="AR581" s="108" t="s">
        <v>592</v>
      </c>
      <c r="AS581" s="109" t="s">
        <v>1646</v>
      </c>
    </row>
    <row r="582" ht="66" spans="1:45">
      <c r="A582" s="100">
        <v>11020913</v>
      </c>
      <c r="B582" s="101">
        <v>110</v>
      </c>
      <c r="C582" s="102">
        <v>6</v>
      </c>
      <c r="D582" s="103" t="s">
        <v>1647</v>
      </c>
      <c r="F582" s="103" t="s">
        <v>1212</v>
      </c>
      <c r="G582" s="103">
        <v>7</v>
      </c>
      <c r="H582" s="103">
        <v>6</v>
      </c>
      <c r="I582" s="104" t="s">
        <v>86</v>
      </c>
      <c r="J582" s="102" t="s">
        <v>1648</v>
      </c>
      <c r="K582" s="102">
        <v>92</v>
      </c>
      <c r="L582" s="103">
        <v>0</v>
      </c>
      <c r="M582" s="104">
        <v>118</v>
      </c>
      <c r="N582" s="102">
        <v>107</v>
      </c>
      <c r="O582" s="102">
        <v>0</v>
      </c>
      <c r="P582" s="102">
        <v>116</v>
      </c>
      <c r="Q582" s="104">
        <f>_xlfn.FLOOR.MATH(0+0*B582)</f>
        <v>0</v>
      </c>
      <c r="R582" s="102">
        <f>_xlfn.FLOOR.MATH(20+0.25*B582)</f>
        <v>47</v>
      </c>
      <c r="S582" s="102">
        <f>_xlfn.FLOOR.MATH(34+0.23*B582)</f>
        <v>59</v>
      </c>
      <c r="T582" s="105">
        <f>_xlfn.FLOOR.MATH(47+0.51*B582)</f>
        <v>103</v>
      </c>
      <c r="U582" s="102">
        <v>28</v>
      </c>
      <c r="V582" s="102">
        <v>33</v>
      </c>
      <c r="W582" s="106" t="s">
        <v>52</v>
      </c>
      <c r="Y582" s="102" t="s">
        <v>54</v>
      </c>
      <c r="Z582" s="102" t="s">
        <v>55</v>
      </c>
      <c r="AA582" s="104">
        <v>0</v>
      </c>
      <c r="AB582" s="105">
        <v>0</v>
      </c>
      <c r="AC582" s="104">
        <v>4</v>
      </c>
      <c r="AD582" s="107" t="s">
        <v>892</v>
      </c>
      <c r="AE582" s="104">
        <v>145</v>
      </c>
      <c r="AF582" s="105">
        <v>200</v>
      </c>
      <c r="AG582" s="104">
        <v>4.8</v>
      </c>
      <c r="AH582" s="102">
        <v>9</v>
      </c>
      <c r="AI582" s="105">
        <v>0.8</v>
      </c>
      <c r="AJ582" s="104">
        <v>50</v>
      </c>
      <c r="AK582" s="102">
        <v>60</v>
      </c>
      <c r="AL582" s="102">
        <v>60</v>
      </c>
      <c r="AM582" s="105">
        <v>0</v>
      </c>
      <c r="AN582" s="104">
        <v>93</v>
      </c>
      <c r="AO582" s="102">
        <v>0</v>
      </c>
      <c r="AP582" s="102">
        <v>87</v>
      </c>
      <c r="AQ582" s="105">
        <v>100</v>
      </c>
      <c r="AR582" s="108" t="s">
        <v>600</v>
      </c>
      <c r="AS582" s="109" t="s">
        <v>1649</v>
      </c>
    </row>
    <row r="583" ht="52.8" spans="1:44">
      <c r="A583" s="100">
        <v>11021113</v>
      </c>
      <c r="B583" s="101">
        <v>110</v>
      </c>
      <c r="C583" s="102">
        <v>6</v>
      </c>
      <c r="D583" s="103" t="s">
        <v>1650</v>
      </c>
      <c r="F583" s="103" t="s">
        <v>1212</v>
      </c>
      <c r="G583" s="103">
        <v>2</v>
      </c>
      <c r="H583" s="103">
        <v>3</v>
      </c>
      <c r="I583" s="104" t="s">
        <v>91</v>
      </c>
      <c r="J583" s="102" t="s">
        <v>61</v>
      </c>
      <c r="K583" s="102">
        <v>64</v>
      </c>
      <c r="L583" s="103">
        <v>0</v>
      </c>
      <c r="M583" s="104">
        <v>89</v>
      </c>
      <c r="N583" s="102">
        <v>89</v>
      </c>
      <c r="O583" s="102">
        <v>0</v>
      </c>
      <c r="P583" s="102">
        <v>72</v>
      </c>
      <c r="Q583" s="104">
        <f>_xlfn.FLOOR.MATH(0+0*B583)</f>
        <v>0</v>
      </c>
      <c r="R583" s="102">
        <f>_xlfn.FLOOR.MATH(13+0.25*B583)</f>
        <v>40</v>
      </c>
      <c r="S583" s="102">
        <f>_xlfn.FLOOR.MATH(30+0.3*B583)</f>
        <v>63</v>
      </c>
      <c r="T583" s="105">
        <f>_xlfn.FLOOR.MATH(46+0.51*B583)</f>
        <v>102</v>
      </c>
      <c r="U583" s="102">
        <v>20</v>
      </c>
      <c r="V583" s="102">
        <v>27</v>
      </c>
      <c r="W583" s="106" t="s">
        <v>52</v>
      </c>
      <c r="Y583" s="102" t="s">
        <v>54</v>
      </c>
      <c r="Z583" s="102" t="s">
        <v>55</v>
      </c>
      <c r="AA583" s="104" t="s">
        <v>56</v>
      </c>
      <c r="AB583" s="105">
        <v>12</v>
      </c>
      <c r="AC583" s="104">
        <v>4</v>
      </c>
      <c r="AD583" s="107" t="s">
        <v>1254</v>
      </c>
      <c r="AE583" s="104">
        <v>70</v>
      </c>
      <c r="AF583" s="105">
        <v>110</v>
      </c>
      <c r="AG583" s="104">
        <v>2.25</v>
      </c>
      <c r="AH583" s="102">
        <v>4.55</v>
      </c>
      <c r="AI583" s="105">
        <v>1</v>
      </c>
      <c r="AJ583" s="104">
        <v>50</v>
      </c>
      <c r="AK583" s="102">
        <v>60</v>
      </c>
      <c r="AL583" s="102">
        <v>60</v>
      </c>
      <c r="AM583" s="105">
        <v>0</v>
      </c>
      <c r="AN583" s="104">
        <v>64</v>
      </c>
      <c r="AO583" s="102">
        <v>0</v>
      </c>
      <c r="AP583" s="102">
        <v>64</v>
      </c>
      <c r="AQ583" s="105">
        <v>25</v>
      </c>
      <c r="AR583" s="108" t="s">
        <v>1651</v>
      </c>
    </row>
    <row r="584" ht="52.8" spans="1:44">
      <c r="A584" s="100">
        <v>11021913</v>
      </c>
      <c r="B584" s="101">
        <v>110</v>
      </c>
      <c r="C584" s="102">
        <v>6</v>
      </c>
      <c r="D584" s="103" t="s">
        <v>1652</v>
      </c>
      <c r="E584" s="103" t="s">
        <v>1653</v>
      </c>
      <c r="F584" s="103" t="s">
        <v>1212</v>
      </c>
      <c r="G584" s="103">
        <v>4</v>
      </c>
      <c r="H584" s="103">
        <v>5</v>
      </c>
      <c r="I584" s="104" t="s">
        <v>60</v>
      </c>
      <c r="J584" s="102" t="s">
        <v>114</v>
      </c>
      <c r="K584" s="102">
        <v>72</v>
      </c>
      <c r="L584" s="103">
        <v>0</v>
      </c>
      <c r="M584" s="104">
        <v>45</v>
      </c>
      <c r="N584" s="102">
        <v>72</v>
      </c>
      <c r="O584" s="102">
        <v>0</v>
      </c>
      <c r="P584" s="102">
        <v>79</v>
      </c>
      <c r="Q584" s="104">
        <f>_xlfn.FLOOR.MATH(0+0*B584)</f>
        <v>0</v>
      </c>
      <c r="R584" s="102">
        <f>_xlfn.FLOOR.MATH(52+0.3*B584)</f>
        <v>85</v>
      </c>
      <c r="S584" s="102">
        <f>_xlfn.FLOOR.MATH(45+0.22*B584)</f>
        <v>69</v>
      </c>
      <c r="T584" s="105">
        <f>_xlfn.FLOOR.MATH(41+0.56*B584)</f>
        <v>102</v>
      </c>
      <c r="U584" s="102">
        <v>40</v>
      </c>
      <c r="V584" s="102">
        <v>34.2</v>
      </c>
      <c r="W584" s="106" t="s">
        <v>115</v>
      </c>
      <c r="Y584" s="102" t="s">
        <v>54</v>
      </c>
      <c r="Z584" s="102" t="s">
        <v>55</v>
      </c>
      <c r="AA584" s="104" t="s">
        <v>1654</v>
      </c>
      <c r="AB584" s="105">
        <v>87</v>
      </c>
      <c r="AC584" s="104">
        <v>4</v>
      </c>
      <c r="AD584" s="107" t="s">
        <v>1655</v>
      </c>
      <c r="AE584" s="104">
        <v>60</v>
      </c>
      <c r="AF584" s="105">
        <v>55</v>
      </c>
      <c r="AG584" s="104">
        <v>2.4</v>
      </c>
      <c r="AH584" s="102">
        <v>4.5</v>
      </c>
      <c r="AI584" s="105">
        <v>1</v>
      </c>
      <c r="AJ584" s="104">
        <v>30</v>
      </c>
      <c r="AK584" s="102">
        <v>40</v>
      </c>
      <c r="AL584" s="102">
        <v>60</v>
      </c>
      <c r="AM584" s="105">
        <v>40</v>
      </c>
      <c r="AN584" s="104">
        <v>0</v>
      </c>
      <c r="AO584" s="102">
        <v>0</v>
      </c>
      <c r="AP584" s="102">
        <v>21</v>
      </c>
      <c r="AQ584" s="105">
        <v>62</v>
      </c>
      <c r="AR584" s="108" t="s">
        <v>1656</v>
      </c>
    </row>
    <row r="585" ht="79.2" spans="1:44">
      <c r="A585" s="100">
        <v>11022013</v>
      </c>
      <c r="B585" s="101">
        <v>110</v>
      </c>
      <c r="C585" s="102">
        <v>6</v>
      </c>
      <c r="D585" s="103" t="s">
        <v>1657</v>
      </c>
      <c r="E585" s="103" t="s">
        <v>1658</v>
      </c>
      <c r="F585" s="103" t="s">
        <v>1212</v>
      </c>
      <c r="G585" s="103">
        <v>4</v>
      </c>
      <c r="H585" s="103">
        <v>5</v>
      </c>
      <c r="I585" s="104" t="s">
        <v>60</v>
      </c>
      <c r="J585" s="102" t="s">
        <v>114</v>
      </c>
      <c r="K585" s="102">
        <v>72</v>
      </c>
      <c r="L585" s="103">
        <v>0</v>
      </c>
      <c r="M585" s="104">
        <v>45</v>
      </c>
      <c r="N585" s="102">
        <v>65</v>
      </c>
      <c r="O585" s="102">
        <v>0</v>
      </c>
      <c r="P585" s="102">
        <v>75</v>
      </c>
      <c r="Q585" s="104">
        <f>_xlfn.FLOOR.MATH(0+0*B585)</f>
        <v>0</v>
      </c>
      <c r="R585" s="102">
        <f>_xlfn.FLOOR.MATH(52+0.35*B585)</f>
        <v>90</v>
      </c>
      <c r="S585" s="102">
        <f>_xlfn.FLOOR.MATH(38+0.22*B585)</f>
        <v>62</v>
      </c>
      <c r="T585" s="105">
        <f>_xlfn.FLOOR.MATH(41+0.56*B585)</f>
        <v>102</v>
      </c>
      <c r="U585" s="102">
        <v>9</v>
      </c>
      <c r="V585" s="102">
        <v>34.2</v>
      </c>
      <c r="W585" s="106" t="s">
        <v>115</v>
      </c>
      <c r="Y585" s="102" t="s">
        <v>54</v>
      </c>
      <c r="Z585" s="102" t="s">
        <v>55</v>
      </c>
      <c r="AA585" s="104" t="s">
        <v>1654</v>
      </c>
      <c r="AB585" s="105">
        <v>87</v>
      </c>
      <c r="AC585" s="104">
        <v>4</v>
      </c>
      <c r="AD585" s="107" t="s">
        <v>1659</v>
      </c>
      <c r="AE585" s="104">
        <v>60</v>
      </c>
      <c r="AF585" s="105">
        <v>55</v>
      </c>
      <c r="AG585" s="104">
        <v>2.4</v>
      </c>
      <c r="AH585" s="102">
        <v>4.5</v>
      </c>
      <c r="AI585" s="105">
        <v>1</v>
      </c>
      <c r="AJ585" s="104">
        <v>30</v>
      </c>
      <c r="AK585" s="102">
        <v>40</v>
      </c>
      <c r="AL585" s="102">
        <v>60</v>
      </c>
      <c r="AM585" s="105">
        <v>40</v>
      </c>
      <c r="AN585" s="104">
        <v>0</v>
      </c>
      <c r="AO585" s="102">
        <v>0</v>
      </c>
      <c r="AP585" s="102">
        <v>18</v>
      </c>
      <c r="AQ585" s="105">
        <v>54</v>
      </c>
      <c r="AR585" s="108" t="s">
        <v>1660</v>
      </c>
    </row>
    <row r="586" ht="39.6" spans="1:45">
      <c r="A586" s="100">
        <v>11022113</v>
      </c>
      <c r="B586" s="101">
        <v>110</v>
      </c>
      <c r="C586" s="102">
        <v>5</v>
      </c>
      <c r="D586" s="103" t="s">
        <v>1661</v>
      </c>
      <c r="E586" s="103" t="s">
        <v>1662</v>
      </c>
      <c r="F586" s="103" t="s">
        <v>1212</v>
      </c>
      <c r="G586" s="103">
        <v>4</v>
      </c>
      <c r="H586" s="103">
        <v>4</v>
      </c>
      <c r="I586" s="104" t="s">
        <v>60</v>
      </c>
      <c r="J586" s="102" t="s">
        <v>114</v>
      </c>
      <c r="K586" s="102">
        <v>58</v>
      </c>
      <c r="L586" s="103">
        <v>2</v>
      </c>
      <c r="M586" s="104">
        <v>45</v>
      </c>
      <c r="N586" s="102">
        <v>60</v>
      </c>
      <c r="O586" s="102">
        <v>0</v>
      </c>
      <c r="P586" s="102">
        <v>65</v>
      </c>
      <c r="Q586" s="104">
        <f>_xlfn.FLOOR.MATH(0+0*B586)</f>
        <v>0</v>
      </c>
      <c r="R586" s="102">
        <f>_xlfn.FLOOR.MATH(38+0.25*B586)</f>
        <v>65</v>
      </c>
      <c r="S586" s="102">
        <f>_xlfn.FLOOR.MATH(41+0.22*B586)</f>
        <v>65</v>
      </c>
      <c r="T586" s="105">
        <f>_xlfn.FLOOR.MATH(40+0.56*B586)</f>
        <v>101</v>
      </c>
      <c r="U586" s="102">
        <v>13</v>
      </c>
      <c r="V586" s="102">
        <v>34.5</v>
      </c>
      <c r="W586" s="106" t="s">
        <v>115</v>
      </c>
      <c r="Y586" s="102" t="s">
        <v>54</v>
      </c>
      <c r="Z586" s="102" t="s">
        <v>55</v>
      </c>
      <c r="AA586" s="104" t="s">
        <v>1663</v>
      </c>
      <c r="AB586" s="105">
        <v>73</v>
      </c>
      <c r="AC586" s="104">
        <v>4</v>
      </c>
      <c r="AD586" s="107" t="s">
        <v>1664</v>
      </c>
      <c r="AE586" s="104">
        <v>60</v>
      </c>
      <c r="AF586" s="105">
        <v>60</v>
      </c>
      <c r="AG586" s="104">
        <v>2.4</v>
      </c>
      <c r="AH586" s="102">
        <v>4.3</v>
      </c>
      <c r="AI586" s="105">
        <v>0.95</v>
      </c>
      <c r="AJ586" s="104">
        <v>30</v>
      </c>
      <c r="AK586" s="102">
        <v>40</v>
      </c>
      <c r="AL586" s="102">
        <v>60</v>
      </c>
      <c r="AM586" s="105">
        <v>40</v>
      </c>
      <c r="AN586" s="104">
        <v>0</v>
      </c>
      <c r="AO586" s="102">
        <v>0</v>
      </c>
      <c r="AP586" s="102">
        <v>15</v>
      </c>
      <c r="AQ586" s="105">
        <v>35</v>
      </c>
      <c r="AR586" s="108" t="s">
        <v>1665</v>
      </c>
      <c r="AS586" s="109" t="s">
        <v>1666</v>
      </c>
    </row>
    <row r="587" ht="52.8" spans="1:44">
      <c r="A587" s="100">
        <v>11022213</v>
      </c>
      <c r="B587" s="101">
        <v>110</v>
      </c>
      <c r="C587" s="102">
        <v>5</v>
      </c>
      <c r="D587" s="103" t="s">
        <v>1667</v>
      </c>
      <c r="E587" s="103" t="s">
        <v>1668</v>
      </c>
      <c r="F587" s="103" t="s">
        <v>1212</v>
      </c>
      <c r="G587" s="103">
        <v>4</v>
      </c>
      <c r="H587" s="103">
        <v>4</v>
      </c>
      <c r="I587" s="104" t="s">
        <v>60</v>
      </c>
      <c r="J587" s="102" t="s">
        <v>114</v>
      </c>
      <c r="K587" s="102">
        <v>56</v>
      </c>
      <c r="L587" s="103">
        <v>0</v>
      </c>
      <c r="M587" s="104">
        <v>45</v>
      </c>
      <c r="N587" s="102">
        <v>59</v>
      </c>
      <c r="O587" s="102">
        <v>0</v>
      </c>
      <c r="P587" s="102">
        <v>65</v>
      </c>
      <c r="Q587" s="104">
        <f>_xlfn.FLOOR.MATH(0+0*B587)</f>
        <v>0</v>
      </c>
      <c r="R587" s="102">
        <f>_xlfn.FLOOR.MATH(38+0.25*B587)</f>
        <v>65</v>
      </c>
      <c r="S587" s="102">
        <f>_xlfn.FLOOR.MATH(41+0.22*B587)</f>
        <v>65</v>
      </c>
      <c r="T587" s="105">
        <f>_xlfn.FLOOR.MATH(40+0.56*B587)</f>
        <v>101</v>
      </c>
      <c r="U587" s="102">
        <v>10</v>
      </c>
      <c r="V587" s="102">
        <v>34.5</v>
      </c>
      <c r="W587" s="106" t="s">
        <v>115</v>
      </c>
      <c r="Y587" s="102" t="s">
        <v>54</v>
      </c>
      <c r="Z587" s="102" t="s">
        <v>55</v>
      </c>
      <c r="AA587" s="104" t="s">
        <v>1669</v>
      </c>
      <c r="AB587" s="105">
        <v>70</v>
      </c>
      <c r="AC587" s="104">
        <v>4</v>
      </c>
      <c r="AD587" s="107" t="s">
        <v>1670</v>
      </c>
      <c r="AE587" s="104">
        <v>60</v>
      </c>
      <c r="AF587" s="105">
        <v>60</v>
      </c>
      <c r="AG587" s="104">
        <v>2.4</v>
      </c>
      <c r="AH587" s="102">
        <v>4.2</v>
      </c>
      <c r="AI587" s="105">
        <v>0.95</v>
      </c>
      <c r="AJ587" s="104">
        <v>30</v>
      </c>
      <c r="AK587" s="102">
        <v>40</v>
      </c>
      <c r="AL587" s="102">
        <v>60</v>
      </c>
      <c r="AM587" s="105">
        <v>40</v>
      </c>
      <c r="AN587" s="104">
        <v>0</v>
      </c>
      <c r="AO587" s="102">
        <v>0</v>
      </c>
      <c r="AP587" s="102">
        <v>15</v>
      </c>
      <c r="AQ587" s="105">
        <v>35</v>
      </c>
      <c r="AR587" s="108" t="s">
        <v>1671</v>
      </c>
    </row>
    <row r="588" ht="92.4" spans="1:45">
      <c r="A588" s="100">
        <v>11022313</v>
      </c>
      <c r="B588" s="101">
        <v>110</v>
      </c>
      <c r="C588" s="102">
        <v>6</v>
      </c>
      <c r="D588" s="103" t="s">
        <v>1672</v>
      </c>
      <c r="E588" s="103" t="s">
        <v>1673</v>
      </c>
      <c r="F588" s="103" t="s">
        <v>1212</v>
      </c>
      <c r="G588" s="103">
        <v>6</v>
      </c>
      <c r="H588" s="103">
        <v>5</v>
      </c>
      <c r="I588" s="104" t="s">
        <v>60</v>
      </c>
      <c r="J588" s="102" t="s">
        <v>380</v>
      </c>
      <c r="K588" s="102">
        <v>111</v>
      </c>
      <c r="L588" s="103">
        <v>1</v>
      </c>
      <c r="M588" s="104">
        <v>45</v>
      </c>
      <c r="N588" s="102">
        <v>103</v>
      </c>
      <c r="O588" s="102">
        <v>0</v>
      </c>
      <c r="P588" s="102">
        <v>73</v>
      </c>
      <c r="Q588" s="104">
        <f>_xlfn.FLOOR.MATH(0+0*B588)</f>
        <v>0</v>
      </c>
      <c r="R588" s="102">
        <f>_xlfn.FLOOR.MATH(47+0.25*B588)</f>
        <v>74</v>
      </c>
      <c r="S588" s="102">
        <f>_xlfn.FLOOR.MATH(28+0.2*B588)</f>
        <v>50</v>
      </c>
      <c r="T588" s="105">
        <f>_xlfn.FLOOR.MATH(36+0.51*B588)</f>
        <v>92</v>
      </c>
      <c r="U588" s="102">
        <v>5</v>
      </c>
      <c r="V588" s="102">
        <v>27</v>
      </c>
      <c r="W588" s="106" t="s">
        <v>115</v>
      </c>
      <c r="Y588" s="102" t="s">
        <v>54</v>
      </c>
      <c r="Z588" s="102" t="s">
        <v>55</v>
      </c>
      <c r="AA588" s="104" t="s">
        <v>1674</v>
      </c>
      <c r="AB588" s="105">
        <v>72</v>
      </c>
      <c r="AC588" s="104">
        <v>4</v>
      </c>
      <c r="AD588" s="107" t="s">
        <v>1675</v>
      </c>
      <c r="AE588" s="104">
        <v>135</v>
      </c>
      <c r="AF588" s="105">
        <v>140</v>
      </c>
      <c r="AG588" s="104">
        <v>3.9</v>
      </c>
      <c r="AH588" s="102">
        <v>7</v>
      </c>
      <c r="AI588" s="105">
        <v>1.1</v>
      </c>
      <c r="AJ588" s="104">
        <v>20</v>
      </c>
      <c r="AK588" s="102">
        <v>20</v>
      </c>
      <c r="AL588" s="102">
        <v>40</v>
      </c>
      <c r="AM588" s="105">
        <v>10</v>
      </c>
      <c r="AN588" s="104">
        <v>0</v>
      </c>
      <c r="AO588" s="102">
        <v>0</v>
      </c>
      <c r="AP588" s="102">
        <v>39</v>
      </c>
      <c r="AQ588" s="105">
        <v>50</v>
      </c>
      <c r="AR588" s="108" t="s">
        <v>639</v>
      </c>
      <c r="AS588" s="109" t="s">
        <v>1676</v>
      </c>
    </row>
    <row r="589" ht="66" spans="1:44">
      <c r="A589" s="100">
        <v>11022513</v>
      </c>
      <c r="B589" s="101">
        <v>110</v>
      </c>
      <c r="C589" s="102">
        <v>5</v>
      </c>
      <c r="D589" s="103" t="s">
        <v>1677</v>
      </c>
      <c r="F589" s="103" t="s">
        <v>1212</v>
      </c>
      <c r="G589" s="103">
        <v>3</v>
      </c>
      <c r="H589" s="103">
        <v>4</v>
      </c>
      <c r="I589" s="104" t="s">
        <v>86</v>
      </c>
      <c r="J589" s="102" t="s">
        <v>114</v>
      </c>
      <c r="K589" s="102">
        <v>56</v>
      </c>
      <c r="L589" s="103">
        <v>0</v>
      </c>
      <c r="M589" s="104">
        <v>40</v>
      </c>
      <c r="N589" s="102">
        <v>62</v>
      </c>
      <c r="O589" s="102">
        <v>0</v>
      </c>
      <c r="P589" s="102">
        <v>82</v>
      </c>
      <c r="Q589" s="104">
        <f>_xlfn.FLOOR.MATH(0+0*B589)</f>
        <v>0</v>
      </c>
      <c r="R589" s="102">
        <f>_xlfn.FLOOR.MATH(45+0.2*B589)</f>
        <v>67</v>
      </c>
      <c r="S589" s="102">
        <f>_xlfn.FLOOR.MATH(35+0.2*B589)</f>
        <v>57</v>
      </c>
      <c r="T589" s="105">
        <f>_xlfn.FLOOR.MATH(40+0.56*B589)</f>
        <v>101</v>
      </c>
      <c r="U589" s="102">
        <v>10</v>
      </c>
      <c r="V589" s="102">
        <v>29.5</v>
      </c>
      <c r="W589" s="106" t="s">
        <v>115</v>
      </c>
      <c r="Y589" s="102" t="s">
        <v>54</v>
      </c>
      <c r="Z589" s="102" t="s">
        <v>55</v>
      </c>
      <c r="AA589" s="104" t="s">
        <v>1678</v>
      </c>
      <c r="AB589" s="105">
        <v>82</v>
      </c>
      <c r="AC589" s="104">
        <v>4</v>
      </c>
      <c r="AD589" s="107" t="s">
        <v>1679</v>
      </c>
      <c r="AE589" s="104">
        <v>55</v>
      </c>
      <c r="AF589" s="105">
        <v>60</v>
      </c>
      <c r="AG589" s="104">
        <v>2.08</v>
      </c>
      <c r="AH589" s="102">
        <v>3.9</v>
      </c>
      <c r="AI589" s="105">
        <v>0.8</v>
      </c>
      <c r="AJ589" s="104">
        <v>30</v>
      </c>
      <c r="AK589" s="102">
        <v>40</v>
      </c>
      <c r="AL589" s="102">
        <v>60</v>
      </c>
      <c r="AM589" s="105">
        <v>40</v>
      </c>
      <c r="AN589" s="104">
        <v>0</v>
      </c>
      <c r="AO589" s="102">
        <v>0</v>
      </c>
      <c r="AP589" s="102">
        <v>16</v>
      </c>
      <c r="AQ589" s="105">
        <v>74</v>
      </c>
      <c r="AR589" s="108" t="s">
        <v>1680</v>
      </c>
    </row>
    <row r="590" ht="26.4" spans="1:44">
      <c r="A590" s="100">
        <v>11022712</v>
      </c>
      <c r="B590" s="101">
        <v>110</v>
      </c>
      <c r="C590" s="102">
        <v>4</v>
      </c>
      <c r="D590" s="103" t="s">
        <v>1681</v>
      </c>
      <c r="E590" s="103" t="s">
        <v>1682</v>
      </c>
      <c r="F590" s="103" t="s">
        <v>1212</v>
      </c>
      <c r="G590" s="103">
        <v>3</v>
      </c>
      <c r="H590" s="103">
        <v>4</v>
      </c>
      <c r="I590" s="104" t="s">
        <v>60</v>
      </c>
      <c r="J590" s="102" t="s">
        <v>125</v>
      </c>
      <c r="K590" s="102">
        <v>70</v>
      </c>
      <c r="L590" s="103">
        <v>2</v>
      </c>
      <c r="M590" s="104">
        <v>30</v>
      </c>
      <c r="N590" s="102">
        <v>45</v>
      </c>
      <c r="O590" s="102">
        <v>0</v>
      </c>
      <c r="P590" s="102">
        <v>63</v>
      </c>
      <c r="Q590" s="104">
        <f>_xlfn.FLOOR.MATH(0+0*B590)</f>
        <v>0</v>
      </c>
      <c r="R590" s="102">
        <f>_xlfn.FLOOR.MATH(38+0.25*B590)</f>
        <v>65</v>
      </c>
      <c r="S590" s="102">
        <f>_xlfn.FLOOR.MATH(28+0.21*B590)</f>
        <v>51</v>
      </c>
      <c r="T590" s="105">
        <f>_xlfn.FLOOR.MATH(37+0.53*B590)</f>
        <v>95</v>
      </c>
      <c r="U590" s="102">
        <v>9</v>
      </c>
      <c r="V590" s="102">
        <v>25.5</v>
      </c>
      <c r="W590" s="106" t="s">
        <v>115</v>
      </c>
      <c r="Y590" s="102" t="s">
        <v>127</v>
      </c>
      <c r="Z590" s="102" t="s">
        <v>128</v>
      </c>
      <c r="AA590" s="104" t="s">
        <v>1683</v>
      </c>
      <c r="AB590" s="105">
        <v>55</v>
      </c>
      <c r="AC590" s="104">
        <v>3</v>
      </c>
      <c r="AD590" s="107" t="s">
        <v>1684</v>
      </c>
      <c r="AE590" s="104">
        <v>35</v>
      </c>
      <c r="AF590" s="105">
        <v>35</v>
      </c>
      <c r="AG590" s="104">
        <v>1.28</v>
      </c>
      <c r="AH590" s="102">
        <v>2.4</v>
      </c>
      <c r="AI590" s="105">
        <v>0.75</v>
      </c>
      <c r="AJ590" s="104">
        <v>20</v>
      </c>
      <c r="AK590" s="102">
        <v>30</v>
      </c>
      <c r="AL590" s="102">
        <v>50</v>
      </c>
      <c r="AM590" s="105">
        <v>20</v>
      </c>
      <c r="AN590" s="104">
        <v>0</v>
      </c>
      <c r="AO590" s="102">
        <v>0</v>
      </c>
      <c r="AP590" s="102">
        <v>13</v>
      </c>
      <c r="AQ590" s="105">
        <v>33</v>
      </c>
      <c r="AR590" s="108" t="s">
        <v>1685</v>
      </c>
    </row>
    <row r="591" ht="39.6" spans="1:44">
      <c r="A591" s="100">
        <v>11022812</v>
      </c>
      <c r="B591" s="101">
        <v>110</v>
      </c>
      <c r="C591" s="102">
        <v>4</v>
      </c>
      <c r="D591" s="103" t="s">
        <v>1686</v>
      </c>
      <c r="E591" s="103" t="s">
        <v>1687</v>
      </c>
      <c r="F591" s="103" t="s">
        <v>1212</v>
      </c>
      <c r="G591" s="103">
        <v>3</v>
      </c>
      <c r="H591" s="103">
        <v>3</v>
      </c>
      <c r="I591" s="104" t="s">
        <v>60</v>
      </c>
      <c r="J591" s="102" t="s">
        <v>125</v>
      </c>
      <c r="K591" s="102">
        <v>70</v>
      </c>
      <c r="L591" s="103">
        <v>2</v>
      </c>
      <c r="M591" s="104">
        <v>30</v>
      </c>
      <c r="N591" s="102">
        <v>47</v>
      </c>
      <c r="O591" s="102">
        <v>0</v>
      </c>
      <c r="P591" s="102">
        <v>66</v>
      </c>
      <c r="Q591" s="104">
        <f>_xlfn.FLOOR.MATH(0+0*B591)</f>
        <v>0</v>
      </c>
      <c r="R591" s="102">
        <f>_xlfn.FLOOR.MATH(38+0.25*B591)</f>
        <v>65</v>
      </c>
      <c r="S591" s="102">
        <f>_xlfn.FLOOR.MATH(28+0.21*B591)</f>
        <v>51</v>
      </c>
      <c r="T591" s="105">
        <f>_xlfn.FLOOR.MATH(37+0.53*B591)</f>
        <v>95</v>
      </c>
      <c r="U591" s="102">
        <v>22</v>
      </c>
      <c r="V591" s="102">
        <v>25.5</v>
      </c>
      <c r="W591" s="106" t="s">
        <v>115</v>
      </c>
      <c r="Y591" s="102" t="s">
        <v>127</v>
      </c>
      <c r="Z591" s="102" t="s">
        <v>128</v>
      </c>
      <c r="AA591" s="104" t="s">
        <v>1683</v>
      </c>
      <c r="AB591" s="105">
        <v>55</v>
      </c>
      <c r="AC591" s="104">
        <v>3</v>
      </c>
      <c r="AD591" s="107" t="s">
        <v>1684</v>
      </c>
      <c r="AE591" s="104">
        <v>35</v>
      </c>
      <c r="AF591" s="105">
        <v>35</v>
      </c>
      <c r="AG591" s="104">
        <v>1.28</v>
      </c>
      <c r="AH591" s="102">
        <v>2.4</v>
      </c>
      <c r="AI591" s="105">
        <v>0.75</v>
      </c>
      <c r="AJ591" s="104">
        <v>20</v>
      </c>
      <c r="AK591" s="102">
        <v>30</v>
      </c>
      <c r="AL591" s="102">
        <v>50</v>
      </c>
      <c r="AM591" s="105">
        <v>20</v>
      </c>
      <c r="AN591" s="104">
        <v>0</v>
      </c>
      <c r="AO591" s="102">
        <v>0</v>
      </c>
      <c r="AP591" s="102">
        <v>14</v>
      </c>
      <c r="AQ591" s="105">
        <v>36</v>
      </c>
      <c r="AR591" s="108" t="s">
        <v>1688</v>
      </c>
    </row>
    <row r="592" ht="66" spans="1:44">
      <c r="A592" s="100">
        <v>11023312</v>
      </c>
      <c r="B592" s="101">
        <v>110</v>
      </c>
      <c r="C592" s="102">
        <v>5</v>
      </c>
      <c r="D592" s="103" t="s">
        <v>1689</v>
      </c>
      <c r="E592" s="103" t="s">
        <v>1690</v>
      </c>
      <c r="F592" s="103" t="s">
        <v>1212</v>
      </c>
      <c r="G592" s="103">
        <v>3</v>
      </c>
      <c r="H592" s="103">
        <v>4</v>
      </c>
      <c r="I592" s="104" t="s">
        <v>60</v>
      </c>
      <c r="J592" s="102" t="s">
        <v>807</v>
      </c>
      <c r="K592" s="102">
        <v>52</v>
      </c>
      <c r="L592" s="103">
        <v>0</v>
      </c>
      <c r="M592" s="104">
        <v>63</v>
      </c>
      <c r="N592" s="102">
        <v>52</v>
      </c>
      <c r="O592" s="102">
        <v>79</v>
      </c>
      <c r="P592" s="102">
        <v>65</v>
      </c>
      <c r="Q592" s="104">
        <f>_xlfn.FLOOR.MATH(25+0.25*B592)</f>
        <v>52</v>
      </c>
      <c r="R592" s="102">
        <f>_xlfn.FLOOR.MATH(13+0.35*B592)</f>
        <v>51</v>
      </c>
      <c r="S592" s="102">
        <f>_xlfn.FLOOR.MATH(41+0.42*B592)</f>
        <v>87</v>
      </c>
      <c r="T592" s="105">
        <f>_xlfn.FLOOR.MATH(42+0.53*B592)</f>
        <v>100</v>
      </c>
      <c r="U592" s="102">
        <v>10</v>
      </c>
      <c r="V592" s="102">
        <v>35</v>
      </c>
      <c r="W592" s="106" t="s">
        <v>158</v>
      </c>
      <c r="Y592" s="102" t="s">
        <v>127</v>
      </c>
      <c r="Z592" s="102" t="s">
        <v>128</v>
      </c>
      <c r="AA592" s="104" t="s">
        <v>1691</v>
      </c>
      <c r="AB592" s="105">
        <v>12</v>
      </c>
      <c r="AC592" s="104">
        <v>4</v>
      </c>
      <c r="AD592" s="107" t="s">
        <v>1692</v>
      </c>
      <c r="AE592" s="104">
        <v>40</v>
      </c>
      <c r="AF592" s="105">
        <v>75</v>
      </c>
      <c r="AG592" s="104">
        <v>1.3</v>
      </c>
      <c r="AH592" s="102">
        <v>2.4</v>
      </c>
      <c r="AI592" s="105">
        <v>0.75</v>
      </c>
      <c r="AJ592" s="104">
        <v>50</v>
      </c>
      <c r="AK592" s="102">
        <v>40</v>
      </c>
      <c r="AL592" s="102">
        <v>60</v>
      </c>
      <c r="AM592" s="105">
        <v>6</v>
      </c>
      <c r="AN592" s="104">
        <v>38</v>
      </c>
      <c r="AO592" s="102">
        <v>18</v>
      </c>
      <c r="AP592" s="102">
        <v>19</v>
      </c>
      <c r="AQ592" s="105">
        <v>35</v>
      </c>
      <c r="AR592" s="108" t="s">
        <v>1693</v>
      </c>
    </row>
    <row r="593" ht="118.8" spans="1:44">
      <c r="A593" s="100">
        <v>11024012</v>
      </c>
      <c r="B593" s="101">
        <v>110</v>
      </c>
      <c r="C593" s="102">
        <v>5</v>
      </c>
      <c r="D593" s="103" t="s">
        <v>1694</v>
      </c>
      <c r="F593" s="103" t="s">
        <v>1212</v>
      </c>
      <c r="G593" s="103">
        <v>4</v>
      </c>
      <c r="H593" s="103">
        <v>3</v>
      </c>
      <c r="I593" s="104" t="s">
        <v>86</v>
      </c>
      <c r="J593" s="102" t="s">
        <v>157</v>
      </c>
      <c r="K593" s="102">
        <v>58</v>
      </c>
      <c r="L593" s="103">
        <v>2</v>
      </c>
      <c r="M593" s="104">
        <v>73</v>
      </c>
      <c r="N593" s="102">
        <v>56</v>
      </c>
      <c r="O593" s="102">
        <v>0</v>
      </c>
      <c r="P593" s="102">
        <v>83</v>
      </c>
      <c r="Q593" s="104">
        <f>_xlfn.FLOOR.MATH(0+0*B593)</f>
        <v>0</v>
      </c>
      <c r="R593" s="102">
        <f>_xlfn.FLOOR.MATH(25+0.3*B593)</f>
        <v>58</v>
      </c>
      <c r="S593" s="102">
        <f>_xlfn.FLOOR.MATH(37+0.42*B593)</f>
        <v>83</v>
      </c>
      <c r="T593" s="105">
        <f>_xlfn.FLOOR.MATH(42+0.51*B593)</f>
        <v>98</v>
      </c>
      <c r="U593" s="102">
        <v>20</v>
      </c>
      <c r="V593" s="102">
        <v>32.7</v>
      </c>
      <c r="W593" s="106" t="s">
        <v>158</v>
      </c>
      <c r="Y593" s="102" t="s">
        <v>127</v>
      </c>
      <c r="Z593" s="102" t="s">
        <v>128</v>
      </c>
      <c r="AA593" s="104" t="s">
        <v>337</v>
      </c>
      <c r="AB593" s="105">
        <v>8</v>
      </c>
      <c r="AC593" s="104">
        <v>4</v>
      </c>
      <c r="AD593" s="107" t="s">
        <v>715</v>
      </c>
      <c r="AE593" s="104">
        <v>40</v>
      </c>
      <c r="AF593" s="105">
        <v>70</v>
      </c>
      <c r="AG593" s="104">
        <v>1.28</v>
      </c>
      <c r="AH593" s="102">
        <v>2.4</v>
      </c>
      <c r="AI593" s="105">
        <v>0.625</v>
      </c>
      <c r="AJ593" s="104">
        <v>30</v>
      </c>
      <c r="AK593" s="102">
        <v>40</v>
      </c>
      <c r="AL593" s="102">
        <v>30</v>
      </c>
      <c r="AM593" s="105">
        <v>0</v>
      </c>
      <c r="AN593" s="104">
        <v>43</v>
      </c>
      <c r="AO593" s="102">
        <v>0</v>
      </c>
      <c r="AP593" s="102">
        <v>18</v>
      </c>
      <c r="AQ593" s="105">
        <v>50</v>
      </c>
      <c r="AR593" s="108" t="s">
        <v>1695</v>
      </c>
    </row>
    <row r="594" ht="92.4" spans="1:45">
      <c r="A594" s="100">
        <v>11024112</v>
      </c>
      <c r="B594" s="101">
        <v>110</v>
      </c>
      <c r="C594" s="102">
        <v>6</v>
      </c>
      <c r="D594" s="103" t="s">
        <v>1696</v>
      </c>
      <c r="F594" s="103" t="s">
        <v>1212</v>
      </c>
      <c r="G594" s="103">
        <v>4</v>
      </c>
      <c r="H594" s="103">
        <v>4</v>
      </c>
      <c r="I594" s="104" t="s">
        <v>86</v>
      </c>
      <c r="J594" s="102" t="s">
        <v>157</v>
      </c>
      <c r="K594" s="102">
        <v>62</v>
      </c>
      <c r="L594" s="103">
        <v>2</v>
      </c>
      <c r="M594" s="104">
        <v>78</v>
      </c>
      <c r="N594" s="102">
        <v>60</v>
      </c>
      <c r="O594" s="102">
        <v>0</v>
      </c>
      <c r="P594" s="102">
        <v>101</v>
      </c>
      <c r="Q594" s="104">
        <f>_xlfn.FLOOR.MATH(0+0*B594)</f>
        <v>0</v>
      </c>
      <c r="R594" s="102">
        <f>_xlfn.FLOOR.MATH(25+0.3*B594)</f>
        <v>58</v>
      </c>
      <c r="S594" s="102">
        <f>_xlfn.FLOOR.MATH(37+0.42*B594)</f>
        <v>83</v>
      </c>
      <c r="T594" s="105">
        <f>_xlfn.FLOOR.MATH(43+0.51*B594)</f>
        <v>99</v>
      </c>
      <c r="U594" s="102">
        <v>18</v>
      </c>
      <c r="V594" s="102">
        <v>33</v>
      </c>
      <c r="W594" s="106" t="s">
        <v>158</v>
      </c>
      <c r="Y594" s="102" t="s">
        <v>127</v>
      </c>
      <c r="Z594" s="102" t="s">
        <v>128</v>
      </c>
      <c r="AA594" s="104" t="s">
        <v>337</v>
      </c>
      <c r="AB594" s="105">
        <v>8</v>
      </c>
      <c r="AC594" s="104">
        <v>4</v>
      </c>
      <c r="AD594" s="107" t="s">
        <v>1697</v>
      </c>
      <c r="AE594" s="104">
        <v>45</v>
      </c>
      <c r="AF594" s="105">
        <v>75</v>
      </c>
      <c r="AG594" s="104">
        <v>1.28</v>
      </c>
      <c r="AH594" s="102">
        <v>2.4</v>
      </c>
      <c r="AI594" s="105">
        <v>0.625</v>
      </c>
      <c r="AJ594" s="104">
        <v>30</v>
      </c>
      <c r="AK594" s="102">
        <v>40</v>
      </c>
      <c r="AL594" s="102">
        <v>30</v>
      </c>
      <c r="AM594" s="105">
        <v>0</v>
      </c>
      <c r="AN594" s="104">
        <v>48</v>
      </c>
      <c r="AO594" s="102">
        <v>0</v>
      </c>
      <c r="AP594" s="102">
        <v>20</v>
      </c>
      <c r="AQ594" s="105">
        <v>78</v>
      </c>
      <c r="AR594" s="108" t="s">
        <v>689</v>
      </c>
      <c r="AS594" s="109" t="s">
        <v>1698</v>
      </c>
    </row>
    <row r="595" ht="39.6" spans="1:44">
      <c r="A595" s="100">
        <v>11024712</v>
      </c>
      <c r="B595" s="101">
        <v>110</v>
      </c>
      <c r="C595" s="102">
        <v>4</v>
      </c>
      <c r="D595" s="103" t="s">
        <v>1699</v>
      </c>
      <c r="E595" s="103" t="s">
        <v>1700</v>
      </c>
      <c r="F595" s="103" t="s">
        <v>1212</v>
      </c>
      <c r="G595" s="103">
        <v>2</v>
      </c>
      <c r="H595" s="103">
        <v>2</v>
      </c>
      <c r="I595" s="104" t="s">
        <v>60</v>
      </c>
      <c r="J595" s="102" t="s">
        <v>184</v>
      </c>
      <c r="K595" s="102">
        <v>38</v>
      </c>
      <c r="L595" s="103">
        <v>2</v>
      </c>
      <c r="M595" s="104">
        <v>47</v>
      </c>
      <c r="N595" s="102">
        <v>33</v>
      </c>
      <c r="O595" s="102">
        <v>65</v>
      </c>
      <c r="P595" s="102">
        <v>57</v>
      </c>
      <c r="Q595" s="104">
        <f>_xlfn.FLOOR.MATH(30+0.5*B595)</f>
        <v>85</v>
      </c>
      <c r="R595" s="102">
        <f>_xlfn.FLOOR.MATH(16+0.2*B595)</f>
        <v>38</v>
      </c>
      <c r="S595" s="102">
        <f>_xlfn.FLOOR.MATH(25+0.34*B595)</f>
        <v>62</v>
      </c>
      <c r="T595" s="105">
        <f>_xlfn.FLOOR.MATH(37+0.54*B595)</f>
        <v>96</v>
      </c>
      <c r="U595" s="102">
        <v>16</v>
      </c>
      <c r="V595" s="102">
        <v>18</v>
      </c>
      <c r="W595" s="106" t="s">
        <v>158</v>
      </c>
      <c r="Y595" s="102" t="s">
        <v>127</v>
      </c>
      <c r="Z595" s="102" t="s">
        <v>128</v>
      </c>
      <c r="AA595" s="104" t="s">
        <v>160</v>
      </c>
      <c r="AB595" s="105">
        <v>6</v>
      </c>
      <c r="AC595" s="104">
        <v>3</v>
      </c>
      <c r="AD595" s="107" t="s">
        <v>1701</v>
      </c>
      <c r="AE595" s="104">
        <v>25</v>
      </c>
      <c r="AF595" s="105">
        <v>20</v>
      </c>
      <c r="AG595" s="104">
        <v>0.8</v>
      </c>
      <c r="AH595" s="102">
        <v>1.5</v>
      </c>
      <c r="AI595" s="105">
        <v>0.5</v>
      </c>
      <c r="AJ595" s="104">
        <v>10</v>
      </c>
      <c r="AK595" s="102">
        <v>16</v>
      </c>
      <c r="AL595" s="102">
        <v>10</v>
      </c>
      <c r="AM595" s="105">
        <v>0</v>
      </c>
      <c r="AN595" s="104">
        <v>9</v>
      </c>
      <c r="AO595" s="102">
        <v>23</v>
      </c>
      <c r="AP595" s="102">
        <v>7</v>
      </c>
      <c r="AQ595" s="105">
        <v>14</v>
      </c>
      <c r="AR595" s="108" t="s">
        <v>1702</v>
      </c>
    </row>
    <row r="596" ht="52.8" spans="1:44">
      <c r="A596" s="100">
        <v>11024812</v>
      </c>
      <c r="B596" s="101">
        <v>110</v>
      </c>
      <c r="C596" s="102">
        <v>6</v>
      </c>
      <c r="D596" s="103" t="s">
        <v>1703</v>
      </c>
      <c r="E596" s="103" t="s">
        <v>1704</v>
      </c>
      <c r="F596" s="103" t="s">
        <v>1212</v>
      </c>
      <c r="G596" s="103">
        <v>2</v>
      </c>
      <c r="H596" s="103">
        <v>4</v>
      </c>
      <c r="I596" s="104" t="s">
        <v>60</v>
      </c>
      <c r="J596" s="102" t="s">
        <v>1705</v>
      </c>
      <c r="K596" s="102">
        <v>40</v>
      </c>
      <c r="L596" s="103">
        <v>0</v>
      </c>
      <c r="M596" s="104">
        <v>52</v>
      </c>
      <c r="N596" s="102">
        <v>54</v>
      </c>
      <c r="O596" s="102">
        <v>0</v>
      </c>
      <c r="P596" s="102">
        <v>68</v>
      </c>
      <c r="Q596" s="104">
        <f>_xlfn.FLOOR.MATH(25+0.25*B596)</f>
        <v>52</v>
      </c>
      <c r="R596" s="102">
        <f>_xlfn.FLOOR.MATH(30+0.2*B596)</f>
        <v>52</v>
      </c>
      <c r="S596" s="102">
        <f>_xlfn.FLOOR.MATH(41+0.37*B596)</f>
        <v>81</v>
      </c>
      <c r="T596" s="105">
        <f>_xlfn.FLOOR.MATH(43+0.53*B596)</f>
        <v>101</v>
      </c>
      <c r="U596" s="102">
        <v>17</v>
      </c>
      <c r="V596" s="102">
        <v>34</v>
      </c>
      <c r="W596" s="106" t="s">
        <v>158</v>
      </c>
      <c r="Y596" s="102" t="s">
        <v>127</v>
      </c>
      <c r="AA596" s="104" t="s">
        <v>1706</v>
      </c>
      <c r="AB596" s="105">
        <v>18</v>
      </c>
      <c r="AC596" s="104">
        <v>4</v>
      </c>
      <c r="AD596" s="107" t="s">
        <v>1707</v>
      </c>
      <c r="AE596" s="104">
        <v>40</v>
      </c>
      <c r="AF596" s="105">
        <v>70</v>
      </c>
      <c r="AG596" s="104">
        <v>1.3</v>
      </c>
      <c r="AH596" s="102">
        <v>2.3</v>
      </c>
      <c r="AI596" s="105">
        <v>0.75</v>
      </c>
      <c r="AJ596" s="104">
        <v>50</v>
      </c>
      <c r="AK596" s="102">
        <v>60</v>
      </c>
      <c r="AL596" s="102">
        <v>60</v>
      </c>
      <c r="AM596" s="105">
        <v>0</v>
      </c>
      <c r="AN596" s="104">
        <v>22</v>
      </c>
      <c r="AO596" s="102">
        <v>0</v>
      </c>
      <c r="AP596" s="102">
        <v>15</v>
      </c>
      <c r="AQ596" s="105">
        <v>40</v>
      </c>
      <c r="AR596" s="108" t="s">
        <v>1708</v>
      </c>
    </row>
    <row r="597" ht="39.6" spans="1:44">
      <c r="A597" s="100">
        <v>11024912</v>
      </c>
      <c r="B597" s="101">
        <v>110</v>
      </c>
      <c r="C597" s="102">
        <v>4</v>
      </c>
      <c r="D597" s="103" t="s">
        <v>1709</v>
      </c>
      <c r="F597" s="103" t="s">
        <v>1212</v>
      </c>
      <c r="G597" s="103">
        <v>2</v>
      </c>
      <c r="H597" s="103">
        <v>2</v>
      </c>
      <c r="I597" s="104" t="s">
        <v>73</v>
      </c>
      <c r="J597" s="102" t="s">
        <v>184</v>
      </c>
      <c r="K597" s="102">
        <v>50</v>
      </c>
      <c r="L597" s="103">
        <v>2</v>
      </c>
      <c r="M597" s="104">
        <v>58</v>
      </c>
      <c r="N597" s="102">
        <v>44</v>
      </c>
      <c r="O597" s="102">
        <v>70</v>
      </c>
      <c r="P597" s="102">
        <v>68</v>
      </c>
      <c r="Q597" s="104">
        <f>_xlfn.FLOOR.MATH(32+0.5*B597)</f>
        <v>87</v>
      </c>
      <c r="R597" s="102">
        <f>_xlfn.FLOOR.MATH(11+0.2*B597)</f>
        <v>33</v>
      </c>
      <c r="S597" s="102">
        <f>_xlfn.FLOOR.MATH(39+0.35*B597)</f>
        <v>77</v>
      </c>
      <c r="T597" s="105">
        <f>_xlfn.FLOOR.MATH(37+0.54*B597)</f>
        <v>96</v>
      </c>
      <c r="U597" s="102">
        <v>20</v>
      </c>
      <c r="V597" s="102">
        <v>32</v>
      </c>
      <c r="W597" s="106" t="s">
        <v>158</v>
      </c>
      <c r="Y597" s="102" t="s">
        <v>127</v>
      </c>
      <c r="Z597" s="102" t="s">
        <v>128</v>
      </c>
      <c r="AA597" s="104" t="s">
        <v>160</v>
      </c>
      <c r="AB597" s="105">
        <v>6</v>
      </c>
      <c r="AC597" s="104">
        <v>3</v>
      </c>
      <c r="AD597" s="107" t="s">
        <v>1710</v>
      </c>
      <c r="AE597" s="104">
        <v>20</v>
      </c>
      <c r="AF597" s="105">
        <v>25</v>
      </c>
      <c r="AG597" s="104">
        <v>0.8</v>
      </c>
      <c r="AH597" s="102">
        <v>1.65</v>
      </c>
      <c r="AI597" s="105">
        <v>0.5</v>
      </c>
      <c r="AJ597" s="104">
        <v>10</v>
      </c>
      <c r="AK597" s="102">
        <v>16</v>
      </c>
      <c r="AL597" s="102">
        <v>10</v>
      </c>
      <c r="AM597" s="105">
        <v>0</v>
      </c>
      <c r="AN597" s="104">
        <v>14</v>
      </c>
      <c r="AO597" s="102">
        <v>25</v>
      </c>
      <c r="AP597" s="102">
        <v>14</v>
      </c>
      <c r="AQ597" s="105">
        <v>21</v>
      </c>
      <c r="AR597" s="108" t="s">
        <v>1711</v>
      </c>
    </row>
    <row r="598" ht="66" spans="1:44">
      <c r="A598" s="100">
        <v>11026511</v>
      </c>
      <c r="B598" s="101">
        <v>110</v>
      </c>
      <c r="C598" s="102">
        <v>5</v>
      </c>
      <c r="D598" s="103" t="s">
        <v>1712</v>
      </c>
      <c r="E598" s="103" t="s">
        <v>1713</v>
      </c>
      <c r="F598" s="103" t="s">
        <v>1212</v>
      </c>
      <c r="G598" s="103">
        <v>2</v>
      </c>
      <c r="H598" s="103">
        <v>3</v>
      </c>
      <c r="I598" s="104" t="s">
        <v>60</v>
      </c>
      <c r="J598" s="102" t="s">
        <v>246</v>
      </c>
      <c r="K598" s="102">
        <v>31</v>
      </c>
      <c r="L598" s="103">
        <v>1</v>
      </c>
      <c r="M598" s="104">
        <v>38</v>
      </c>
      <c r="N598" s="102">
        <v>38</v>
      </c>
      <c r="O598" s="102">
        <v>97</v>
      </c>
      <c r="P598" s="102">
        <v>48</v>
      </c>
      <c r="Q598" s="104">
        <f>_xlfn.FLOOR.MATH(28+0.4*B598)</f>
        <v>72</v>
      </c>
      <c r="R598" s="102">
        <f>_xlfn.FLOOR.MATH(6+0.3*B598)</f>
        <v>39</v>
      </c>
      <c r="S598" s="102">
        <f>_xlfn.FLOOR.MATH(50+0.4*B598)</f>
        <v>94</v>
      </c>
      <c r="T598" s="105">
        <f>_xlfn.FLOOR.MATH(34+0.55*B598)</f>
        <v>94</v>
      </c>
      <c r="U598" s="102">
        <v>10</v>
      </c>
      <c r="V598" s="102">
        <v>34</v>
      </c>
      <c r="W598" s="106" t="s">
        <v>115</v>
      </c>
      <c r="Y598" s="102" t="s">
        <v>241</v>
      </c>
      <c r="Z598" s="102" t="s">
        <v>128</v>
      </c>
      <c r="AA598" s="104">
        <v>0</v>
      </c>
      <c r="AB598" s="105">
        <v>0</v>
      </c>
      <c r="AC598" s="104">
        <v>3</v>
      </c>
      <c r="AD598" s="107" t="s">
        <v>1714</v>
      </c>
      <c r="AE598" s="104">
        <v>15</v>
      </c>
      <c r="AF598" s="105">
        <v>20</v>
      </c>
      <c r="AG598" s="104">
        <v>0.48</v>
      </c>
      <c r="AH598" s="102">
        <v>0.9</v>
      </c>
      <c r="AI598" s="105">
        <v>0.5</v>
      </c>
      <c r="AJ598" s="104">
        <v>4</v>
      </c>
      <c r="AK598" s="102">
        <v>8</v>
      </c>
      <c r="AL598" s="102">
        <v>6</v>
      </c>
      <c r="AM598" s="105">
        <v>0</v>
      </c>
      <c r="AN598" s="104">
        <v>0</v>
      </c>
      <c r="AO598" s="102">
        <v>46</v>
      </c>
      <c r="AP598" s="102">
        <v>13</v>
      </c>
      <c r="AQ598" s="105">
        <v>0</v>
      </c>
      <c r="AR598" s="108" t="s">
        <v>1715</v>
      </c>
    </row>
    <row r="599" ht="66" spans="1:44">
      <c r="A599" s="100">
        <v>11026911</v>
      </c>
      <c r="B599" s="101">
        <v>110</v>
      </c>
      <c r="C599" s="102">
        <v>3</v>
      </c>
      <c r="D599" s="103" t="s">
        <v>1716</v>
      </c>
      <c r="F599" s="103" t="s">
        <v>1212</v>
      </c>
      <c r="G599" s="103">
        <v>4</v>
      </c>
      <c r="H599" s="103">
        <v>6</v>
      </c>
      <c r="I599" s="104" t="s">
        <v>73</v>
      </c>
      <c r="J599" s="102" t="s">
        <v>246</v>
      </c>
      <c r="K599" s="102">
        <v>39</v>
      </c>
      <c r="L599" s="103">
        <v>1</v>
      </c>
      <c r="M599" s="104">
        <v>38</v>
      </c>
      <c r="N599" s="102">
        <v>40</v>
      </c>
      <c r="O599" s="102">
        <v>80</v>
      </c>
      <c r="P599" s="102">
        <v>48</v>
      </c>
      <c r="Q599" s="104">
        <f>_xlfn.FLOOR.MATH(22+0.4*B599)</f>
        <v>66</v>
      </c>
      <c r="R599" s="102">
        <f>_xlfn.FLOOR.MATH(8+0.25*B599)</f>
        <v>35</v>
      </c>
      <c r="S599" s="102">
        <f>_xlfn.FLOOR.MATH(48+0.4*B599)</f>
        <v>92</v>
      </c>
      <c r="T599" s="105">
        <f>_xlfn.FLOOR.MATH(32+0.55*B599)</f>
        <v>92</v>
      </c>
      <c r="U599" s="102">
        <v>10</v>
      </c>
      <c r="V599" s="102">
        <v>38.5</v>
      </c>
      <c r="W599" s="106" t="s">
        <v>115</v>
      </c>
      <c r="Y599" s="102" t="s">
        <v>241</v>
      </c>
      <c r="Z599" s="102" t="s">
        <v>128</v>
      </c>
      <c r="AA599" s="104">
        <v>0</v>
      </c>
      <c r="AB599" s="105">
        <v>0</v>
      </c>
      <c r="AC599" s="104">
        <v>3</v>
      </c>
      <c r="AD599" s="107" t="s">
        <v>1717</v>
      </c>
      <c r="AE599" s="104">
        <v>10</v>
      </c>
      <c r="AF599" s="105">
        <v>20</v>
      </c>
      <c r="AG599" s="104">
        <v>0.48</v>
      </c>
      <c r="AH599" s="102">
        <v>0.99</v>
      </c>
      <c r="AI599" s="105">
        <v>0.5</v>
      </c>
      <c r="AJ599" s="104">
        <v>4</v>
      </c>
      <c r="AK599" s="102">
        <v>8</v>
      </c>
      <c r="AL599" s="102">
        <v>6</v>
      </c>
      <c r="AM599" s="105">
        <v>0</v>
      </c>
      <c r="AN599" s="104">
        <v>0</v>
      </c>
      <c r="AO599" s="102">
        <v>25</v>
      </c>
      <c r="AP599" s="102">
        <v>17</v>
      </c>
      <c r="AQ599" s="105">
        <v>0</v>
      </c>
      <c r="AR599" s="108" t="s">
        <v>1718</v>
      </c>
    </row>
    <row r="600" ht="66" spans="1:44">
      <c r="A600" s="100">
        <v>11027011</v>
      </c>
      <c r="B600" s="101">
        <v>110</v>
      </c>
      <c r="C600" s="102">
        <v>3</v>
      </c>
      <c r="D600" s="103" t="s">
        <v>1719</v>
      </c>
      <c r="F600" s="103" t="s">
        <v>1212</v>
      </c>
      <c r="G600" s="103">
        <v>2</v>
      </c>
      <c r="H600" s="103">
        <v>2</v>
      </c>
      <c r="I600" s="104" t="s">
        <v>73</v>
      </c>
      <c r="J600" s="102" t="s">
        <v>246</v>
      </c>
      <c r="K600" s="102">
        <v>39</v>
      </c>
      <c r="L600" s="103">
        <v>1</v>
      </c>
      <c r="M600" s="104">
        <v>38</v>
      </c>
      <c r="N600" s="102">
        <v>40</v>
      </c>
      <c r="O600" s="102">
        <v>80</v>
      </c>
      <c r="P600" s="102">
        <v>48</v>
      </c>
      <c r="Q600" s="104">
        <f>_xlfn.FLOOR.MATH(22+0.4*B600)</f>
        <v>66</v>
      </c>
      <c r="R600" s="102">
        <f>_xlfn.FLOOR.MATH(10+0.25*B600)</f>
        <v>37</v>
      </c>
      <c r="S600" s="102">
        <f>_xlfn.FLOOR.MATH(48+0.4*B600)</f>
        <v>92</v>
      </c>
      <c r="T600" s="105">
        <f>_xlfn.FLOOR.MATH(32+0.55*B600)</f>
        <v>92</v>
      </c>
      <c r="U600" s="102">
        <v>10</v>
      </c>
      <c r="V600" s="102">
        <v>38.5</v>
      </c>
      <c r="W600" s="106" t="s">
        <v>115</v>
      </c>
      <c r="Y600" s="102" t="s">
        <v>241</v>
      </c>
      <c r="Z600" s="102" t="s">
        <v>128</v>
      </c>
      <c r="AA600" s="104">
        <v>0</v>
      </c>
      <c r="AB600" s="105">
        <v>0</v>
      </c>
      <c r="AC600" s="104">
        <v>3</v>
      </c>
      <c r="AD600" s="107" t="s">
        <v>1717</v>
      </c>
      <c r="AE600" s="104">
        <v>10</v>
      </c>
      <c r="AF600" s="105">
        <v>20</v>
      </c>
      <c r="AG600" s="104">
        <v>0.48</v>
      </c>
      <c r="AH600" s="102">
        <v>0.99</v>
      </c>
      <c r="AI600" s="105">
        <v>0.5</v>
      </c>
      <c r="AJ600" s="104">
        <v>4</v>
      </c>
      <c r="AK600" s="102">
        <v>8</v>
      </c>
      <c r="AL600" s="102">
        <v>6</v>
      </c>
      <c r="AM600" s="105">
        <v>0</v>
      </c>
      <c r="AN600" s="104">
        <v>0</v>
      </c>
      <c r="AO600" s="102">
        <v>25</v>
      </c>
      <c r="AP600" s="102">
        <v>17</v>
      </c>
      <c r="AQ600" s="105">
        <v>0</v>
      </c>
      <c r="AR600" s="108" t="s">
        <v>1720</v>
      </c>
    </row>
    <row r="601" ht="39.6" spans="1:45">
      <c r="A601" s="100">
        <v>11027811</v>
      </c>
      <c r="B601" s="101">
        <v>110</v>
      </c>
      <c r="C601" s="102">
        <v>5</v>
      </c>
      <c r="D601" s="103" t="s">
        <v>1721</v>
      </c>
      <c r="F601" s="103" t="s">
        <v>1212</v>
      </c>
      <c r="G601" s="103">
        <v>2</v>
      </c>
      <c r="H601" s="103">
        <v>3</v>
      </c>
      <c r="I601" s="104" t="s">
        <v>86</v>
      </c>
      <c r="J601" s="102" t="s">
        <v>246</v>
      </c>
      <c r="K601" s="102">
        <v>32</v>
      </c>
      <c r="L601" s="103">
        <v>0</v>
      </c>
      <c r="M601" s="104">
        <v>43</v>
      </c>
      <c r="N601" s="102">
        <v>39</v>
      </c>
      <c r="O601" s="102">
        <v>87</v>
      </c>
      <c r="P601" s="102">
        <v>70</v>
      </c>
      <c r="Q601" s="104">
        <f>_xlfn.FLOOR.MATH(40+0.4*B601)</f>
        <v>84</v>
      </c>
      <c r="R601" s="102">
        <f>_xlfn.FLOOR.MATH(10+0.25*B601)</f>
        <v>37</v>
      </c>
      <c r="S601" s="102">
        <f>_xlfn.FLOOR.MATH(47+0.4*B601)</f>
        <v>91</v>
      </c>
      <c r="T601" s="105">
        <f>_xlfn.FLOOR.MATH(34+0.55*B601)</f>
        <v>94</v>
      </c>
      <c r="U601" s="102">
        <v>18</v>
      </c>
      <c r="V601" s="102">
        <v>37</v>
      </c>
      <c r="W601" s="106" t="s">
        <v>115</v>
      </c>
      <c r="Y601" s="102" t="s">
        <v>241</v>
      </c>
      <c r="Z601" s="102" t="s">
        <v>128</v>
      </c>
      <c r="AA601" s="104">
        <v>0</v>
      </c>
      <c r="AB601" s="105">
        <v>0</v>
      </c>
      <c r="AC601" s="104">
        <v>3</v>
      </c>
      <c r="AD601" s="107" t="s">
        <v>1722</v>
      </c>
      <c r="AE601" s="104">
        <v>15</v>
      </c>
      <c r="AF601" s="105">
        <v>25</v>
      </c>
      <c r="AG601" s="104">
        <v>0.48</v>
      </c>
      <c r="AH601" s="102">
        <v>0.9</v>
      </c>
      <c r="AI601" s="105">
        <v>0.4</v>
      </c>
      <c r="AJ601" s="104">
        <v>4</v>
      </c>
      <c r="AK601" s="102">
        <v>8</v>
      </c>
      <c r="AL601" s="102">
        <v>6</v>
      </c>
      <c r="AM601" s="105">
        <v>0</v>
      </c>
      <c r="AN601" s="104">
        <v>0</v>
      </c>
      <c r="AO601" s="102">
        <v>32</v>
      </c>
      <c r="AP601" s="102">
        <v>14</v>
      </c>
      <c r="AQ601" s="105">
        <v>9</v>
      </c>
      <c r="AR601" s="108" t="s">
        <v>1723</v>
      </c>
      <c r="AS601" s="109" t="s">
        <v>838</v>
      </c>
    </row>
    <row r="602" ht="66" spans="1:45">
      <c r="A602" s="100">
        <v>11027911</v>
      </c>
      <c r="B602" s="101">
        <v>110</v>
      </c>
      <c r="C602" s="102">
        <v>5</v>
      </c>
      <c r="D602" s="103" t="s">
        <v>1724</v>
      </c>
      <c r="F602" s="103" t="s">
        <v>1212</v>
      </c>
      <c r="G602" s="103">
        <v>3</v>
      </c>
      <c r="H602" s="103">
        <v>4</v>
      </c>
      <c r="I602" s="104" t="s">
        <v>86</v>
      </c>
      <c r="J602" s="102" t="s">
        <v>246</v>
      </c>
      <c r="K602" s="102">
        <v>28</v>
      </c>
      <c r="L602" s="103">
        <v>0</v>
      </c>
      <c r="M602" s="104">
        <v>42</v>
      </c>
      <c r="N602" s="102">
        <v>37</v>
      </c>
      <c r="O602" s="102">
        <v>83</v>
      </c>
      <c r="P602" s="102">
        <v>65</v>
      </c>
      <c r="Q602" s="104">
        <f>_xlfn.FLOOR.MATH(40+0.4*B602)</f>
        <v>84</v>
      </c>
      <c r="R602" s="102">
        <f>_xlfn.FLOOR.MATH(9+0.25*B602)</f>
        <v>36</v>
      </c>
      <c r="S602" s="102">
        <f>_xlfn.FLOOR.MATH(44+0.4*B602)</f>
        <v>88</v>
      </c>
      <c r="T602" s="105">
        <f>_xlfn.FLOOR.MATH(34+0.55*B602)</f>
        <v>94</v>
      </c>
      <c r="U602" s="102">
        <v>18</v>
      </c>
      <c r="V602" s="102">
        <v>28.7</v>
      </c>
      <c r="W602" s="106" t="s">
        <v>115</v>
      </c>
      <c r="Y602" s="102" t="s">
        <v>241</v>
      </c>
      <c r="Z602" s="102" t="s">
        <v>128</v>
      </c>
      <c r="AA602" s="104">
        <v>0</v>
      </c>
      <c r="AB602" s="105">
        <v>0</v>
      </c>
      <c r="AC602" s="104">
        <v>3</v>
      </c>
      <c r="AD602" s="107" t="s">
        <v>1725</v>
      </c>
      <c r="AE602" s="104">
        <v>15</v>
      </c>
      <c r="AF602" s="105">
        <v>25</v>
      </c>
      <c r="AG602" s="104">
        <v>0.45</v>
      </c>
      <c r="AH602" s="102">
        <v>0.8</v>
      </c>
      <c r="AI602" s="105">
        <v>0.35</v>
      </c>
      <c r="AJ602" s="104">
        <v>4</v>
      </c>
      <c r="AK602" s="102">
        <v>8</v>
      </c>
      <c r="AL602" s="102">
        <v>6</v>
      </c>
      <c r="AM602" s="105">
        <v>0</v>
      </c>
      <c r="AN602" s="104">
        <v>0</v>
      </c>
      <c r="AO602" s="102">
        <v>28</v>
      </c>
      <c r="AP602" s="102">
        <v>12</v>
      </c>
      <c r="AQ602" s="105">
        <v>5</v>
      </c>
      <c r="AR602" s="108" t="s">
        <v>1726</v>
      </c>
      <c r="AS602" s="109" t="s">
        <v>838</v>
      </c>
    </row>
    <row r="603" ht="52.8" spans="1:45">
      <c r="A603" s="100">
        <v>11028011</v>
      </c>
      <c r="B603" s="101">
        <v>110</v>
      </c>
      <c r="C603" s="102">
        <v>5</v>
      </c>
      <c r="D603" s="103" t="s">
        <v>1727</v>
      </c>
      <c r="F603" s="103" t="s">
        <v>1212</v>
      </c>
      <c r="G603" s="103">
        <v>3</v>
      </c>
      <c r="H603" s="103">
        <v>3</v>
      </c>
      <c r="I603" s="104" t="s">
        <v>86</v>
      </c>
      <c r="J603" s="102" t="s">
        <v>246</v>
      </c>
      <c r="K603" s="102">
        <v>32</v>
      </c>
      <c r="L603" s="103">
        <v>0</v>
      </c>
      <c r="M603" s="104">
        <v>45</v>
      </c>
      <c r="N603" s="102">
        <v>41</v>
      </c>
      <c r="O603" s="102">
        <v>90</v>
      </c>
      <c r="P603" s="102">
        <v>72</v>
      </c>
      <c r="Q603" s="104">
        <f>_xlfn.FLOOR.MATH(40+0.4*B603)</f>
        <v>84</v>
      </c>
      <c r="R603" s="102">
        <f>_xlfn.FLOOR.MATH(10+0.25*B603)</f>
        <v>37</v>
      </c>
      <c r="S603" s="102">
        <f>_xlfn.FLOOR.MATH(47+0.4*B603)</f>
        <v>91</v>
      </c>
      <c r="T603" s="105">
        <f>_xlfn.FLOOR.MATH(34+0.55*B603)</f>
        <v>94</v>
      </c>
      <c r="U603" s="102">
        <v>18</v>
      </c>
      <c r="V603" s="102">
        <v>37</v>
      </c>
      <c r="W603" s="106" t="s">
        <v>115</v>
      </c>
      <c r="Y603" s="102" t="s">
        <v>241</v>
      </c>
      <c r="Z603" s="102" t="s">
        <v>128</v>
      </c>
      <c r="AA603" s="104">
        <v>0</v>
      </c>
      <c r="AB603" s="105">
        <v>0</v>
      </c>
      <c r="AC603" s="104">
        <v>3</v>
      </c>
      <c r="AD603" s="107" t="s">
        <v>1728</v>
      </c>
      <c r="AE603" s="104">
        <v>15</v>
      </c>
      <c r="AF603" s="105">
        <v>25</v>
      </c>
      <c r="AG603" s="104">
        <v>0.48</v>
      </c>
      <c r="AH603" s="102">
        <v>0.9</v>
      </c>
      <c r="AI603" s="105">
        <v>0.4</v>
      </c>
      <c r="AJ603" s="104">
        <v>4</v>
      </c>
      <c r="AK603" s="102">
        <v>8</v>
      </c>
      <c r="AL603" s="102">
        <v>6</v>
      </c>
      <c r="AM603" s="105">
        <v>0</v>
      </c>
      <c r="AN603" s="104">
        <v>0</v>
      </c>
      <c r="AO603" s="102">
        <v>35</v>
      </c>
      <c r="AP603" s="102">
        <v>16</v>
      </c>
      <c r="AQ603" s="105">
        <v>12</v>
      </c>
      <c r="AR603" s="108" t="s">
        <v>1729</v>
      </c>
      <c r="AS603" s="109" t="s">
        <v>838</v>
      </c>
    </row>
    <row r="604" ht="66" spans="1:44">
      <c r="A604" s="100">
        <v>11028911</v>
      </c>
      <c r="B604" s="101">
        <v>110</v>
      </c>
      <c r="C604" s="102">
        <v>5</v>
      </c>
      <c r="D604" s="103" t="s">
        <v>1730</v>
      </c>
      <c r="F604" s="103" t="s">
        <v>1212</v>
      </c>
      <c r="G604" s="103">
        <v>7</v>
      </c>
      <c r="H604" s="103">
        <v>6</v>
      </c>
      <c r="I604" s="104" t="s">
        <v>73</v>
      </c>
      <c r="J604" s="102" t="s">
        <v>560</v>
      </c>
      <c r="K604" s="102">
        <v>15</v>
      </c>
      <c r="L604" s="103">
        <v>1</v>
      </c>
      <c r="M604" s="104">
        <v>25</v>
      </c>
      <c r="N604" s="102">
        <v>30</v>
      </c>
      <c r="O604" s="102">
        <v>78</v>
      </c>
      <c r="P604" s="102">
        <v>0</v>
      </c>
      <c r="Q604" s="104">
        <f>_xlfn.FLOOR.MATH(0+0*B604)</f>
        <v>0</v>
      </c>
      <c r="R604" s="102">
        <f>_xlfn.FLOOR.MATH(16+0.3*B604)</f>
        <v>49</v>
      </c>
      <c r="S604" s="102">
        <f>_xlfn.FLOOR.MATH(18+0.25*B604)</f>
        <v>45</v>
      </c>
      <c r="T604" s="105">
        <f>_xlfn.FLOOR.MATH(33+0.63*B604)</f>
        <v>102</v>
      </c>
      <c r="U604" s="102">
        <v>18</v>
      </c>
      <c r="V604" s="102">
        <v>18</v>
      </c>
      <c r="W604" s="106" t="s">
        <v>115</v>
      </c>
      <c r="Y604" s="102" t="s">
        <v>241</v>
      </c>
      <c r="Z604" s="102" t="s">
        <v>128</v>
      </c>
      <c r="AA604" s="104">
        <v>0</v>
      </c>
      <c r="AB604" s="105">
        <v>0</v>
      </c>
      <c r="AC604" s="104">
        <v>3</v>
      </c>
      <c r="AD604" s="107" t="s">
        <v>1731</v>
      </c>
      <c r="AE604" s="104">
        <v>15</v>
      </c>
      <c r="AF604" s="105">
        <v>20</v>
      </c>
      <c r="AG604" s="104">
        <v>0.6</v>
      </c>
      <c r="AH604" s="102">
        <v>0.5</v>
      </c>
      <c r="AI604" s="105">
        <v>0.275</v>
      </c>
      <c r="AJ604" s="104">
        <v>10</v>
      </c>
      <c r="AK604" s="102">
        <v>10</v>
      </c>
      <c r="AL604" s="102">
        <v>20</v>
      </c>
      <c r="AM604" s="105">
        <v>0</v>
      </c>
      <c r="AN604" s="104">
        <v>0</v>
      </c>
      <c r="AO604" s="102">
        <v>28</v>
      </c>
      <c r="AP604" s="102">
        <v>17</v>
      </c>
      <c r="AQ604" s="105">
        <v>0</v>
      </c>
      <c r="AR604" s="108" t="s">
        <v>1732</v>
      </c>
    </row>
    <row r="605" ht="52.8" spans="1:44">
      <c r="A605" s="100">
        <v>11030111</v>
      </c>
      <c r="B605" s="101">
        <v>110</v>
      </c>
      <c r="C605" s="102">
        <v>5</v>
      </c>
      <c r="D605" s="103" t="s">
        <v>1733</v>
      </c>
      <c r="F605" s="103" t="s">
        <v>1212</v>
      </c>
      <c r="G605" s="103">
        <v>2</v>
      </c>
      <c r="H605" s="103">
        <v>3</v>
      </c>
      <c r="I605" s="104" t="s">
        <v>86</v>
      </c>
      <c r="J605" s="102" t="s">
        <v>246</v>
      </c>
      <c r="K605" s="102">
        <v>32</v>
      </c>
      <c r="L605" s="103">
        <v>0</v>
      </c>
      <c r="M605" s="104">
        <v>40</v>
      </c>
      <c r="N605" s="102">
        <v>39</v>
      </c>
      <c r="O605" s="102">
        <v>87</v>
      </c>
      <c r="P605" s="102">
        <v>62</v>
      </c>
      <c r="Q605" s="104">
        <f>_xlfn.FLOOR.MATH(35+0.4*B605)</f>
        <v>79</v>
      </c>
      <c r="R605" s="102">
        <f>_xlfn.FLOOR.MATH(10+0.2*B605)</f>
        <v>32</v>
      </c>
      <c r="S605" s="102">
        <f>_xlfn.FLOOR.MATH(46+0.4*B605)</f>
        <v>90</v>
      </c>
      <c r="T605" s="105">
        <f>_xlfn.FLOOR.MATH(34+0.55*B605)</f>
        <v>94</v>
      </c>
      <c r="U605" s="102">
        <v>10</v>
      </c>
      <c r="V605" s="102">
        <v>37</v>
      </c>
      <c r="W605" s="106" t="s">
        <v>115</v>
      </c>
      <c r="Y605" s="102" t="s">
        <v>241</v>
      </c>
      <c r="Z605" s="102" t="s">
        <v>128</v>
      </c>
      <c r="AA605" s="104">
        <v>0</v>
      </c>
      <c r="AB605" s="105">
        <v>0</v>
      </c>
      <c r="AC605" s="104">
        <v>3</v>
      </c>
      <c r="AD605" s="107" t="s">
        <v>896</v>
      </c>
      <c r="AE605" s="104">
        <v>15</v>
      </c>
      <c r="AF605" s="105">
        <v>25</v>
      </c>
      <c r="AG605" s="104">
        <v>0.48</v>
      </c>
      <c r="AH605" s="102">
        <v>0.9</v>
      </c>
      <c r="AI605" s="105">
        <v>0.4</v>
      </c>
      <c r="AJ605" s="104">
        <v>4</v>
      </c>
      <c r="AK605" s="102">
        <v>8</v>
      </c>
      <c r="AL605" s="102">
        <v>6</v>
      </c>
      <c r="AM605" s="105">
        <v>0</v>
      </c>
      <c r="AN605" s="104">
        <v>0</v>
      </c>
      <c r="AO605" s="102">
        <v>32</v>
      </c>
      <c r="AP605" s="102">
        <v>14</v>
      </c>
      <c r="AQ605" s="105">
        <v>5</v>
      </c>
      <c r="AR605" s="108" t="s">
        <v>1734</v>
      </c>
    </row>
    <row r="606" ht="52.8" spans="1:44">
      <c r="A606" s="100">
        <v>11030611</v>
      </c>
      <c r="B606" s="101">
        <v>110</v>
      </c>
      <c r="C606" s="102">
        <v>5</v>
      </c>
      <c r="D606" s="103" t="s">
        <v>1735</v>
      </c>
      <c r="F606" s="103" t="s">
        <v>1212</v>
      </c>
      <c r="G606" s="103">
        <v>2</v>
      </c>
      <c r="H606" s="103">
        <v>2</v>
      </c>
      <c r="I606" s="104" t="s">
        <v>50</v>
      </c>
      <c r="J606" s="102" t="s">
        <v>246</v>
      </c>
      <c r="K606" s="102">
        <v>32</v>
      </c>
      <c r="L606" s="103">
        <v>0</v>
      </c>
      <c r="M606" s="104">
        <v>43</v>
      </c>
      <c r="N606" s="102">
        <v>41</v>
      </c>
      <c r="O606" s="102">
        <v>91</v>
      </c>
      <c r="P606" s="102">
        <v>76</v>
      </c>
      <c r="Q606" s="104">
        <f>_xlfn.FLOOR.MATH(50+0.2*B606)</f>
        <v>72</v>
      </c>
      <c r="R606" s="102">
        <f>_xlfn.FLOOR.MATH(11+0.25*B606)</f>
        <v>38</v>
      </c>
      <c r="S606" s="102">
        <f>_xlfn.FLOOR.MATH(46+0.4*B606)</f>
        <v>90</v>
      </c>
      <c r="T606" s="105">
        <f>_xlfn.FLOOR.MATH(34+0.55*B606)</f>
        <v>94</v>
      </c>
      <c r="U606" s="102">
        <v>16</v>
      </c>
      <c r="V606" s="102">
        <v>35.8</v>
      </c>
      <c r="W606" s="106" t="s">
        <v>115</v>
      </c>
      <c r="Y606" s="102" t="s">
        <v>241</v>
      </c>
      <c r="Z606" s="102" t="s">
        <v>128</v>
      </c>
      <c r="AA606" s="104">
        <v>0</v>
      </c>
      <c r="AB606" s="105">
        <v>0</v>
      </c>
      <c r="AC606" s="104">
        <v>3</v>
      </c>
      <c r="AD606" s="107" t="s">
        <v>1736</v>
      </c>
      <c r="AE606" s="104">
        <v>15</v>
      </c>
      <c r="AF606" s="105">
        <v>25</v>
      </c>
      <c r="AG606" s="104">
        <v>0.5</v>
      </c>
      <c r="AH606" s="102">
        <v>0.95</v>
      </c>
      <c r="AI606" s="105">
        <v>0.5</v>
      </c>
      <c r="AJ606" s="104">
        <v>4</v>
      </c>
      <c r="AK606" s="102">
        <v>8</v>
      </c>
      <c r="AL606" s="102">
        <v>6</v>
      </c>
      <c r="AM606" s="105">
        <v>0</v>
      </c>
      <c r="AN606" s="104">
        <v>3</v>
      </c>
      <c r="AO606" s="102">
        <v>36</v>
      </c>
      <c r="AP606" s="102">
        <v>16</v>
      </c>
      <c r="AQ606" s="105">
        <v>10</v>
      </c>
      <c r="AR606" s="108" t="s">
        <v>1737</v>
      </c>
    </row>
    <row r="607" ht="92.4" spans="1:44">
      <c r="A607" s="100">
        <v>11031611</v>
      </c>
      <c r="B607" s="101">
        <v>110</v>
      </c>
      <c r="C607" s="102">
        <v>5</v>
      </c>
      <c r="D607" s="103" t="s">
        <v>1738</v>
      </c>
      <c r="F607" s="103" t="s">
        <v>1212</v>
      </c>
      <c r="G607" s="103">
        <v>2</v>
      </c>
      <c r="H607" s="103">
        <v>2</v>
      </c>
      <c r="I607" s="104" t="s">
        <v>326</v>
      </c>
      <c r="J607" s="102" t="s">
        <v>246</v>
      </c>
      <c r="K607" s="102">
        <v>32</v>
      </c>
      <c r="L607" s="103">
        <v>0</v>
      </c>
      <c r="M607" s="104">
        <v>40</v>
      </c>
      <c r="N607" s="102">
        <v>35</v>
      </c>
      <c r="O607" s="102">
        <v>82</v>
      </c>
      <c r="P607" s="102">
        <v>62</v>
      </c>
      <c r="Q607" s="104">
        <f>_xlfn.FLOOR.MATH(35+0.35*B607)</f>
        <v>73</v>
      </c>
      <c r="R607" s="102">
        <f>_xlfn.FLOOR.MATH(8+0.17*B607)</f>
        <v>26</v>
      </c>
      <c r="S607" s="102">
        <f>_xlfn.FLOOR.MATH(50+0.4*B607)</f>
        <v>94</v>
      </c>
      <c r="T607" s="105">
        <f>_xlfn.FLOOR.MATH(34+0.55*B607)</f>
        <v>94</v>
      </c>
      <c r="U607" s="102">
        <v>25</v>
      </c>
      <c r="V607" s="102">
        <v>41.7</v>
      </c>
      <c r="W607" s="106" t="s">
        <v>115</v>
      </c>
      <c r="Y607" s="102" t="s">
        <v>241</v>
      </c>
      <c r="Z607" s="102" t="s">
        <v>128</v>
      </c>
      <c r="AA607" s="104">
        <v>0</v>
      </c>
      <c r="AB607" s="105">
        <v>0</v>
      </c>
      <c r="AC607" s="104">
        <v>3</v>
      </c>
      <c r="AD607" s="107" t="s">
        <v>1739</v>
      </c>
      <c r="AE607" s="104">
        <v>15</v>
      </c>
      <c r="AF607" s="105">
        <v>15</v>
      </c>
      <c r="AG607" s="104">
        <v>0.5</v>
      </c>
      <c r="AH607" s="102">
        <v>0.9</v>
      </c>
      <c r="AI607" s="105">
        <v>0.5</v>
      </c>
      <c r="AJ607" s="104">
        <v>4</v>
      </c>
      <c r="AK607" s="102">
        <v>8</v>
      </c>
      <c r="AL607" s="102">
        <v>6</v>
      </c>
      <c r="AM607" s="105">
        <v>0</v>
      </c>
      <c r="AN607" s="104">
        <v>0</v>
      </c>
      <c r="AO607" s="102">
        <v>27</v>
      </c>
      <c r="AP607" s="102">
        <v>10</v>
      </c>
      <c r="AQ607" s="105">
        <v>0</v>
      </c>
      <c r="AR607" s="108" t="s">
        <v>1740</v>
      </c>
    </row>
    <row r="608" ht="52.8" spans="1:44">
      <c r="A608" s="100">
        <v>11032311</v>
      </c>
      <c r="B608" s="101">
        <v>110</v>
      </c>
      <c r="C608" s="102">
        <v>6</v>
      </c>
      <c r="D608" s="103" t="s">
        <v>1741</v>
      </c>
      <c r="F608" s="103" t="s">
        <v>1212</v>
      </c>
      <c r="G608" s="103">
        <v>2</v>
      </c>
      <c r="H608" s="103">
        <v>2</v>
      </c>
      <c r="I608" s="104" t="s">
        <v>326</v>
      </c>
      <c r="J608" s="102" t="s">
        <v>246</v>
      </c>
      <c r="K608" s="102">
        <v>39</v>
      </c>
      <c r="L608" s="103">
        <v>1</v>
      </c>
      <c r="M608" s="104">
        <v>45</v>
      </c>
      <c r="N608" s="102">
        <v>37</v>
      </c>
      <c r="O608" s="102">
        <v>87</v>
      </c>
      <c r="P608" s="102">
        <v>69</v>
      </c>
      <c r="Q608" s="104">
        <f>_xlfn.FLOOR.MATH(24+0.4*B608)</f>
        <v>68</v>
      </c>
      <c r="R608" s="102">
        <f>_xlfn.FLOOR.MATH(8+0.17*B608)</f>
        <v>26</v>
      </c>
      <c r="S608" s="102">
        <f>_xlfn.FLOOR.MATH(58+0.4*B608)</f>
        <v>102</v>
      </c>
      <c r="T608" s="105">
        <f>_xlfn.FLOOR.MATH(35+0.55*B608)</f>
        <v>95</v>
      </c>
      <c r="U608" s="102">
        <v>8</v>
      </c>
      <c r="V608" s="102">
        <v>42.5</v>
      </c>
      <c r="W608" s="106" t="s">
        <v>115</v>
      </c>
      <c r="Y608" s="102" t="s">
        <v>241</v>
      </c>
      <c r="Z608" s="102" t="s">
        <v>128</v>
      </c>
      <c r="AA608" s="104">
        <v>0</v>
      </c>
      <c r="AB608" s="105">
        <v>0</v>
      </c>
      <c r="AC608" s="104">
        <v>3</v>
      </c>
      <c r="AD608" s="107" t="s">
        <v>1742</v>
      </c>
      <c r="AE608" s="104">
        <v>20</v>
      </c>
      <c r="AF608" s="105">
        <v>25</v>
      </c>
      <c r="AG608" s="104">
        <v>0.5</v>
      </c>
      <c r="AH608" s="102">
        <v>0.9</v>
      </c>
      <c r="AI608" s="105">
        <v>0.425</v>
      </c>
      <c r="AJ608" s="104">
        <v>4</v>
      </c>
      <c r="AK608" s="102">
        <v>8</v>
      </c>
      <c r="AL608" s="102">
        <v>6</v>
      </c>
      <c r="AM608" s="105">
        <v>0</v>
      </c>
      <c r="AN608" s="104">
        <v>0</v>
      </c>
      <c r="AO608" s="102">
        <v>32</v>
      </c>
      <c r="AP608" s="102">
        <v>12</v>
      </c>
      <c r="AQ608" s="105">
        <v>3</v>
      </c>
      <c r="AR608" s="108" t="s">
        <v>1743</v>
      </c>
    </row>
    <row r="609" ht="92.4" spans="1:44">
      <c r="A609" s="100">
        <v>11033511</v>
      </c>
      <c r="B609" s="101">
        <v>110</v>
      </c>
      <c r="C609" s="102">
        <v>5</v>
      </c>
      <c r="D609" s="103" t="s">
        <v>1744</v>
      </c>
      <c r="F609" s="103" t="s">
        <v>1212</v>
      </c>
      <c r="G609" s="103">
        <v>3</v>
      </c>
      <c r="H609" s="103">
        <v>4</v>
      </c>
      <c r="I609" s="104" t="s">
        <v>330</v>
      </c>
      <c r="J609" s="102" t="s">
        <v>246</v>
      </c>
      <c r="K609" s="102">
        <v>39</v>
      </c>
      <c r="L609" s="103">
        <v>1</v>
      </c>
      <c r="M609" s="104">
        <v>50</v>
      </c>
      <c r="N609" s="102">
        <v>40</v>
      </c>
      <c r="O609" s="102">
        <v>93</v>
      </c>
      <c r="P609" s="102">
        <v>55</v>
      </c>
      <c r="Q609" s="104">
        <f>_xlfn.FLOOR.MATH(30+0.4*B609)</f>
        <v>74</v>
      </c>
      <c r="R609" s="102">
        <f>_xlfn.FLOOR.MATH(9+0.3*B609)</f>
        <v>42</v>
      </c>
      <c r="S609" s="102">
        <f>_xlfn.FLOOR.MATH(58+0.4*B609)</f>
        <v>102</v>
      </c>
      <c r="T609" s="105">
        <f>_xlfn.FLOOR.MATH(34+0.55*B609)</f>
        <v>94</v>
      </c>
      <c r="U609" s="102">
        <v>10</v>
      </c>
      <c r="V609" s="102">
        <v>41.6</v>
      </c>
      <c r="W609" s="106" t="s">
        <v>115</v>
      </c>
      <c r="Y609" s="102" t="s">
        <v>241</v>
      </c>
      <c r="Z609" s="102" t="s">
        <v>128</v>
      </c>
      <c r="AA609" s="104">
        <v>0</v>
      </c>
      <c r="AB609" s="105">
        <v>0</v>
      </c>
      <c r="AC609" s="104">
        <v>3</v>
      </c>
      <c r="AD609" s="107" t="s">
        <v>1745</v>
      </c>
      <c r="AE609" s="104">
        <v>20</v>
      </c>
      <c r="AF609" s="105">
        <v>25</v>
      </c>
      <c r="AG609" s="104">
        <v>0.6</v>
      </c>
      <c r="AH609" s="102">
        <v>1</v>
      </c>
      <c r="AI609" s="105">
        <v>0.55</v>
      </c>
      <c r="AJ609" s="104">
        <v>4</v>
      </c>
      <c r="AK609" s="102">
        <v>8</v>
      </c>
      <c r="AL609" s="102">
        <v>6</v>
      </c>
      <c r="AM609" s="105">
        <v>0</v>
      </c>
      <c r="AN609" s="104">
        <v>0</v>
      </c>
      <c r="AO609" s="102">
        <v>38</v>
      </c>
      <c r="AP609" s="102">
        <v>15</v>
      </c>
      <c r="AQ609" s="105">
        <v>0</v>
      </c>
      <c r="AR609" s="108" t="s">
        <v>1746</v>
      </c>
    </row>
    <row r="610" ht="52.8" spans="1:45">
      <c r="A610" s="100">
        <v>11033913</v>
      </c>
      <c r="B610" s="101">
        <v>110</v>
      </c>
      <c r="C610" s="102">
        <v>6</v>
      </c>
      <c r="D610" s="103" t="s">
        <v>1747</v>
      </c>
      <c r="F610" s="103" t="s">
        <v>1212</v>
      </c>
      <c r="G610" s="103">
        <v>4</v>
      </c>
      <c r="H610" s="103">
        <v>5</v>
      </c>
      <c r="I610" s="104" t="s">
        <v>91</v>
      </c>
      <c r="J610" s="102" t="s">
        <v>114</v>
      </c>
      <c r="K610" s="102">
        <v>80</v>
      </c>
      <c r="L610" s="103">
        <v>0</v>
      </c>
      <c r="M610" s="104">
        <v>40</v>
      </c>
      <c r="N610" s="102">
        <v>84</v>
      </c>
      <c r="O610" s="102">
        <v>0</v>
      </c>
      <c r="P610" s="102">
        <v>73</v>
      </c>
      <c r="Q610" s="104">
        <f>_xlfn.FLOOR.MATH(0+0*B610)</f>
        <v>0</v>
      </c>
      <c r="R610" s="102">
        <f>_xlfn.FLOOR.MATH(45+0.25*B610)</f>
        <v>72</v>
      </c>
      <c r="S610" s="102">
        <f>_xlfn.FLOOR.MATH(34+0.22*B610)</f>
        <v>58</v>
      </c>
      <c r="T610" s="105">
        <f>_xlfn.FLOOR.MATH(41+0.56*B610)</f>
        <v>102</v>
      </c>
      <c r="U610" s="102">
        <v>9</v>
      </c>
      <c r="V610" s="102">
        <v>30</v>
      </c>
      <c r="W610" s="106" t="s">
        <v>115</v>
      </c>
      <c r="Y610" s="102" t="s">
        <v>54</v>
      </c>
      <c r="Z610" s="102" t="s">
        <v>55</v>
      </c>
      <c r="AA610" s="104" t="s">
        <v>1748</v>
      </c>
      <c r="AB610" s="105">
        <v>82</v>
      </c>
      <c r="AC610" s="104">
        <v>4</v>
      </c>
      <c r="AD610" s="107" t="s">
        <v>1749</v>
      </c>
      <c r="AE610" s="104">
        <v>70</v>
      </c>
      <c r="AF610" s="105">
        <v>75</v>
      </c>
      <c r="AG610" s="104">
        <v>2.6</v>
      </c>
      <c r="AH610" s="102">
        <v>4.9</v>
      </c>
      <c r="AI610" s="105">
        <v>1.05</v>
      </c>
      <c r="AJ610" s="104">
        <v>30</v>
      </c>
      <c r="AK610" s="102">
        <v>40</v>
      </c>
      <c r="AL610" s="102">
        <v>60</v>
      </c>
      <c r="AM610" s="105">
        <v>40</v>
      </c>
      <c r="AN610" s="104">
        <v>0</v>
      </c>
      <c r="AO610" s="102">
        <v>0</v>
      </c>
      <c r="AP610" s="102">
        <v>32</v>
      </c>
      <c r="AQ610" s="105">
        <v>50</v>
      </c>
      <c r="AR610" s="108" t="s">
        <v>881</v>
      </c>
      <c r="AS610" s="109" t="s">
        <v>1750</v>
      </c>
    </row>
    <row r="611" ht="79.2" spans="1:44">
      <c r="A611" s="100">
        <v>11034211</v>
      </c>
      <c r="B611" s="101">
        <v>110</v>
      </c>
      <c r="C611" s="102">
        <v>5</v>
      </c>
      <c r="D611" s="103" t="s">
        <v>1751</v>
      </c>
      <c r="F611" s="103" t="s">
        <v>1212</v>
      </c>
      <c r="G611" s="103">
        <v>2</v>
      </c>
      <c r="H611" s="103">
        <v>3</v>
      </c>
      <c r="I611" s="104" t="s">
        <v>86</v>
      </c>
      <c r="J611" s="102" t="s">
        <v>246</v>
      </c>
      <c r="K611" s="102">
        <v>35</v>
      </c>
      <c r="L611" s="103">
        <v>1</v>
      </c>
      <c r="M611" s="104">
        <v>45</v>
      </c>
      <c r="N611" s="102">
        <v>40</v>
      </c>
      <c r="O611" s="102">
        <v>78</v>
      </c>
      <c r="P611" s="102">
        <v>86</v>
      </c>
      <c r="Q611" s="104">
        <f>_xlfn.FLOOR.MATH(65+0.55*B611)</f>
        <v>125</v>
      </c>
      <c r="R611" s="102">
        <f>_xlfn.FLOOR.MATH(10+0.3*B611)</f>
        <v>43</v>
      </c>
      <c r="S611" s="102">
        <f>_xlfn.FLOOR.MATH(42+0.4*B611)</f>
        <v>86</v>
      </c>
      <c r="T611" s="105">
        <f>_xlfn.FLOOR.MATH(34+0.55*B611)</f>
        <v>94</v>
      </c>
      <c r="U611" s="102">
        <v>22</v>
      </c>
      <c r="V611" s="102">
        <v>35</v>
      </c>
      <c r="W611" s="106" t="s">
        <v>115</v>
      </c>
      <c r="Y611" s="102" t="s">
        <v>241</v>
      </c>
      <c r="Z611" s="102" t="s">
        <v>128</v>
      </c>
      <c r="AA611" s="104">
        <v>0</v>
      </c>
      <c r="AB611" s="105">
        <v>0</v>
      </c>
      <c r="AC611" s="104">
        <v>3</v>
      </c>
      <c r="AD611" s="107" t="s">
        <v>223</v>
      </c>
      <c r="AE611" s="104">
        <v>15</v>
      </c>
      <c r="AF611" s="105">
        <v>25</v>
      </c>
      <c r="AG611" s="104">
        <v>0.48</v>
      </c>
      <c r="AH611" s="102">
        <v>0.9</v>
      </c>
      <c r="AI611" s="105">
        <v>0.4</v>
      </c>
      <c r="AJ611" s="104">
        <v>4</v>
      </c>
      <c r="AK611" s="102">
        <v>8</v>
      </c>
      <c r="AL611" s="102">
        <v>6</v>
      </c>
      <c r="AM611" s="105">
        <v>0</v>
      </c>
      <c r="AN611" s="104">
        <v>0</v>
      </c>
      <c r="AO611" s="102">
        <v>23</v>
      </c>
      <c r="AP611" s="102">
        <v>15</v>
      </c>
      <c r="AQ611" s="105">
        <v>26</v>
      </c>
      <c r="AR611" s="108" t="s">
        <v>1752</v>
      </c>
    </row>
    <row r="612" ht="52.8" spans="1:44">
      <c r="A612" s="100">
        <v>11034411</v>
      </c>
      <c r="B612" s="101">
        <v>110</v>
      </c>
      <c r="C612" s="102">
        <v>5</v>
      </c>
      <c r="D612" s="103" t="s">
        <v>1753</v>
      </c>
      <c r="F612" s="103" t="s">
        <v>1212</v>
      </c>
      <c r="G612" s="103">
        <v>2</v>
      </c>
      <c r="H612" s="103">
        <v>3</v>
      </c>
      <c r="I612" s="104" t="s">
        <v>86</v>
      </c>
      <c r="J612" s="102" t="s">
        <v>246</v>
      </c>
      <c r="K612" s="102">
        <v>32</v>
      </c>
      <c r="L612" s="103">
        <v>0</v>
      </c>
      <c r="M612" s="104">
        <v>43</v>
      </c>
      <c r="N612" s="102">
        <v>39</v>
      </c>
      <c r="O612" s="102">
        <v>79</v>
      </c>
      <c r="P612" s="102">
        <v>83</v>
      </c>
      <c r="Q612" s="104">
        <f>_xlfn.FLOOR.MATH(55+0.55*B612)</f>
        <v>115</v>
      </c>
      <c r="R612" s="102">
        <f>_xlfn.FLOOR.MATH(10+0.3*B612)</f>
        <v>43</v>
      </c>
      <c r="S612" s="102">
        <f>_xlfn.FLOOR.MATH(47+0.4*B612)</f>
        <v>91</v>
      </c>
      <c r="T612" s="105">
        <f>_xlfn.FLOOR.MATH(34+0.55*B612)</f>
        <v>94</v>
      </c>
      <c r="U612" s="102">
        <v>21</v>
      </c>
      <c r="V612" s="102">
        <v>37</v>
      </c>
      <c r="W612" s="106" t="s">
        <v>115</v>
      </c>
      <c r="Y612" s="102" t="s">
        <v>241</v>
      </c>
      <c r="Z612" s="102" t="s">
        <v>128</v>
      </c>
      <c r="AA612" s="104">
        <v>0</v>
      </c>
      <c r="AB612" s="105">
        <v>0</v>
      </c>
      <c r="AC612" s="104">
        <v>3</v>
      </c>
      <c r="AD612" s="107" t="s">
        <v>1754</v>
      </c>
      <c r="AE612" s="104">
        <v>15</v>
      </c>
      <c r="AF612" s="105">
        <v>25</v>
      </c>
      <c r="AG612" s="104">
        <v>0.48</v>
      </c>
      <c r="AH612" s="102">
        <v>0.9</v>
      </c>
      <c r="AI612" s="105">
        <v>0.4</v>
      </c>
      <c r="AJ612" s="104">
        <v>4</v>
      </c>
      <c r="AK612" s="102">
        <v>8</v>
      </c>
      <c r="AL612" s="102">
        <v>6</v>
      </c>
      <c r="AM612" s="105">
        <v>0</v>
      </c>
      <c r="AN612" s="104">
        <v>0</v>
      </c>
      <c r="AO612" s="102">
        <v>24</v>
      </c>
      <c r="AP612" s="102">
        <v>14</v>
      </c>
      <c r="AQ612" s="105">
        <v>23</v>
      </c>
      <c r="AR612" s="108" t="s">
        <v>1755</v>
      </c>
    </row>
    <row r="613" ht="52.8" spans="1:44">
      <c r="A613" s="100">
        <v>11035111</v>
      </c>
      <c r="B613" s="101">
        <v>110</v>
      </c>
      <c r="C613" s="102">
        <v>5</v>
      </c>
      <c r="D613" s="103" t="s">
        <v>1756</v>
      </c>
      <c r="F613" s="103" t="s">
        <v>1212</v>
      </c>
      <c r="G613" s="103">
        <v>7</v>
      </c>
      <c r="H613" s="103">
        <v>6</v>
      </c>
      <c r="I613" s="104" t="s">
        <v>73</v>
      </c>
      <c r="J613" s="102" t="s">
        <v>560</v>
      </c>
      <c r="K613" s="102">
        <v>12</v>
      </c>
      <c r="L613" s="103">
        <v>0</v>
      </c>
      <c r="M613" s="104">
        <v>22</v>
      </c>
      <c r="N613" s="102">
        <v>25</v>
      </c>
      <c r="O613" s="102">
        <v>67</v>
      </c>
      <c r="P613" s="102">
        <v>0</v>
      </c>
      <c r="Q613" s="104">
        <f>_xlfn.FLOOR.MATH(0+0*B613)</f>
        <v>0</v>
      </c>
      <c r="R613" s="102">
        <f>_xlfn.FLOOR.MATH(12+0.15*B613)</f>
        <v>28</v>
      </c>
      <c r="S613" s="102">
        <f>_xlfn.FLOOR.MATH(30+0.35*B613)</f>
        <v>68</v>
      </c>
      <c r="T613" s="105">
        <f>_xlfn.FLOOR.MATH(33+0.63*B613)</f>
        <v>102</v>
      </c>
      <c r="U613" s="102">
        <v>10</v>
      </c>
      <c r="V613" s="102">
        <v>25</v>
      </c>
      <c r="W613" s="106" t="s">
        <v>115</v>
      </c>
      <c r="Y613" s="102" t="s">
        <v>241</v>
      </c>
      <c r="Z613" s="102" t="s">
        <v>128</v>
      </c>
      <c r="AA613" s="104">
        <v>0</v>
      </c>
      <c r="AB613" s="105">
        <v>0</v>
      </c>
      <c r="AC613" s="104">
        <v>3</v>
      </c>
      <c r="AD613" s="107" t="s">
        <v>1731</v>
      </c>
      <c r="AE613" s="104">
        <v>10</v>
      </c>
      <c r="AF613" s="105">
        <v>15</v>
      </c>
      <c r="AG613" s="104">
        <v>0.5</v>
      </c>
      <c r="AH613" s="102">
        <v>0.5</v>
      </c>
      <c r="AI613" s="105">
        <v>0.2</v>
      </c>
      <c r="AJ613" s="104">
        <v>10</v>
      </c>
      <c r="AK613" s="102">
        <v>10</v>
      </c>
      <c r="AL613" s="102">
        <v>20</v>
      </c>
      <c r="AM613" s="105">
        <v>0</v>
      </c>
      <c r="AN613" s="104">
        <v>0</v>
      </c>
      <c r="AO613" s="102">
        <v>17</v>
      </c>
      <c r="AP613" s="102">
        <v>12</v>
      </c>
      <c r="AQ613" s="105">
        <v>0</v>
      </c>
      <c r="AR613" s="108" t="s">
        <v>1757</v>
      </c>
    </row>
    <row r="614" ht="79.2" spans="1:45">
      <c r="A614" s="100">
        <v>11036213</v>
      </c>
      <c r="B614" s="101">
        <v>110</v>
      </c>
      <c r="C614" s="102">
        <v>5</v>
      </c>
      <c r="D614" s="103" t="s">
        <v>1758</v>
      </c>
      <c r="F614" s="103" t="s">
        <v>1212</v>
      </c>
      <c r="G614" s="103">
        <v>6</v>
      </c>
      <c r="H614" s="103">
        <v>6</v>
      </c>
      <c r="I614" s="104" t="s">
        <v>86</v>
      </c>
      <c r="J614" s="102" t="s">
        <v>51</v>
      </c>
      <c r="K614" s="102">
        <v>84</v>
      </c>
      <c r="L614" s="103">
        <v>0</v>
      </c>
      <c r="M614" s="104">
        <v>115</v>
      </c>
      <c r="N614" s="102">
        <v>90</v>
      </c>
      <c r="O614" s="102">
        <v>0</v>
      </c>
      <c r="P614" s="102">
        <v>95</v>
      </c>
      <c r="Q614" s="104">
        <f>_xlfn.FLOOR.MATH(0+0*B614)</f>
        <v>0</v>
      </c>
      <c r="R614" s="102">
        <f>_xlfn.FLOOR.MATH(17+0.26*B614)</f>
        <v>45</v>
      </c>
      <c r="S614" s="102">
        <f>_xlfn.FLOOR.MATH(34+0.32*B614)</f>
        <v>69</v>
      </c>
      <c r="T614" s="105">
        <f>_xlfn.FLOOR.MATH(44+0.52*B614)</f>
        <v>101</v>
      </c>
      <c r="U614" s="102">
        <v>8</v>
      </c>
      <c r="V614" s="102">
        <v>33</v>
      </c>
      <c r="W614" s="106" t="s">
        <v>52</v>
      </c>
      <c r="Y614" s="102" t="s">
        <v>54</v>
      </c>
      <c r="Z614" s="102" t="s">
        <v>55</v>
      </c>
      <c r="AA614" s="104" t="s">
        <v>56</v>
      </c>
      <c r="AB614" s="105">
        <v>12</v>
      </c>
      <c r="AC614" s="104">
        <v>4</v>
      </c>
      <c r="AD614" s="107" t="s">
        <v>1759</v>
      </c>
      <c r="AE614" s="104">
        <v>90</v>
      </c>
      <c r="AF614" s="105">
        <v>130</v>
      </c>
      <c r="AG614" s="104">
        <v>3.5</v>
      </c>
      <c r="AH614" s="102">
        <v>5.6</v>
      </c>
      <c r="AI614" s="105">
        <v>0.9</v>
      </c>
      <c r="AJ614" s="104">
        <v>40</v>
      </c>
      <c r="AK614" s="102">
        <v>50</v>
      </c>
      <c r="AL614" s="102">
        <v>40</v>
      </c>
      <c r="AM614" s="105">
        <v>0</v>
      </c>
      <c r="AN614" s="104">
        <v>90</v>
      </c>
      <c r="AO614" s="102">
        <v>0</v>
      </c>
      <c r="AP614" s="102">
        <v>65</v>
      </c>
      <c r="AQ614" s="105">
        <v>68</v>
      </c>
      <c r="AR614" s="108" t="s">
        <v>936</v>
      </c>
      <c r="AS614" s="109" t="s">
        <v>1760</v>
      </c>
    </row>
    <row r="615" ht="92.4" spans="1:44">
      <c r="A615" s="100">
        <v>11037211</v>
      </c>
      <c r="B615" s="101">
        <v>110</v>
      </c>
      <c r="C615" s="102">
        <v>5</v>
      </c>
      <c r="D615" s="103" t="s">
        <v>1761</v>
      </c>
      <c r="E615" s="103" t="s">
        <v>1762</v>
      </c>
      <c r="F615" s="103" t="s">
        <v>1212</v>
      </c>
      <c r="G615" s="103">
        <v>5</v>
      </c>
      <c r="H615" s="103">
        <v>5</v>
      </c>
      <c r="I615" s="104" t="s">
        <v>60</v>
      </c>
      <c r="J615" s="102" t="s">
        <v>246</v>
      </c>
      <c r="K615" s="102">
        <v>36</v>
      </c>
      <c r="L615" s="103">
        <v>0</v>
      </c>
      <c r="M615" s="104">
        <v>40</v>
      </c>
      <c r="N615" s="102">
        <v>38</v>
      </c>
      <c r="O615" s="102">
        <v>93</v>
      </c>
      <c r="P615" s="102">
        <v>75</v>
      </c>
      <c r="Q615" s="104">
        <f>_xlfn.FLOOR.MATH(40+0.4*B615)</f>
        <v>84</v>
      </c>
      <c r="R615" s="102">
        <f>_xlfn.FLOOR.MATH(10+0.1*B615)</f>
        <v>21</v>
      </c>
      <c r="S615" s="102">
        <f>_xlfn.FLOOR.MATH(40+0.46*B615)</f>
        <v>90</v>
      </c>
      <c r="T615" s="105">
        <f>_xlfn.FLOOR.MATH(34+0.55*B615)</f>
        <v>94</v>
      </c>
      <c r="U615" s="102">
        <v>7</v>
      </c>
      <c r="V615" s="102">
        <v>36.7</v>
      </c>
      <c r="W615" s="106" t="s">
        <v>115</v>
      </c>
      <c r="Y615" s="102" t="s">
        <v>241</v>
      </c>
      <c r="Z615" s="102" t="s">
        <v>128</v>
      </c>
      <c r="AA615" s="104">
        <v>0</v>
      </c>
      <c r="AB615" s="105">
        <v>0</v>
      </c>
      <c r="AC615" s="104">
        <v>3</v>
      </c>
      <c r="AD615" s="107" t="s">
        <v>1763</v>
      </c>
      <c r="AE615" s="104">
        <v>15</v>
      </c>
      <c r="AF615" s="105">
        <v>25</v>
      </c>
      <c r="AG615" s="104">
        <v>0.5</v>
      </c>
      <c r="AH615" s="102">
        <v>0.9</v>
      </c>
      <c r="AI615" s="105">
        <v>0.5</v>
      </c>
      <c r="AJ615" s="104">
        <v>4</v>
      </c>
      <c r="AK615" s="102">
        <v>8</v>
      </c>
      <c r="AL615" s="102">
        <v>6</v>
      </c>
      <c r="AM615" s="105">
        <v>0</v>
      </c>
      <c r="AN615" s="104">
        <v>0</v>
      </c>
      <c r="AO615" s="102">
        <v>41</v>
      </c>
      <c r="AP615" s="102">
        <v>13</v>
      </c>
      <c r="AQ615" s="105">
        <v>9</v>
      </c>
      <c r="AR615" s="108" t="s">
        <v>1764</v>
      </c>
    </row>
    <row r="616" ht="105.6" spans="1:45">
      <c r="A616" s="100">
        <v>11038013</v>
      </c>
      <c r="B616" s="101">
        <v>110</v>
      </c>
      <c r="C616" s="102">
        <v>6</v>
      </c>
      <c r="D616" s="103" t="s">
        <v>1765</v>
      </c>
      <c r="F616" s="103" t="s">
        <v>1212</v>
      </c>
      <c r="G616" s="103">
        <v>6</v>
      </c>
      <c r="H616" s="103">
        <v>6</v>
      </c>
      <c r="I616" s="104" t="s">
        <v>50</v>
      </c>
      <c r="J616" s="102" t="s">
        <v>61</v>
      </c>
      <c r="K616" s="102">
        <v>92</v>
      </c>
      <c r="L616" s="103">
        <v>0</v>
      </c>
      <c r="M616" s="104">
        <v>128</v>
      </c>
      <c r="N616" s="102">
        <v>115</v>
      </c>
      <c r="O616" s="102">
        <v>0</v>
      </c>
      <c r="P616" s="102">
        <v>80</v>
      </c>
      <c r="Q616" s="104">
        <f>_xlfn.FLOOR.MATH(0+0*B616)</f>
        <v>0</v>
      </c>
      <c r="R616" s="102">
        <f>_xlfn.FLOOR.MATH(18+0.25*B616)</f>
        <v>45</v>
      </c>
      <c r="S616" s="102">
        <f>_xlfn.FLOOR.MATH(23+0.23*B616)</f>
        <v>48</v>
      </c>
      <c r="T616" s="105">
        <f>_xlfn.FLOOR.MATH(46+0.51*B616)</f>
        <v>102</v>
      </c>
      <c r="U616" s="102">
        <v>9</v>
      </c>
      <c r="V616" s="102">
        <v>23</v>
      </c>
      <c r="W616" s="106" t="s">
        <v>52</v>
      </c>
      <c r="Y616" s="102" t="s">
        <v>54</v>
      </c>
      <c r="Z616" s="102" t="s">
        <v>55</v>
      </c>
      <c r="AA616" s="104">
        <v>0</v>
      </c>
      <c r="AB616" s="105">
        <v>0</v>
      </c>
      <c r="AC616" s="104">
        <v>4</v>
      </c>
      <c r="AD616" s="107" t="s">
        <v>986</v>
      </c>
      <c r="AE616" s="104">
        <v>130</v>
      </c>
      <c r="AF616" s="105">
        <v>185</v>
      </c>
      <c r="AG616" s="104">
        <v>5</v>
      </c>
      <c r="AH616" s="102">
        <v>9</v>
      </c>
      <c r="AI616" s="105">
        <v>1.05</v>
      </c>
      <c r="AJ616" s="104">
        <v>50</v>
      </c>
      <c r="AK616" s="102">
        <v>60</v>
      </c>
      <c r="AL616" s="102">
        <v>60</v>
      </c>
      <c r="AM616" s="105">
        <v>0</v>
      </c>
      <c r="AN616" s="104">
        <v>109</v>
      </c>
      <c r="AO616" s="102">
        <v>0</v>
      </c>
      <c r="AP616" s="102">
        <v>95</v>
      </c>
      <c r="AQ616" s="105">
        <v>39</v>
      </c>
      <c r="AR616" s="108" t="s">
        <v>987</v>
      </c>
      <c r="AS616" s="109" t="s">
        <v>1766</v>
      </c>
    </row>
    <row r="617" ht="79.2" spans="1:44">
      <c r="A617" s="100">
        <v>11041312</v>
      </c>
      <c r="B617" s="101">
        <v>110</v>
      </c>
      <c r="C617" s="102">
        <v>5</v>
      </c>
      <c r="D617" s="103" t="s">
        <v>1767</v>
      </c>
      <c r="F617" s="103" t="s">
        <v>1212</v>
      </c>
      <c r="G617" s="103">
        <v>2</v>
      </c>
      <c r="H617" s="103">
        <v>4</v>
      </c>
      <c r="I617" s="104" t="s">
        <v>91</v>
      </c>
      <c r="J617" s="102" t="s">
        <v>1768</v>
      </c>
      <c r="K617" s="102">
        <v>52</v>
      </c>
      <c r="L617" s="103">
        <v>0</v>
      </c>
      <c r="M617" s="104">
        <v>56</v>
      </c>
      <c r="N617" s="102">
        <v>66</v>
      </c>
      <c r="O617" s="102">
        <v>0</v>
      </c>
      <c r="P617" s="102">
        <v>100</v>
      </c>
      <c r="Q617" s="104">
        <f>_xlfn.FLOOR.MATH(0+0*B617)</f>
        <v>0</v>
      </c>
      <c r="R617" s="102">
        <f>_xlfn.FLOOR.MATH(20+0.25*B617)</f>
        <v>47</v>
      </c>
      <c r="S617" s="102">
        <f>_xlfn.FLOOR.MATH(44+0.3*B617)</f>
        <v>77</v>
      </c>
      <c r="T617" s="105">
        <f>_xlfn.FLOOR.MATH(40+0.52*B617)</f>
        <v>97</v>
      </c>
      <c r="U617" s="102">
        <v>25</v>
      </c>
      <c r="V617" s="102">
        <v>29</v>
      </c>
      <c r="W617" s="106" t="s">
        <v>158</v>
      </c>
      <c r="Y617" s="102" t="s">
        <v>54</v>
      </c>
      <c r="AA617" s="104">
        <v>0</v>
      </c>
      <c r="AB617" s="105">
        <v>0</v>
      </c>
      <c r="AC617" s="104">
        <v>4</v>
      </c>
      <c r="AD617" s="107" t="s">
        <v>1769</v>
      </c>
      <c r="AE617" s="104">
        <v>45</v>
      </c>
      <c r="AF617" s="105">
        <v>75</v>
      </c>
      <c r="AG617" s="104">
        <v>1.3</v>
      </c>
      <c r="AH617" s="102">
        <v>2.45</v>
      </c>
      <c r="AI617" s="105">
        <v>0.725</v>
      </c>
      <c r="AJ617" s="104">
        <v>50</v>
      </c>
      <c r="AK617" s="102">
        <v>60</v>
      </c>
      <c r="AL617" s="102">
        <v>60</v>
      </c>
      <c r="AM617" s="105">
        <v>0</v>
      </c>
      <c r="AN617" s="104">
        <v>31</v>
      </c>
      <c r="AO617" s="102">
        <v>0</v>
      </c>
      <c r="AP617" s="102">
        <v>41</v>
      </c>
      <c r="AQ617" s="105">
        <v>69</v>
      </c>
      <c r="AR617" s="108" t="s">
        <v>1770</v>
      </c>
    </row>
    <row r="618" ht="79.2" spans="1:44">
      <c r="A618" s="100">
        <v>11045612</v>
      </c>
      <c r="B618" s="101">
        <v>110</v>
      </c>
      <c r="C618" s="102">
        <v>5</v>
      </c>
      <c r="D618" s="103" t="s">
        <v>1771</v>
      </c>
      <c r="F618" s="103" t="s">
        <v>1212</v>
      </c>
      <c r="G618" s="103">
        <v>2</v>
      </c>
      <c r="H618" s="103">
        <v>2</v>
      </c>
      <c r="I618" s="104" t="s">
        <v>326</v>
      </c>
      <c r="J618" s="102" t="s">
        <v>184</v>
      </c>
      <c r="K618" s="102">
        <v>64</v>
      </c>
      <c r="L618" s="103">
        <v>0</v>
      </c>
      <c r="M618" s="104">
        <v>76</v>
      </c>
      <c r="N618" s="102">
        <v>67</v>
      </c>
      <c r="O618" s="102">
        <v>0</v>
      </c>
      <c r="P618" s="102">
        <v>100</v>
      </c>
      <c r="Q618" s="104">
        <f>_xlfn.FLOOR.MATH(35+0.4*B618)</f>
        <v>79</v>
      </c>
      <c r="R618" s="102">
        <f>_xlfn.FLOOR.MATH(20+0.36*B618)</f>
        <v>59</v>
      </c>
      <c r="S618" s="102">
        <f>_xlfn.FLOOR.MATH(38+0.41*B618)</f>
        <v>83</v>
      </c>
      <c r="T618" s="105">
        <f>_xlfn.FLOOR.MATH(39+0.53*B618)</f>
        <v>97</v>
      </c>
      <c r="U618" s="102">
        <v>19</v>
      </c>
      <c r="V618" s="102">
        <v>32.6</v>
      </c>
      <c r="W618" s="106" t="s">
        <v>158</v>
      </c>
      <c r="Y618" s="102" t="s">
        <v>127</v>
      </c>
      <c r="Z618" s="102" t="s">
        <v>128</v>
      </c>
      <c r="AA618" s="104">
        <v>0</v>
      </c>
      <c r="AB618" s="105">
        <v>0</v>
      </c>
      <c r="AC618" s="104">
        <v>4</v>
      </c>
      <c r="AD618" s="107" t="s">
        <v>1772</v>
      </c>
      <c r="AE618" s="104">
        <v>45</v>
      </c>
      <c r="AF618" s="105">
        <v>80</v>
      </c>
      <c r="AG618" s="104">
        <v>1.5</v>
      </c>
      <c r="AH618" s="102">
        <v>2.8</v>
      </c>
      <c r="AI618" s="105">
        <v>0.8</v>
      </c>
      <c r="AJ618" s="104">
        <v>10</v>
      </c>
      <c r="AK618" s="102">
        <v>16</v>
      </c>
      <c r="AL618" s="102">
        <v>10</v>
      </c>
      <c r="AM618" s="105">
        <v>0</v>
      </c>
      <c r="AN618" s="104">
        <v>21</v>
      </c>
      <c r="AO618" s="102">
        <v>0</v>
      </c>
      <c r="AP618" s="102">
        <v>21</v>
      </c>
      <c r="AQ618" s="105">
        <v>69</v>
      </c>
      <c r="AR618" s="108" t="s">
        <v>1773</v>
      </c>
    </row>
    <row r="619" ht="66" spans="1:48">
      <c r="A619" s="100">
        <v>18000713</v>
      </c>
      <c r="B619" s="101">
        <v>110</v>
      </c>
      <c r="C619" s="102">
        <v>5</v>
      </c>
      <c r="D619" s="103" t="s">
        <v>77</v>
      </c>
      <c r="F619" s="103" t="s">
        <v>1774</v>
      </c>
      <c r="G619" s="103">
        <v>3</v>
      </c>
      <c r="H619" s="103">
        <v>2</v>
      </c>
      <c r="I619" s="104" t="s">
        <v>73</v>
      </c>
      <c r="J619" s="102" t="s">
        <v>61</v>
      </c>
      <c r="K619" s="102">
        <v>91</v>
      </c>
      <c r="L619" s="103">
        <v>1</v>
      </c>
      <c r="M619" s="104">
        <v>92</v>
      </c>
      <c r="N619" s="102">
        <v>100</v>
      </c>
      <c r="O619" s="102">
        <v>0</v>
      </c>
      <c r="P619" s="102">
        <v>55</v>
      </c>
      <c r="Q619" s="104">
        <f>_xlfn.FLOOR.MATH(0+0*B619)</f>
        <v>0</v>
      </c>
      <c r="R619" s="102">
        <f>_xlfn.FLOOR.MATH(16+0.25*B619)</f>
        <v>43</v>
      </c>
      <c r="S619" s="102">
        <f>_xlfn.FLOOR.MATH(26+0.2*B619)</f>
        <v>48</v>
      </c>
      <c r="T619" s="105">
        <f>_xlfn.FLOOR.MATH(40+0.51*B619)</f>
        <v>96</v>
      </c>
      <c r="U619" s="102">
        <v>16</v>
      </c>
      <c r="V619" s="102">
        <v>30.8</v>
      </c>
      <c r="W619" s="106" t="s">
        <v>52</v>
      </c>
      <c r="Y619" s="102" t="s">
        <v>54</v>
      </c>
      <c r="Z619" s="102" t="s">
        <v>55</v>
      </c>
      <c r="AA619" s="104" t="s">
        <v>75</v>
      </c>
      <c r="AB619" s="105">
        <v>16</v>
      </c>
      <c r="AC619" s="104">
        <v>4</v>
      </c>
      <c r="AD619" s="107" t="s">
        <v>76</v>
      </c>
      <c r="AE619" s="104">
        <v>90</v>
      </c>
      <c r="AF619" s="105">
        <v>130</v>
      </c>
      <c r="AG619" s="104">
        <v>4.2</v>
      </c>
      <c r="AH619" s="102">
        <v>8.8</v>
      </c>
      <c r="AI619" s="105">
        <v>1</v>
      </c>
      <c r="AJ619" s="104">
        <v>50</v>
      </c>
      <c r="AK619" s="102">
        <v>60</v>
      </c>
      <c r="AL619" s="102">
        <v>60</v>
      </c>
      <c r="AM619" s="105">
        <v>0</v>
      </c>
      <c r="AN619" s="104">
        <v>72</v>
      </c>
      <c r="AO619" s="102">
        <v>0</v>
      </c>
      <c r="AP619" s="102">
        <v>84</v>
      </c>
      <c r="AQ619" s="105">
        <v>13</v>
      </c>
      <c r="AR619" s="108" t="s">
        <v>1238</v>
      </c>
      <c r="AV619" s="112" t="s">
        <v>1775</v>
      </c>
    </row>
    <row r="620" ht="39.6" spans="1:48">
      <c r="A620" s="100">
        <v>18000913</v>
      </c>
      <c r="B620" s="101">
        <v>110</v>
      </c>
      <c r="C620" s="102">
        <v>5</v>
      </c>
      <c r="D620" s="103" t="s">
        <v>1776</v>
      </c>
      <c r="F620" s="103" t="s">
        <v>1774</v>
      </c>
      <c r="G620" s="103">
        <v>3</v>
      </c>
      <c r="H620" s="103">
        <v>2</v>
      </c>
      <c r="I620" s="104" t="s">
        <v>50</v>
      </c>
      <c r="J620" s="102" t="s">
        <v>61</v>
      </c>
      <c r="K620" s="102">
        <v>72</v>
      </c>
      <c r="L620" s="103">
        <v>0</v>
      </c>
      <c r="M620" s="104">
        <v>104</v>
      </c>
      <c r="N620" s="102">
        <v>92</v>
      </c>
      <c r="O620" s="102">
        <v>0</v>
      </c>
      <c r="P620" s="102">
        <v>72</v>
      </c>
      <c r="Q620" s="104">
        <f>_xlfn.FLOOR.MATH(0+0*B620)</f>
        <v>0</v>
      </c>
      <c r="R620" s="102">
        <f>_xlfn.FLOOR.MATH(12+0.25*B620)</f>
        <v>39</v>
      </c>
      <c r="S620" s="102">
        <f>_xlfn.FLOOR.MATH(19+0.2*B620)</f>
        <v>41</v>
      </c>
      <c r="T620" s="105">
        <f>_xlfn.FLOOR.MATH(39+0.51*B620)</f>
        <v>95</v>
      </c>
      <c r="U620" s="102">
        <v>20</v>
      </c>
      <c r="V620" s="102">
        <v>23.5</v>
      </c>
      <c r="W620" s="106" t="s">
        <v>52</v>
      </c>
      <c r="Y620" s="102" t="s">
        <v>54</v>
      </c>
      <c r="Z620" s="102" t="s">
        <v>55</v>
      </c>
      <c r="AA620" s="104">
        <v>0</v>
      </c>
      <c r="AB620" s="105">
        <v>0</v>
      </c>
      <c r="AC620" s="104">
        <v>4</v>
      </c>
      <c r="AD620" s="107" t="s">
        <v>80</v>
      </c>
      <c r="AE620" s="104">
        <v>90</v>
      </c>
      <c r="AF620" s="105">
        <v>140</v>
      </c>
      <c r="AG620" s="104">
        <v>3.2</v>
      </c>
      <c r="AH620" s="102">
        <v>6</v>
      </c>
      <c r="AI620" s="105">
        <v>1</v>
      </c>
      <c r="AJ620" s="104">
        <v>50</v>
      </c>
      <c r="AK620" s="102">
        <v>60</v>
      </c>
      <c r="AL620" s="102">
        <v>60</v>
      </c>
      <c r="AM620" s="105">
        <v>0</v>
      </c>
      <c r="AN620" s="104">
        <v>89</v>
      </c>
      <c r="AO620" s="102">
        <v>0</v>
      </c>
      <c r="AP620" s="102">
        <v>72</v>
      </c>
      <c r="AQ620" s="105">
        <v>27</v>
      </c>
      <c r="AR620" s="108" t="s">
        <v>1241</v>
      </c>
      <c r="AS620" s="109" t="s">
        <v>1244</v>
      </c>
      <c r="AV620" s="112" t="s">
        <v>1775</v>
      </c>
    </row>
    <row r="621" spans="1:48">
      <c r="A621" s="100">
        <v>18001113</v>
      </c>
      <c r="B621" s="101">
        <v>110</v>
      </c>
      <c r="C621" s="102">
        <v>5</v>
      </c>
      <c r="D621" s="103" t="s">
        <v>85</v>
      </c>
      <c r="F621" s="103" t="s">
        <v>1774</v>
      </c>
      <c r="G621" s="103">
        <v>2</v>
      </c>
      <c r="H621" s="103">
        <v>2</v>
      </c>
      <c r="I621" s="104" t="s">
        <v>86</v>
      </c>
      <c r="J621" s="102" t="s">
        <v>61</v>
      </c>
      <c r="K621" s="102">
        <v>64</v>
      </c>
      <c r="L621" s="103">
        <v>0</v>
      </c>
      <c r="M621" s="104">
        <v>85</v>
      </c>
      <c r="N621" s="102">
        <v>88</v>
      </c>
      <c r="O621" s="102">
        <v>0</v>
      </c>
      <c r="P621" s="102">
        <v>63</v>
      </c>
      <c r="Q621" s="104">
        <f>_xlfn.FLOOR.MATH(0+0*B621)</f>
        <v>0</v>
      </c>
      <c r="R621" s="102">
        <f>_xlfn.FLOOR.MATH(10+0.25*B621)</f>
        <v>37</v>
      </c>
      <c r="S621" s="102">
        <f>_xlfn.FLOOR.MATH(15+0.2*B621)</f>
        <v>37</v>
      </c>
      <c r="T621" s="105">
        <f>_xlfn.FLOOR.MATH(40+0.51*B621)</f>
        <v>96</v>
      </c>
      <c r="U621" s="102">
        <v>25</v>
      </c>
      <c r="V621" s="102">
        <v>21</v>
      </c>
      <c r="W621" s="106" t="s">
        <v>52</v>
      </c>
      <c r="Y621" s="102" t="s">
        <v>54</v>
      </c>
      <c r="Z621" s="102" t="s">
        <v>55</v>
      </c>
      <c r="AA621" s="104" t="s">
        <v>56</v>
      </c>
      <c r="AB621" s="105">
        <v>12</v>
      </c>
      <c r="AC621" s="104">
        <v>4</v>
      </c>
      <c r="AD621" s="107" t="s">
        <v>88</v>
      </c>
      <c r="AE621" s="104">
        <v>85</v>
      </c>
      <c r="AF621" s="105">
        <v>125</v>
      </c>
      <c r="AG621" s="104">
        <v>2.5</v>
      </c>
      <c r="AH621" s="102">
        <v>5.1</v>
      </c>
      <c r="AI621" s="105">
        <v>0.8</v>
      </c>
      <c r="AJ621" s="104">
        <v>50</v>
      </c>
      <c r="AK621" s="102">
        <v>60</v>
      </c>
      <c r="AL621" s="102">
        <v>60</v>
      </c>
      <c r="AM621" s="105">
        <v>0</v>
      </c>
      <c r="AN621" s="104">
        <v>65</v>
      </c>
      <c r="AO621" s="102">
        <v>0</v>
      </c>
      <c r="AP621" s="102">
        <v>68</v>
      </c>
      <c r="AQ621" s="105">
        <v>22</v>
      </c>
      <c r="AV621" s="112" t="s">
        <v>1777</v>
      </c>
    </row>
    <row r="622" spans="1:48">
      <c r="A622" s="100">
        <v>18003812</v>
      </c>
      <c r="B622" s="101">
        <v>110</v>
      </c>
      <c r="C622" s="102">
        <v>5</v>
      </c>
      <c r="D622" s="103" t="s">
        <v>176</v>
      </c>
      <c r="F622" s="103" t="s">
        <v>1774</v>
      </c>
      <c r="G622" s="103">
        <v>1</v>
      </c>
      <c r="H622" s="103">
        <v>2</v>
      </c>
      <c r="I622" s="104" t="s">
        <v>73</v>
      </c>
      <c r="J622" s="102" t="s">
        <v>157</v>
      </c>
      <c r="K622" s="102">
        <v>54</v>
      </c>
      <c r="L622" s="103">
        <v>2</v>
      </c>
      <c r="M622" s="104">
        <v>56</v>
      </c>
      <c r="N622" s="102">
        <v>51</v>
      </c>
      <c r="O622" s="102">
        <v>55</v>
      </c>
      <c r="P622" s="102">
        <v>52</v>
      </c>
      <c r="Q622" s="104">
        <f>_xlfn.FLOOR.MATH(0+0*B622)</f>
        <v>0</v>
      </c>
      <c r="R622" s="102">
        <f>_xlfn.FLOOR.MATH(14+0.35*B622)</f>
        <v>52</v>
      </c>
      <c r="S622" s="102">
        <f>_xlfn.FLOOR.MATH(30+0.4*B622)</f>
        <v>74</v>
      </c>
      <c r="T622" s="105">
        <f>_xlfn.FLOOR.MATH(37+0.51*B622)</f>
        <v>93</v>
      </c>
      <c r="U622" s="102">
        <v>25</v>
      </c>
      <c r="V622" s="102">
        <v>32</v>
      </c>
      <c r="W622" s="106" t="s">
        <v>158</v>
      </c>
      <c r="Y622" s="102" t="s">
        <v>127</v>
      </c>
      <c r="Z622" s="102" t="s">
        <v>128</v>
      </c>
      <c r="AA622" s="104" t="s">
        <v>173</v>
      </c>
      <c r="AB622" s="105">
        <v>9</v>
      </c>
      <c r="AC622" s="104">
        <v>3</v>
      </c>
      <c r="AD622" s="107" t="s">
        <v>174</v>
      </c>
      <c r="AE622" s="104">
        <v>35</v>
      </c>
      <c r="AF622" s="105">
        <v>65</v>
      </c>
      <c r="AG622" s="104">
        <v>1.28</v>
      </c>
      <c r="AH622" s="102">
        <v>2.64</v>
      </c>
      <c r="AI622" s="105">
        <v>0.75</v>
      </c>
      <c r="AJ622" s="104">
        <v>30</v>
      </c>
      <c r="AK622" s="102">
        <v>40</v>
      </c>
      <c r="AL622" s="102">
        <v>30</v>
      </c>
      <c r="AM622" s="105">
        <v>0</v>
      </c>
      <c r="AN622" s="104">
        <v>36</v>
      </c>
      <c r="AO622" s="102">
        <v>10</v>
      </c>
      <c r="AP622" s="102">
        <v>21</v>
      </c>
      <c r="AQ622" s="105">
        <v>11</v>
      </c>
      <c r="AV622" s="112" t="s">
        <v>1777</v>
      </c>
    </row>
    <row r="623" ht="52.8" spans="1:48">
      <c r="A623" s="100">
        <v>18011113</v>
      </c>
      <c r="B623" s="101">
        <v>110</v>
      </c>
      <c r="C623" s="102">
        <v>5</v>
      </c>
      <c r="D623" s="103" t="s">
        <v>365</v>
      </c>
      <c r="F623" s="103" t="s">
        <v>1774</v>
      </c>
      <c r="G623" s="103">
        <v>3</v>
      </c>
      <c r="H623" s="103">
        <v>2</v>
      </c>
      <c r="I623" s="104" t="s">
        <v>86</v>
      </c>
      <c r="J623" s="102" t="s">
        <v>61</v>
      </c>
      <c r="K623" s="102">
        <v>74</v>
      </c>
      <c r="L623" s="103">
        <v>2</v>
      </c>
      <c r="M623" s="104">
        <v>108</v>
      </c>
      <c r="N623" s="102">
        <v>92</v>
      </c>
      <c r="O623" s="102">
        <v>0</v>
      </c>
      <c r="P623" s="102">
        <v>90</v>
      </c>
      <c r="Q623" s="104">
        <f>_xlfn.FLOOR.MATH(0+0*B623)</f>
        <v>0</v>
      </c>
      <c r="R623" s="102">
        <f>_xlfn.FLOOR.MATH(18+0.25*B623)</f>
        <v>45</v>
      </c>
      <c r="S623" s="102">
        <f>_xlfn.FLOOR.MATH(25+0.3*B623)</f>
        <v>58</v>
      </c>
      <c r="T623" s="105">
        <f>_xlfn.FLOOR.MATH(40+0.51*B623)</f>
        <v>96</v>
      </c>
      <c r="U623" s="102">
        <v>30</v>
      </c>
      <c r="V623" s="102">
        <v>28</v>
      </c>
      <c r="W623" s="106" t="s">
        <v>52</v>
      </c>
      <c r="Y623" s="102" t="s">
        <v>54</v>
      </c>
      <c r="Z623" s="102" t="s">
        <v>55</v>
      </c>
      <c r="AA623" s="104" t="s">
        <v>56</v>
      </c>
      <c r="AB623" s="105">
        <v>12</v>
      </c>
      <c r="AC623" s="104">
        <v>4</v>
      </c>
      <c r="AD623" s="107" t="s">
        <v>366</v>
      </c>
      <c r="AE623" s="104">
        <v>95</v>
      </c>
      <c r="AF623" s="105">
        <v>140</v>
      </c>
      <c r="AG623" s="104">
        <v>4.2</v>
      </c>
      <c r="AH623" s="102">
        <v>8</v>
      </c>
      <c r="AI623" s="105">
        <v>0.8</v>
      </c>
      <c r="AJ623" s="104">
        <v>50</v>
      </c>
      <c r="AK623" s="102">
        <v>60</v>
      </c>
      <c r="AL623" s="102">
        <v>60</v>
      </c>
      <c r="AM623" s="105">
        <v>0</v>
      </c>
      <c r="AN623" s="104">
        <v>88</v>
      </c>
      <c r="AO623" s="102">
        <v>0</v>
      </c>
      <c r="AP623" s="102">
        <v>72</v>
      </c>
      <c r="AQ623" s="105">
        <v>60</v>
      </c>
      <c r="AR623" s="108" t="s">
        <v>1503</v>
      </c>
      <c r="AV623" s="112" t="s">
        <v>1775</v>
      </c>
    </row>
    <row r="624" spans="1:48">
      <c r="A624" s="100">
        <v>18011613</v>
      </c>
      <c r="B624" s="101">
        <v>110</v>
      </c>
      <c r="C624" s="102">
        <v>5</v>
      </c>
      <c r="D624" s="103" t="s">
        <v>1778</v>
      </c>
      <c r="F624" s="103" t="s">
        <v>1774</v>
      </c>
      <c r="G624" s="103">
        <v>0</v>
      </c>
      <c r="H624" s="103">
        <v>2</v>
      </c>
      <c r="I624" s="104" t="s">
        <v>1779</v>
      </c>
      <c r="J624" s="102" t="s">
        <v>51</v>
      </c>
      <c r="K624" s="102">
        <v>59</v>
      </c>
      <c r="L624" s="103">
        <v>1</v>
      </c>
      <c r="M624" s="104">
        <v>73</v>
      </c>
      <c r="N624" s="102">
        <v>60</v>
      </c>
      <c r="O624" s="102">
        <v>0</v>
      </c>
      <c r="P624" s="102">
        <v>45</v>
      </c>
      <c r="Q624" s="104">
        <f>_xlfn.FLOOR.MATH(0+0*B624)</f>
        <v>0</v>
      </c>
      <c r="R624" s="102">
        <f>_xlfn.FLOOR.MATH(10+0.25*B624)</f>
        <v>37</v>
      </c>
      <c r="S624" s="102">
        <f>_xlfn.FLOOR.MATH(27+0.2*B624)</f>
        <v>49</v>
      </c>
      <c r="T624" s="105">
        <f>_xlfn.FLOOR.MATH(40+0.51*B624)</f>
        <v>96</v>
      </c>
      <c r="U624" s="102">
        <v>45</v>
      </c>
      <c r="V624" s="102">
        <v>28.4</v>
      </c>
      <c r="W624" s="106" t="s">
        <v>52</v>
      </c>
      <c r="Y624" s="102" t="s">
        <v>54</v>
      </c>
      <c r="Z624" s="102" t="s">
        <v>55</v>
      </c>
      <c r="AA624" s="104">
        <v>0</v>
      </c>
      <c r="AB624" s="105">
        <v>0</v>
      </c>
      <c r="AC624" s="104">
        <v>4</v>
      </c>
      <c r="AD624" s="107" t="s">
        <v>1780</v>
      </c>
      <c r="AE624" s="104">
        <v>55</v>
      </c>
      <c r="AF624" s="105">
        <v>100</v>
      </c>
      <c r="AG624" s="104">
        <v>2.88</v>
      </c>
      <c r="AH624" s="102">
        <v>5.4</v>
      </c>
      <c r="AI624" s="105">
        <v>0.75</v>
      </c>
      <c r="AJ624" s="104">
        <v>40</v>
      </c>
      <c r="AK624" s="102">
        <v>50</v>
      </c>
      <c r="AL624" s="102">
        <v>40</v>
      </c>
      <c r="AM624" s="105">
        <v>0</v>
      </c>
      <c r="AN624" s="104">
        <v>48</v>
      </c>
      <c r="AO624" s="102">
        <v>0</v>
      </c>
      <c r="AP624" s="102">
        <v>45</v>
      </c>
      <c r="AQ624" s="105">
        <v>8</v>
      </c>
      <c r="AV624" s="112" t="s">
        <v>1781</v>
      </c>
    </row>
  </sheetData>
  <autoFilter ref="A1:AV624">
    <sortState ref="A1:AV624">
      <sortCondition ref="A1:A572"/>
    </sortState>
    <extLst/>
  </autoFilter>
  <conditionalFormatting sqref="L2:L832">
    <cfRule type="expression" dxfId="0" priority="2">
      <formula>$L2&lt;&gt;0</formula>
    </cfRule>
  </conditionalFormatting>
  <conditionalFormatting sqref="AD2:AD832">
    <cfRule type="cellIs" dxfId="1" priority="4" operator="equal">
      <formula>"不可用"</formula>
    </cfRule>
  </conditionalFormatting>
  <conditionalFormatting sqref="D2:H832">
    <cfRule type="expression" dxfId="2" priority="5">
      <formula>$C2=6</formula>
    </cfRule>
    <cfRule type="expression" dxfId="3" priority="6">
      <formula>$C2=5</formula>
    </cfRule>
    <cfRule type="expression" dxfId="4" priority="7">
      <formula>$C2=4</formula>
    </cfRule>
    <cfRule type="expression" dxfId="5" priority="8">
      <formula>$C2=3</formula>
    </cfRule>
    <cfRule type="expression" dxfId="6" priority="9">
      <formula>$C2=2</formula>
    </cfRule>
  </conditionalFormatting>
  <pageMargins left="0.7" right="0.7" top="0.75" bottom="0.75" header="0.3" footer="0.3"/>
  <pageSetup paperSize="9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43"/>
  <sheetViews>
    <sheetView workbookViewId="0">
      <pane xSplit="3" ySplit="3" topLeftCell="D414" activePane="bottomRight" state="frozen"/>
      <selection/>
      <selection pane="topRight"/>
      <selection pane="bottomLeft"/>
      <selection pane="bottomRight" activeCell="W586" sqref="W586"/>
    </sheetView>
  </sheetViews>
  <sheetFormatPr defaultColWidth="9" defaultRowHeight="15"/>
  <cols>
    <col min="1" max="1" width="9.44444444444444" style="29" customWidth="1"/>
    <col min="2" max="2" width="2.88888888888889" style="30" customWidth="1"/>
    <col min="3" max="3" width="28.7777777777778" style="63" customWidth="1"/>
    <col min="4" max="4" width="12.1111111111111" style="64" customWidth="1"/>
    <col min="5" max="6" width="2.66666666666667" style="65" customWidth="1"/>
    <col min="7" max="11" width="2.66666666666667" style="30" customWidth="1"/>
    <col min="12" max="12" width="3.22222222222222" style="30" customWidth="1"/>
    <col min="13" max="14" width="2.66666666666667" style="30" customWidth="1"/>
    <col min="15" max="15" width="2.66666666666667" style="66" customWidth="1"/>
    <col min="16" max="18" width="2.66666666666667" style="30" customWidth="1"/>
    <col min="19" max="19" width="4.22222222222222" style="30" customWidth="1"/>
    <col min="20" max="20" width="4" style="30" customWidth="1"/>
    <col min="21" max="21" width="2.66666666666667" style="31" customWidth="1"/>
    <col min="22" max="24" width="4.77777777777778" style="67" customWidth="1"/>
    <col min="25" max="25" width="25.7777777777778" style="67" customWidth="1"/>
    <col min="26" max="26" width="32.8888888888889" style="67" customWidth="1"/>
    <col min="27" max="27" width="10.4444444444444" style="68" customWidth="1"/>
    <col min="28" max="28" width="17.1111111111111" style="69" customWidth="1"/>
    <col min="29" max="29" width="18" style="69" customWidth="1"/>
  </cols>
  <sheetData>
    <row r="1" ht="16.35" spans="1:29">
      <c r="A1" s="70"/>
      <c r="B1" s="71"/>
      <c r="C1" s="72"/>
      <c r="D1" s="73"/>
      <c r="E1" s="74"/>
      <c r="F1" s="74"/>
      <c r="G1" s="71"/>
      <c r="H1" s="71"/>
      <c r="I1" s="71"/>
      <c r="J1" s="71"/>
      <c r="K1" s="71"/>
      <c r="L1" s="71"/>
      <c r="M1" s="71"/>
      <c r="N1" s="71"/>
      <c r="O1" s="81"/>
      <c r="P1" s="71"/>
      <c r="Q1" s="71"/>
      <c r="R1" s="82" t="s">
        <v>1782</v>
      </c>
      <c r="S1" s="83"/>
      <c r="T1" s="83"/>
      <c r="U1" s="83"/>
      <c r="V1" s="83"/>
      <c r="W1" s="84"/>
      <c r="X1" s="85">
        <v>6</v>
      </c>
      <c r="Y1" s="90" t="s">
        <v>1783</v>
      </c>
      <c r="Z1" s="91"/>
      <c r="AA1" s="91"/>
      <c r="AB1" s="91"/>
      <c r="AC1" s="92"/>
    </row>
    <row r="2" ht="18.75" customHeight="1" spans="1:29">
      <c r="A2" s="70"/>
      <c r="B2" s="71"/>
      <c r="C2" s="72"/>
      <c r="D2" s="73"/>
      <c r="E2" s="74"/>
      <c r="F2" s="74"/>
      <c r="G2" s="71"/>
      <c r="H2" s="71"/>
      <c r="I2" s="71"/>
      <c r="J2" s="71"/>
      <c r="K2" s="71"/>
      <c r="L2" s="71"/>
      <c r="M2" s="71"/>
      <c r="N2" s="71"/>
      <c r="O2" s="81"/>
      <c r="P2" s="71"/>
      <c r="Q2" s="71"/>
      <c r="R2" s="82" t="s">
        <v>1784</v>
      </c>
      <c r="S2" s="83"/>
      <c r="T2" s="83"/>
      <c r="U2" s="83"/>
      <c r="V2" s="83"/>
      <c r="W2" s="84"/>
      <c r="X2" s="86">
        <v>0.8</v>
      </c>
      <c r="Y2" s="93"/>
      <c r="Z2" s="94"/>
      <c r="AA2" s="94"/>
      <c r="AB2" s="94"/>
      <c r="AC2" s="95"/>
    </row>
    <row r="3" s="62" customFormat="1" ht="88.5" customHeight="1" spans="1:29">
      <c r="A3" s="75" t="s">
        <v>0</v>
      </c>
      <c r="B3" s="76" t="s">
        <v>2</v>
      </c>
      <c r="C3" s="77" t="s">
        <v>1785</v>
      </c>
      <c r="D3" s="78" t="s">
        <v>1786</v>
      </c>
      <c r="E3" s="79" t="s">
        <v>10</v>
      </c>
      <c r="F3" s="80" t="s">
        <v>12</v>
      </c>
      <c r="G3" s="79" t="s">
        <v>13</v>
      </c>
      <c r="H3" s="79" t="s">
        <v>14</v>
      </c>
      <c r="I3" s="79" t="s">
        <v>16</v>
      </c>
      <c r="J3" s="79" t="s">
        <v>17</v>
      </c>
      <c r="K3" s="79" t="s">
        <v>19</v>
      </c>
      <c r="L3" s="80" t="s">
        <v>22</v>
      </c>
      <c r="M3" s="79" t="s">
        <v>18</v>
      </c>
      <c r="N3" s="79" t="s">
        <v>20</v>
      </c>
      <c r="O3" s="80" t="s">
        <v>1787</v>
      </c>
      <c r="P3" s="79" t="s">
        <v>1788</v>
      </c>
      <c r="Q3" s="79" t="s">
        <v>1789</v>
      </c>
      <c r="R3" s="79" t="s">
        <v>15</v>
      </c>
      <c r="S3" s="79" t="s">
        <v>1790</v>
      </c>
      <c r="T3" s="79" t="s">
        <v>1791</v>
      </c>
      <c r="U3" s="87" t="s">
        <v>1792</v>
      </c>
      <c r="V3" s="88" t="s">
        <v>1793</v>
      </c>
      <c r="W3" s="89" t="s">
        <v>1794</v>
      </c>
      <c r="X3" s="89" t="s">
        <v>1795</v>
      </c>
      <c r="Y3" s="75" t="s">
        <v>1796</v>
      </c>
      <c r="Z3" s="75" t="s">
        <v>1797</v>
      </c>
      <c r="AA3" s="96" t="s">
        <v>1798</v>
      </c>
      <c r="AB3" s="77" t="s">
        <v>1799</v>
      </c>
      <c r="AC3" s="77" t="s">
        <v>47</v>
      </c>
    </row>
    <row r="4" ht="52.8" spans="1:29">
      <c r="A4" s="29">
        <v>10000121</v>
      </c>
      <c r="B4" s="30">
        <v>1</v>
      </c>
      <c r="C4" s="63" t="s">
        <v>1800</v>
      </c>
      <c r="D4" s="64" t="s">
        <v>1801</v>
      </c>
      <c r="E4" s="65">
        <v>0</v>
      </c>
      <c r="F4" s="65">
        <v>1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 t="s">
        <v>1802</v>
      </c>
      <c r="M4" s="30">
        <v>0</v>
      </c>
      <c r="N4" s="30">
        <v>0</v>
      </c>
      <c r="O4" s="66">
        <v>0</v>
      </c>
      <c r="P4" s="30">
        <v>0</v>
      </c>
      <c r="Q4" s="30">
        <v>0</v>
      </c>
      <c r="R4" s="30">
        <v>0</v>
      </c>
      <c r="S4" s="30">
        <v>1</v>
      </c>
      <c r="T4" s="30">
        <v>0</v>
      </c>
      <c r="U4" s="31">
        <v>0</v>
      </c>
      <c r="V4" s="67">
        <v>0</v>
      </c>
      <c r="W4" s="67">
        <f>0*1*2.5</f>
        <v>0</v>
      </c>
      <c r="X4" s="67">
        <v>0</v>
      </c>
      <c r="Z4" s="67" t="s">
        <v>1803</v>
      </c>
      <c r="AC4" s="69" t="s">
        <v>1804</v>
      </c>
    </row>
    <row r="5" ht="39.6" spans="1:28">
      <c r="A5" s="29">
        <v>10000221</v>
      </c>
      <c r="B5" s="30">
        <v>1</v>
      </c>
      <c r="C5" s="63" t="s">
        <v>725</v>
      </c>
      <c r="D5" s="64" t="s">
        <v>1805</v>
      </c>
      <c r="E5" s="65">
        <v>0</v>
      </c>
      <c r="F5" s="65">
        <v>1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 t="s">
        <v>115</v>
      </c>
      <c r="M5" s="30">
        <v>0</v>
      </c>
      <c r="N5" s="30">
        <v>0</v>
      </c>
      <c r="O5" s="66">
        <v>0</v>
      </c>
      <c r="P5" s="30">
        <v>0</v>
      </c>
      <c r="Q5" s="30">
        <v>0</v>
      </c>
      <c r="R5" s="30">
        <v>0</v>
      </c>
      <c r="S5" s="30">
        <v>1</v>
      </c>
      <c r="T5" s="30">
        <v>0.2</v>
      </c>
      <c r="U5" s="31">
        <v>0</v>
      </c>
      <c r="V5" s="67">
        <v>0</v>
      </c>
      <c r="W5" s="67">
        <f>0*1*2.5</f>
        <v>0</v>
      </c>
      <c r="X5" s="67">
        <f>0+MAX($X$2,0.2)*0*$X$1</f>
        <v>0</v>
      </c>
      <c r="Y5" s="67" t="s">
        <v>1806</v>
      </c>
      <c r="Z5" s="67" t="s">
        <v>1807</v>
      </c>
      <c r="AB5" s="69" t="s">
        <v>1808</v>
      </c>
    </row>
    <row r="6" ht="39.6" spans="1:28">
      <c r="A6" s="29">
        <v>10000321</v>
      </c>
      <c r="B6" s="30">
        <v>1</v>
      </c>
      <c r="C6" s="63" t="s">
        <v>1809</v>
      </c>
      <c r="D6" s="64" t="s">
        <v>1805</v>
      </c>
      <c r="E6" s="65">
        <v>0</v>
      </c>
      <c r="F6" s="65">
        <v>1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 t="s">
        <v>115</v>
      </c>
      <c r="M6" s="30">
        <v>0</v>
      </c>
      <c r="N6" s="30">
        <v>0</v>
      </c>
      <c r="O6" s="66">
        <v>0</v>
      </c>
      <c r="P6" s="30">
        <v>0</v>
      </c>
      <c r="Q6" s="30">
        <v>0</v>
      </c>
      <c r="R6" s="30">
        <v>1</v>
      </c>
      <c r="S6" s="30">
        <v>1.1</v>
      </c>
      <c r="T6" s="30">
        <v>0.2</v>
      </c>
      <c r="U6" s="31">
        <v>0</v>
      </c>
      <c r="V6" s="67">
        <v>0</v>
      </c>
      <c r="W6" s="67">
        <f>1*1.1*2.5</f>
        <v>2.75</v>
      </c>
      <c r="X6" s="67">
        <f>1+MAX($X$2,0.2)*1*$X$1</f>
        <v>5.8</v>
      </c>
      <c r="Y6" s="67" t="s">
        <v>1810</v>
      </c>
      <c r="Z6" s="67" t="s">
        <v>1807</v>
      </c>
      <c r="AA6" s="97">
        <v>0.00347222222222222</v>
      </c>
      <c r="AB6" s="98"/>
    </row>
    <row r="7" ht="105.6" spans="1:28">
      <c r="A7" s="29">
        <v>10000421</v>
      </c>
      <c r="B7" s="30">
        <v>2</v>
      </c>
      <c r="C7" s="63" t="s">
        <v>252</v>
      </c>
      <c r="D7" s="64" t="s">
        <v>1805</v>
      </c>
      <c r="E7" s="65">
        <v>0</v>
      </c>
      <c r="F7" s="65">
        <v>2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 t="s">
        <v>115</v>
      </c>
      <c r="M7" s="30">
        <v>0</v>
      </c>
      <c r="N7" s="30">
        <v>0</v>
      </c>
      <c r="O7" s="66">
        <v>0</v>
      </c>
      <c r="P7" s="30">
        <v>0</v>
      </c>
      <c r="Q7" s="30">
        <v>0</v>
      </c>
      <c r="R7" s="30">
        <v>2</v>
      </c>
      <c r="S7" s="30">
        <v>1.2</v>
      </c>
      <c r="T7" s="30">
        <v>0.2</v>
      </c>
      <c r="U7" s="31">
        <v>0</v>
      </c>
      <c r="V7" s="67">
        <v>0</v>
      </c>
      <c r="W7" s="67">
        <f>2*1.2*2.5</f>
        <v>6</v>
      </c>
      <c r="X7" s="67">
        <f>2+MAX($X$2,0.2)*2*$X$1</f>
        <v>11.6</v>
      </c>
      <c r="Y7" s="67" t="s">
        <v>1811</v>
      </c>
      <c r="Z7" s="67" t="s">
        <v>1807</v>
      </c>
      <c r="AB7" s="69" t="s">
        <v>1812</v>
      </c>
    </row>
    <row r="8" ht="52.8" spans="1:28">
      <c r="A8" s="29">
        <v>10000521</v>
      </c>
      <c r="B8" s="30">
        <v>1</v>
      </c>
      <c r="C8" s="63" t="s">
        <v>282</v>
      </c>
      <c r="D8" s="64" t="s">
        <v>1805</v>
      </c>
      <c r="E8" s="65">
        <v>0</v>
      </c>
      <c r="F8" s="65">
        <v>1</v>
      </c>
      <c r="G8" s="30">
        <v>0</v>
      </c>
      <c r="H8" s="30">
        <v>0</v>
      </c>
      <c r="I8" s="30">
        <v>0</v>
      </c>
      <c r="J8" s="30">
        <v>0</v>
      </c>
      <c r="K8" s="30">
        <v>1</v>
      </c>
      <c r="L8" s="30" t="s">
        <v>115</v>
      </c>
      <c r="M8" s="30">
        <v>0</v>
      </c>
      <c r="N8" s="30">
        <v>0</v>
      </c>
      <c r="O8" s="66">
        <v>0</v>
      </c>
      <c r="P8" s="30">
        <v>0</v>
      </c>
      <c r="Q8" s="30">
        <v>0</v>
      </c>
      <c r="R8" s="30">
        <v>0</v>
      </c>
      <c r="S8" s="30">
        <v>1</v>
      </c>
      <c r="T8" s="30">
        <v>0</v>
      </c>
      <c r="U8" s="31">
        <v>0</v>
      </c>
      <c r="V8" s="67">
        <v>0</v>
      </c>
      <c r="W8" s="67">
        <f>0*1*2.5</f>
        <v>0</v>
      </c>
      <c r="X8" s="67">
        <v>0</v>
      </c>
      <c r="Z8" s="67" t="s">
        <v>1807</v>
      </c>
      <c r="AB8" s="69" t="s">
        <v>1813</v>
      </c>
    </row>
    <row r="9" ht="39.6" spans="1:28">
      <c r="A9" s="29">
        <v>10000621</v>
      </c>
      <c r="B9" s="30">
        <v>2</v>
      </c>
      <c r="C9" s="63" t="s">
        <v>287</v>
      </c>
      <c r="D9" s="64" t="s">
        <v>1805</v>
      </c>
      <c r="E9" s="65">
        <v>0</v>
      </c>
      <c r="F9" s="65">
        <v>2</v>
      </c>
      <c r="G9" s="30">
        <v>0</v>
      </c>
      <c r="H9" s="30">
        <v>0</v>
      </c>
      <c r="I9" s="30">
        <v>0</v>
      </c>
      <c r="J9" s="30">
        <v>0</v>
      </c>
      <c r="K9" s="30">
        <v>2</v>
      </c>
      <c r="L9" s="30" t="s">
        <v>115</v>
      </c>
      <c r="M9" s="30">
        <v>0</v>
      </c>
      <c r="N9" s="30">
        <v>0</v>
      </c>
      <c r="O9" s="66">
        <v>0</v>
      </c>
      <c r="P9" s="30">
        <v>0</v>
      </c>
      <c r="Q9" s="30">
        <v>0</v>
      </c>
      <c r="R9" s="30">
        <v>0</v>
      </c>
      <c r="S9" s="30">
        <v>1</v>
      </c>
      <c r="T9" s="30">
        <v>0</v>
      </c>
      <c r="U9" s="31">
        <v>0</v>
      </c>
      <c r="V9" s="67">
        <v>0</v>
      </c>
      <c r="W9" s="67">
        <f>0*1*2.5</f>
        <v>0</v>
      </c>
      <c r="X9" s="67">
        <v>0</v>
      </c>
      <c r="Z9" s="67" t="s">
        <v>1807</v>
      </c>
      <c r="AB9" s="69" t="s">
        <v>1814</v>
      </c>
    </row>
    <row r="10" ht="39.6" spans="1:28">
      <c r="A10" s="29">
        <v>10000721</v>
      </c>
      <c r="B10" s="30">
        <v>3</v>
      </c>
      <c r="C10" s="63" t="s">
        <v>1815</v>
      </c>
      <c r="D10" s="64" t="s">
        <v>1805</v>
      </c>
      <c r="E10" s="65">
        <v>0</v>
      </c>
      <c r="F10" s="65">
        <v>3</v>
      </c>
      <c r="G10" s="30">
        <v>0</v>
      </c>
      <c r="H10" s="30">
        <v>0</v>
      </c>
      <c r="I10" s="30">
        <v>0</v>
      </c>
      <c r="J10" s="30">
        <v>0</v>
      </c>
      <c r="K10" s="30">
        <v>2</v>
      </c>
      <c r="L10" s="30" t="s">
        <v>115</v>
      </c>
      <c r="M10" s="30">
        <v>0</v>
      </c>
      <c r="N10" s="30">
        <v>0</v>
      </c>
      <c r="O10" s="66">
        <v>0</v>
      </c>
      <c r="P10" s="30">
        <v>0</v>
      </c>
      <c r="Q10" s="30">
        <v>0</v>
      </c>
      <c r="R10" s="30">
        <v>0</v>
      </c>
      <c r="S10" s="30">
        <v>1</v>
      </c>
      <c r="T10" s="30">
        <v>0</v>
      </c>
      <c r="U10" s="31">
        <v>0</v>
      </c>
      <c r="V10" s="67">
        <v>0</v>
      </c>
      <c r="W10" s="67">
        <f>0*1*2.5</f>
        <v>0</v>
      </c>
      <c r="X10" s="67">
        <v>0</v>
      </c>
      <c r="Z10" s="67" t="s">
        <v>1807</v>
      </c>
      <c r="AB10" s="69" t="s">
        <v>1816</v>
      </c>
    </row>
    <row r="11" ht="39.6" spans="1:28">
      <c r="A11" s="29">
        <v>10000821</v>
      </c>
      <c r="B11" s="30">
        <v>2</v>
      </c>
      <c r="C11" s="63" t="s">
        <v>294</v>
      </c>
      <c r="D11" s="64" t="s">
        <v>1805</v>
      </c>
      <c r="E11" s="65">
        <v>0</v>
      </c>
      <c r="F11" s="65">
        <v>1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 t="s">
        <v>115</v>
      </c>
      <c r="M11" s="30">
        <v>0</v>
      </c>
      <c r="N11" s="30">
        <v>0</v>
      </c>
      <c r="O11" s="66">
        <v>0</v>
      </c>
      <c r="P11" s="30">
        <v>0</v>
      </c>
      <c r="Q11" s="30">
        <v>0</v>
      </c>
      <c r="R11" s="30">
        <v>3</v>
      </c>
      <c r="S11" s="30">
        <v>1.6</v>
      </c>
      <c r="T11" s="30">
        <v>0.2</v>
      </c>
      <c r="U11" s="31">
        <v>0</v>
      </c>
      <c r="V11" s="67">
        <v>0</v>
      </c>
      <c r="W11" s="67">
        <f>3*1.6*2.5</f>
        <v>12</v>
      </c>
      <c r="X11" s="67">
        <f>3+MAX($X$2,0.2)*3*$X$1</f>
        <v>17.4</v>
      </c>
      <c r="Y11" s="67" t="s">
        <v>1817</v>
      </c>
      <c r="Z11" s="67" t="s">
        <v>1807</v>
      </c>
      <c r="AB11" s="69" t="s">
        <v>1818</v>
      </c>
    </row>
    <row r="12" ht="92.4" spans="1:28">
      <c r="A12" s="29">
        <v>10000921</v>
      </c>
      <c r="B12" s="30">
        <v>2</v>
      </c>
      <c r="C12" s="63" t="s">
        <v>300</v>
      </c>
      <c r="D12" s="64" t="s">
        <v>1805</v>
      </c>
      <c r="E12" s="65">
        <v>0</v>
      </c>
      <c r="F12" s="65">
        <v>2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 t="s">
        <v>115</v>
      </c>
      <c r="M12" s="30">
        <v>0</v>
      </c>
      <c r="N12" s="30">
        <v>0</v>
      </c>
      <c r="O12" s="66">
        <v>0</v>
      </c>
      <c r="P12" s="30">
        <v>0</v>
      </c>
      <c r="Q12" s="30">
        <v>0</v>
      </c>
      <c r="R12" s="30">
        <v>3</v>
      </c>
      <c r="S12" s="30">
        <v>1.5</v>
      </c>
      <c r="T12" s="30">
        <v>0.2</v>
      </c>
      <c r="U12" s="31">
        <v>0</v>
      </c>
      <c r="V12" s="67">
        <v>0</v>
      </c>
      <c r="W12" s="67">
        <f>3*1.5*2.5</f>
        <v>11.25</v>
      </c>
      <c r="X12" s="67">
        <f>3+MAX($X$2,0.2)*3*$X$1</f>
        <v>17.4</v>
      </c>
      <c r="Y12" s="67" t="s">
        <v>1819</v>
      </c>
      <c r="Z12" s="67" t="s">
        <v>1807</v>
      </c>
      <c r="AA12" s="97">
        <v>0.00578703703703704</v>
      </c>
      <c r="AB12" s="98" t="s">
        <v>1820</v>
      </c>
    </row>
    <row r="13" ht="145.2" spans="1:28">
      <c r="A13" s="29">
        <v>10001021</v>
      </c>
      <c r="B13" s="30">
        <v>4</v>
      </c>
      <c r="C13" s="63" t="s">
        <v>223</v>
      </c>
      <c r="D13" s="64" t="s">
        <v>1805</v>
      </c>
      <c r="E13" s="65">
        <v>0</v>
      </c>
      <c r="F13" s="65">
        <v>2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 t="s">
        <v>115</v>
      </c>
      <c r="M13" s="30">
        <v>0</v>
      </c>
      <c r="N13" s="30">
        <v>0</v>
      </c>
      <c r="O13" s="66">
        <v>0</v>
      </c>
      <c r="P13" s="30">
        <v>0</v>
      </c>
      <c r="Q13" s="30">
        <v>0</v>
      </c>
      <c r="R13" s="30">
        <v>5</v>
      </c>
      <c r="S13" s="30">
        <v>2.2</v>
      </c>
      <c r="T13" s="30">
        <v>0.2</v>
      </c>
      <c r="U13" s="31">
        <v>0</v>
      </c>
      <c r="V13" s="67">
        <v>0</v>
      </c>
      <c r="W13" s="67">
        <f>5*2.2*2.5</f>
        <v>27.5</v>
      </c>
      <c r="X13" s="67">
        <f>5+MAX($X$2,0.2)*5*$X$1</f>
        <v>29</v>
      </c>
      <c r="Y13" s="67" t="s">
        <v>1821</v>
      </c>
      <c r="Z13" s="67" t="s">
        <v>1807</v>
      </c>
      <c r="AA13" s="97">
        <v>0.00925925925925926</v>
      </c>
      <c r="AB13" s="98" t="s">
        <v>1822</v>
      </c>
    </row>
    <row r="14" ht="132" spans="1:28">
      <c r="A14" s="29">
        <v>10001121</v>
      </c>
      <c r="B14" s="30">
        <v>2</v>
      </c>
      <c r="C14" s="63" t="s">
        <v>316</v>
      </c>
      <c r="D14" s="64" t="s">
        <v>1805</v>
      </c>
      <c r="E14" s="65">
        <v>0</v>
      </c>
      <c r="F14" s="65">
        <v>1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 t="s">
        <v>115</v>
      </c>
      <c r="M14" s="30">
        <v>0</v>
      </c>
      <c r="N14" s="30">
        <v>0</v>
      </c>
      <c r="O14" s="66">
        <v>0</v>
      </c>
      <c r="P14" s="30">
        <v>0</v>
      </c>
      <c r="Q14" s="30">
        <v>0</v>
      </c>
      <c r="R14" s="30">
        <v>3</v>
      </c>
      <c r="S14" s="30">
        <v>1.8</v>
      </c>
      <c r="T14" s="30">
        <v>0.2</v>
      </c>
      <c r="U14" s="31">
        <v>0</v>
      </c>
      <c r="V14" s="67">
        <v>0</v>
      </c>
      <c r="W14" s="67">
        <f>3*1.8*2.5</f>
        <v>13.5</v>
      </c>
      <c r="X14" s="67">
        <f>3+MAX($X$2,0.2)*3*$X$1</f>
        <v>17.4</v>
      </c>
      <c r="Y14" s="67" t="s">
        <v>1823</v>
      </c>
      <c r="Z14" s="67" t="s">
        <v>1807</v>
      </c>
      <c r="AB14" s="69" t="s">
        <v>1824</v>
      </c>
    </row>
    <row r="15" ht="39.6" spans="1:28">
      <c r="A15" s="29">
        <v>10001221</v>
      </c>
      <c r="B15" s="30">
        <v>2</v>
      </c>
      <c r="C15" s="63" t="s">
        <v>1825</v>
      </c>
      <c r="D15" s="64" t="s">
        <v>1805</v>
      </c>
      <c r="E15" s="65">
        <v>0</v>
      </c>
      <c r="F15" s="65">
        <v>2</v>
      </c>
      <c r="G15" s="30">
        <v>0</v>
      </c>
      <c r="H15" s="30">
        <v>0</v>
      </c>
      <c r="I15" s="30">
        <v>0</v>
      </c>
      <c r="J15" s="30">
        <v>0</v>
      </c>
      <c r="K15" s="30">
        <v>1</v>
      </c>
      <c r="L15" s="30" t="s">
        <v>115</v>
      </c>
      <c r="M15" s="30">
        <v>0</v>
      </c>
      <c r="N15" s="30">
        <v>0</v>
      </c>
      <c r="O15" s="66">
        <v>0</v>
      </c>
      <c r="P15" s="30">
        <v>0</v>
      </c>
      <c r="Q15" s="30">
        <v>0</v>
      </c>
      <c r="R15" s="30">
        <v>0</v>
      </c>
      <c r="S15" s="30">
        <v>1</v>
      </c>
      <c r="T15" s="30">
        <v>0</v>
      </c>
      <c r="U15" s="31">
        <v>0</v>
      </c>
      <c r="V15" s="67">
        <v>0</v>
      </c>
      <c r="W15" s="67">
        <f>0*1*2.5</f>
        <v>0</v>
      </c>
      <c r="X15" s="67">
        <v>0</v>
      </c>
      <c r="Z15" s="67" t="s">
        <v>1807</v>
      </c>
      <c r="AB15" s="69" t="s">
        <v>1826</v>
      </c>
    </row>
    <row r="16" ht="39.6" spans="1:28">
      <c r="A16" s="29">
        <v>10001321</v>
      </c>
      <c r="B16" s="30">
        <v>1</v>
      </c>
      <c r="C16" s="63" t="s">
        <v>824</v>
      </c>
      <c r="D16" s="64" t="s">
        <v>1805</v>
      </c>
      <c r="E16" s="65">
        <v>0</v>
      </c>
      <c r="F16" s="65">
        <v>2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 t="s">
        <v>115</v>
      </c>
      <c r="M16" s="30">
        <v>0</v>
      </c>
      <c r="N16" s="30">
        <v>0</v>
      </c>
      <c r="O16" s="66">
        <v>0</v>
      </c>
      <c r="P16" s="30">
        <v>0</v>
      </c>
      <c r="Q16" s="30">
        <v>0</v>
      </c>
      <c r="R16" s="30">
        <v>0</v>
      </c>
      <c r="S16" s="30">
        <v>1</v>
      </c>
      <c r="T16" s="30">
        <v>0</v>
      </c>
      <c r="U16" s="31">
        <v>0</v>
      </c>
      <c r="V16" s="67">
        <v>0</v>
      </c>
      <c r="W16" s="67">
        <f>0*1*2.5</f>
        <v>0</v>
      </c>
      <c r="X16" s="67">
        <v>0</v>
      </c>
      <c r="Z16" s="67" t="s">
        <v>1807</v>
      </c>
      <c r="AA16" s="97">
        <v>0.00289351851851852</v>
      </c>
      <c r="AB16" s="98" t="s">
        <v>1827</v>
      </c>
    </row>
    <row r="17" ht="66" spans="1:28">
      <c r="A17" s="29">
        <v>10001421</v>
      </c>
      <c r="B17" s="30">
        <v>1</v>
      </c>
      <c r="C17" s="63" t="s">
        <v>186</v>
      </c>
      <c r="D17" s="64" t="s">
        <v>1828</v>
      </c>
      <c r="E17" s="65">
        <v>0</v>
      </c>
      <c r="F17" s="65">
        <v>2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 t="s">
        <v>158</v>
      </c>
      <c r="M17" s="30">
        <v>0</v>
      </c>
      <c r="N17" s="30">
        <v>0</v>
      </c>
      <c r="O17" s="66">
        <v>0</v>
      </c>
      <c r="P17" s="30">
        <v>0</v>
      </c>
      <c r="Q17" s="30">
        <v>0</v>
      </c>
      <c r="R17" s="30">
        <v>0</v>
      </c>
      <c r="S17" s="30">
        <v>1</v>
      </c>
      <c r="T17" s="30">
        <v>0</v>
      </c>
      <c r="U17" s="31">
        <v>0</v>
      </c>
      <c r="V17" s="67">
        <v>0</v>
      </c>
      <c r="W17" s="67">
        <f>0*1*2.5</f>
        <v>0</v>
      </c>
      <c r="X17" s="67">
        <v>0</v>
      </c>
      <c r="Z17" s="67" t="s">
        <v>1829</v>
      </c>
      <c r="AB17" s="69" t="s">
        <v>1830</v>
      </c>
    </row>
    <row r="18" ht="39.6" spans="1:28">
      <c r="A18" s="29">
        <v>10001521</v>
      </c>
      <c r="B18" s="30">
        <v>3</v>
      </c>
      <c r="C18" s="63" t="s">
        <v>1831</v>
      </c>
      <c r="D18" s="64" t="s">
        <v>1828</v>
      </c>
      <c r="E18" s="65">
        <v>0</v>
      </c>
      <c r="F18" s="65">
        <v>4</v>
      </c>
      <c r="G18" s="30">
        <v>0</v>
      </c>
      <c r="H18" s="30">
        <v>0</v>
      </c>
      <c r="I18" s="30">
        <v>0</v>
      </c>
      <c r="J18" s="30">
        <v>0</v>
      </c>
      <c r="K18" s="30">
        <v>1</v>
      </c>
      <c r="L18" s="30" t="s">
        <v>158</v>
      </c>
      <c r="M18" s="30">
        <v>0</v>
      </c>
      <c r="N18" s="30">
        <v>0</v>
      </c>
      <c r="O18" s="66">
        <v>0</v>
      </c>
      <c r="P18" s="30">
        <v>0</v>
      </c>
      <c r="Q18" s="30">
        <v>0</v>
      </c>
      <c r="R18" s="30">
        <v>3</v>
      </c>
      <c r="S18" s="30">
        <v>1.2</v>
      </c>
      <c r="T18" s="30">
        <v>0.2</v>
      </c>
      <c r="U18" s="31">
        <v>0</v>
      </c>
      <c r="V18" s="67">
        <v>0</v>
      </c>
      <c r="W18" s="67">
        <f>3*1.2*2.5</f>
        <v>9</v>
      </c>
      <c r="X18" s="67">
        <f>3+MAX($X$2,0.2)*3*$X$1</f>
        <v>17.4</v>
      </c>
      <c r="Y18" s="67" t="s">
        <v>1811</v>
      </c>
      <c r="Z18" s="67" t="s">
        <v>1829</v>
      </c>
      <c r="AA18" s="97">
        <v>0.00810185185185185</v>
      </c>
      <c r="AB18" s="98" t="s">
        <v>1137</v>
      </c>
    </row>
    <row r="19" ht="66" spans="1:28">
      <c r="A19" s="29">
        <v>10001621</v>
      </c>
      <c r="B19" s="30">
        <v>4</v>
      </c>
      <c r="C19" s="63" t="s">
        <v>168</v>
      </c>
      <c r="D19" s="64" t="s">
        <v>1832</v>
      </c>
      <c r="E19" s="65">
        <v>0</v>
      </c>
      <c r="F19" s="65">
        <v>7</v>
      </c>
      <c r="G19" s="30">
        <v>0</v>
      </c>
      <c r="H19" s="30">
        <v>0</v>
      </c>
      <c r="I19" s="30">
        <v>0</v>
      </c>
      <c r="J19" s="30">
        <v>0</v>
      </c>
      <c r="K19" s="30">
        <v>1</v>
      </c>
      <c r="L19" s="30" t="s">
        <v>158</v>
      </c>
      <c r="M19" s="30">
        <v>0</v>
      </c>
      <c r="N19" s="30">
        <v>0</v>
      </c>
      <c r="O19" s="66">
        <v>0</v>
      </c>
      <c r="P19" s="30">
        <v>0</v>
      </c>
      <c r="Q19" s="30">
        <v>0</v>
      </c>
      <c r="R19" s="30">
        <v>3</v>
      </c>
      <c r="S19" s="30">
        <v>1.3</v>
      </c>
      <c r="T19" s="30">
        <v>0.2</v>
      </c>
      <c r="U19" s="31">
        <v>0</v>
      </c>
      <c r="V19" s="67">
        <v>0</v>
      </c>
      <c r="W19" s="67">
        <f>3*1.3*2.5</f>
        <v>9.75</v>
      </c>
      <c r="X19" s="67">
        <f>3+MAX($X$2,0.2)*3*$X$1</f>
        <v>17.4</v>
      </c>
      <c r="Y19" s="67" t="s">
        <v>1833</v>
      </c>
      <c r="Z19" s="67" t="s">
        <v>1834</v>
      </c>
      <c r="AA19" s="97">
        <v>0.0109953703703704</v>
      </c>
      <c r="AB19" s="98" t="s">
        <v>1835</v>
      </c>
    </row>
    <row r="20" ht="66" spans="1:28">
      <c r="A20" s="29">
        <v>10001721</v>
      </c>
      <c r="B20" s="30">
        <v>3</v>
      </c>
      <c r="C20" s="63" t="s">
        <v>710</v>
      </c>
      <c r="D20" s="64" t="s">
        <v>1828</v>
      </c>
      <c r="E20" s="65">
        <v>0</v>
      </c>
      <c r="F20" s="65">
        <v>5</v>
      </c>
      <c r="G20" s="30">
        <v>0</v>
      </c>
      <c r="H20" s="30">
        <v>0</v>
      </c>
      <c r="I20" s="30">
        <v>0</v>
      </c>
      <c r="J20" s="30">
        <v>0</v>
      </c>
      <c r="K20" s="30">
        <v>2</v>
      </c>
      <c r="L20" s="30" t="s">
        <v>158</v>
      </c>
      <c r="M20" s="30">
        <v>0</v>
      </c>
      <c r="N20" s="30">
        <v>0</v>
      </c>
      <c r="O20" s="66">
        <v>0</v>
      </c>
      <c r="P20" s="30">
        <v>0</v>
      </c>
      <c r="Q20" s="30">
        <v>0</v>
      </c>
      <c r="R20" s="30">
        <v>0</v>
      </c>
      <c r="S20" s="30">
        <v>1</v>
      </c>
      <c r="T20" s="30">
        <v>0</v>
      </c>
      <c r="U20" s="31">
        <v>0</v>
      </c>
      <c r="V20" s="67">
        <v>0</v>
      </c>
      <c r="W20" s="67">
        <f>0*1*2.5</f>
        <v>0</v>
      </c>
      <c r="X20" s="67">
        <v>0</v>
      </c>
      <c r="Z20" s="67" t="s">
        <v>1829</v>
      </c>
      <c r="AA20" s="97">
        <v>0.00810185185185185</v>
      </c>
      <c r="AB20" s="98" t="s">
        <v>1836</v>
      </c>
    </row>
    <row r="21" ht="92.4" spans="1:28">
      <c r="A21" s="29">
        <v>10001821</v>
      </c>
      <c r="B21" s="30">
        <v>4</v>
      </c>
      <c r="C21" s="63" t="s">
        <v>174</v>
      </c>
      <c r="D21" s="64" t="s">
        <v>1832</v>
      </c>
      <c r="E21" s="65">
        <v>0</v>
      </c>
      <c r="F21" s="65">
        <v>7</v>
      </c>
      <c r="G21" s="30">
        <v>0</v>
      </c>
      <c r="H21" s="30">
        <v>0</v>
      </c>
      <c r="I21" s="30">
        <v>0</v>
      </c>
      <c r="J21" s="30">
        <v>0</v>
      </c>
      <c r="K21" s="30">
        <v>3</v>
      </c>
      <c r="L21" s="30" t="s">
        <v>158</v>
      </c>
      <c r="M21" s="30">
        <v>0</v>
      </c>
      <c r="N21" s="30">
        <v>0</v>
      </c>
      <c r="O21" s="66">
        <v>0</v>
      </c>
      <c r="P21" s="30">
        <v>0</v>
      </c>
      <c r="Q21" s="30">
        <v>0</v>
      </c>
      <c r="R21" s="30">
        <v>0</v>
      </c>
      <c r="S21" s="30">
        <v>1</v>
      </c>
      <c r="T21" s="30">
        <v>0</v>
      </c>
      <c r="U21" s="31">
        <v>0</v>
      </c>
      <c r="V21" s="67">
        <v>0</v>
      </c>
      <c r="W21" s="67">
        <f>0*1*2.5</f>
        <v>0</v>
      </c>
      <c r="X21" s="67">
        <v>0</v>
      </c>
      <c r="Z21" s="67" t="s">
        <v>1834</v>
      </c>
      <c r="AA21" s="97">
        <v>0.0109953703703704</v>
      </c>
      <c r="AB21" s="98" t="s">
        <v>1837</v>
      </c>
    </row>
    <row r="22" ht="39.6" spans="1:28">
      <c r="A22" s="29">
        <v>10001921</v>
      </c>
      <c r="B22" s="30">
        <v>3</v>
      </c>
      <c r="C22" s="63" t="s">
        <v>1056</v>
      </c>
      <c r="D22" s="64" t="s">
        <v>1828</v>
      </c>
      <c r="E22" s="65">
        <v>0</v>
      </c>
      <c r="F22" s="65">
        <v>3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 t="s">
        <v>158</v>
      </c>
      <c r="M22" s="30">
        <v>0</v>
      </c>
      <c r="N22" s="30">
        <v>0</v>
      </c>
      <c r="O22" s="66">
        <v>0</v>
      </c>
      <c r="P22" s="30">
        <v>0</v>
      </c>
      <c r="Q22" s="30">
        <v>0</v>
      </c>
      <c r="R22" s="30">
        <v>5</v>
      </c>
      <c r="S22" s="30">
        <v>1.9</v>
      </c>
      <c r="T22" s="30">
        <v>0.2</v>
      </c>
      <c r="U22" s="31">
        <v>0</v>
      </c>
      <c r="V22" s="67">
        <v>0</v>
      </c>
      <c r="W22" s="67">
        <f>5*1.9*2.5</f>
        <v>23.75</v>
      </c>
      <c r="X22" s="67">
        <f>5+MAX($X$2,0.2)*5*$X$1</f>
        <v>29</v>
      </c>
      <c r="Y22" s="67" t="s">
        <v>1838</v>
      </c>
      <c r="Z22" s="67" t="s">
        <v>1829</v>
      </c>
      <c r="AB22" s="69" t="s">
        <v>1839</v>
      </c>
    </row>
    <row r="23" ht="66" spans="1:28">
      <c r="A23" s="29">
        <v>10002021</v>
      </c>
      <c r="B23" s="30">
        <v>2</v>
      </c>
      <c r="C23" s="63" t="s">
        <v>213</v>
      </c>
      <c r="D23" s="64" t="s">
        <v>1828</v>
      </c>
      <c r="E23" s="65">
        <v>0</v>
      </c>
      <c r="F23" s="65">
        <v>5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 t="s">
        <v>158</v>
      </c>
      <c r="M23" s="30">
        <v>0</v>
      </c>
      <c r="N23" s="30">
        <v>0</v>
      </c>
      <c r="O23" s="66">
        <v>0</v>
      </c>
      <c r="P23" s="30">
        <v>0</v>
      </c>
      <c r="Q23" s="30">
        <v>0</v>
      </c>
      <c r="R23" s="30">
        <v>1</v>
      </c>
      <c r="S23" s="30">
        <v>1.2</v>
      </c>
      <c r="T23" s="30">
        <v>0.2</v>
      </c>
      <c r="U23" s="31">
        <v>0</v>
      </c>
      <c r="V23" s="67">
        <v>0</v>
      </c>
      <c r="W23" s="67">
        <f>1*1.2*2.5</f>
        <v>3</v>
      </c>
      <c r="X23" s="67">
        <f>1+MAX($X$2,0.2)*1*$X$1</f>
        <v>5.8</v>
      </c>
      <c r="Y23" s="67" t="s">
        <v>1811</v>
      </c>
      <c r="Z23" s="67" t="s">
        <v>1829</v>
      </c>
      <c r="AA23" s="97">
        <v>0.00752314814814815</v>
      </c>
      <c r="AB23" s="98" t="s">
        <v>1840</v>
      </c>
    </row>
    <row r="24" ht="92.4" spans="1:28">
      <c r="A24" s="29">
        <v>10002121</v>
      </c>
      <c r="B24" s="30">
        <v>2</v>
      </c>
      <c r="C24" s="63" t="s">
        <v>229</v>
      </c>
      <c r="D24" s="64" t="s">
        <v>1828</v>
      </c>
      <c r="E24" s="65">
        <v>0</v>
      </c>
      <c r="F24" s="65">
        <v>6</v>
      </c>
      <c r="G24" s="30">
        <v>0</v>
      </c>
      <c r="H24" s="30">
        <v>0</v>
      </c>
      <c r="I24" s="30">
        <v>0</v>
      </c>
      <c r="J24" s="30">
        <v>0</v>
      </c>
      <c r="K24" s="30">
        <v>1</v>
      </c>
      <c r="L24" s="30" t="s">
        <v>158</v>
      </c>
      <c r="M24" s="30">
        <v>0</v>
      </c>
      <c r="N24" s="30">
        <v>0</v>
      </c>
      <c r="O24" s="66">
        <v>0</v>
      </c>
      <c r="P24" s="30">
        <v>0</v>
      </c>
      <c r="Q24" s="30">
        <v>0</v>
      </c>
      <c r="R24" s="30">
        <v>0</v>
      </c>
      <c r="S24" s="30">
        <v>1</v>
      </c>
      <c r="T24" s="30">
        <v>0</v>
      </c>
      <c r="U24" s="31">
        <v>0</v>
      </c>
      <c r="V24" s="67">
        <v>0</v>
      </c>
      <c r="W24" s="67">
        <f>0*1*2.5</f>
        <v>0</v>
      </c>
      <c r="X24" s="67">
        <v>0</v>
      </c>
      <c r="Z24" s="67" t="s">
        <v>1829</v>
      </c>
      <c r="AA24" s="97">
        <v>0.00636574074074074</v>
      </c>
      <c r="AB24" s="98" t="s">
        <v>1841</v>
      </c>
    </row>
    <row r="25" ht="145.2" spans="1:28">
      <c r="A25" s="29">
        <v>10002221</v>
      </c>
      <c r="B25" s="30">
        <v>4</v>
      </c>
      <c r="C25" s="63" t="s">
        <v>179</v>
      </c>
      <c r="D25" s="64" t="s">
        <v>1832</v>
      </c>
      <c r="E25" s="65">
        <v>0</v>
      </c>
      <c r="F25" s="65">
        <v>8</v>
      </c>
      <c r="G25" s="30">
        <v>0</v>
      </c>
      <c r="H25" s="30">
        <v>0</v>
      </c>
      <c r="I25" s="30">
        <v>0</v>
      </c>
      <c r="J25" s="30">
        <v>0</v>
      </c>
      <c r="K25" s="30">
        <v>2</v>
      </c>
      <c r="L25" s="30" t="s">
        <v>158</v>
      </c>
      <c r="M25" s="30">
        <v>0</v>
      </c>
      <c r="N25" s="30">
        <v>0</v>
      </c>
      <c r="O25" s="66">
        <v>0</v>
      </c>
      <c r="P25" s="30">
        <v>0</v>
      </c>
      <c r="Q25" s="30">
        <v>0</v>
      </c>
      <c r="R25" s="30">
        <v>0</v>
      </c>
      <c r="S25" s="30">
        <v>1</v>
      </c>
      <c r="T25" s="30">
        <v>0</v>
      </c>
      <c r="U25" s="31">
        <v>0</v>
      </c>
      <c r="V25" s="67">
        <v>0</v>
      </c>
      <c r="W25" s="67">
        <f>0*1*2.5</f>
        <v>0</v>
      </c>
      <c r="X25" s="67">
        <v>0</v>
      </c>
      <c r="Z25" s="67" t="s">
        <v>1834</v>
      </c>
      <c r="AA25" s="97">
        <v>0.0109953703703704</v>
      </c>
      <c r="AB25" s="98" t="s">
        <v>1842</v>
      </c>
    </row>
    <row r="26" ht="39.6" spans="1:28">
      <c r="A26" s="29">
        <v>10002321</v>
      </c>
      <c r="B26" s="30">
        <v>1</v>
      </c>
      <c r="C26" s="63" t="s">
        <v>235</v>
      </c>
      <c r="D26" s="64" t="s">
        <v>1828</v>
      </c>
      <c r="E26" s="65">
        <v>0</v>
      </c>
      <c r="F26" s="65">
        <v>3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 t="s">
        <v>158</v>
      </c>
      <c r="M26" s="30">
        <v>0</v>
      </c>
      <c r="N26" s="30">
        <v>0</v>
      </c>
      <c r="O26" s="66">
        <v>0</v>
      </c>
      <c r="P26" s="30">
        <v>0</v>
      </c>
      <c r="Q26" s="30">
        <v>0</v>
      </c>
      <c r="R26" s="30">
        <v>0</v>
      </c>
      <c r="S26" s="30">
        <v>1</v>
      </c>
      <c r="T26" s="30">
        <v>0</v>
      </c>
      <c r="U26" s="31">
        <v>0</v>
      </c>
      <c r="V26" s="67">
        <v>0</v>
      </c>
      <c r="W26" s="67">
        <f>0*1*2.5</f>
        <v>0</v>
      </c>
      <c r="X26" s="67">
        <v>0</v>
      </c>
      <c r="Z26" s="67" t="s">
        <v>1829</v>
      </c>
      <c r="AA26" s="97">
        <v>0.00347222222222222</v>
      </c>
      <c r="AB26" s="98" t="s">
        <v>1843</v>
      </c>
    </row>
    <row r="27" ht="39.6" spans="1:28">
      <c r="A27" s="29">
        <v>10002421</v>
      </c>
      <c r="B27" s="30">
        <v>2</v>
      </c>
      <c r="C27" s="63" t="s">
        <v>1844</v>
      </c>
      <c r="D27" s="64" t="s">
        <v>1845</v>
      </c>
      <c r="E27" s="65">
        <v>0</v>
      </c>
      <c r="F27" s="65">
        <v>15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 t="s">
        <v>52</v>
      </c>
      <c r="M27" s="30">
        <v>0</v>
      </c>
      <c r="N27" s="30">
        <v>0</v>
      </c>
      <c r="O27" s="66">
        <v>0</v>
      </c>
      <c r="P27" s="30">
        <v>0</v>
      </c>
      <c r="Q27" s="30">
        <v>0</v>
      </c>
      <c r="R27" s="30">
        <v>4</v>
      </c>
      <c r="S27" s="30">
        <v>1</v>
      </c>
      <c r="T27" s="30">
        <v>0.2</v>
      </c>
      <c r="U27" s="31">
        <v>0</v>
      </c>
      <c r="V27" s="67">
        <v>0</v>
      </c>
      <c r="W27" s="67">
        <f>4*1*2.5</f>
        <v>10</v>
      </c>
      <c r="X27" s="67">
        <f>4+MAX($X$2,0.2)*4*$X$1</f>
        <v>23.2</v>
      </c>
      <c r="Y27" s="67" t="s">
        <v>1806</v>
      </c>
      <c r="Z27" s="67" t="s">
        <v>1846</v>
      </c>
      <c r="AA27" s="97">
        <v>0.0179398148148148</v>
      </c>
      <c r="AB27" s="98" t="s">
        <v>1847</v>
      </c>
    </row>
    <row r="28" ht="26.4" spans="1:28">
      <c r="A28" s="29">
        <v>10002521</v>
      </c>
      <c r="B28" s="30">
        <v>4</v>
      </c>
      <c r="C28" s="63" t="s">
        <v>1848</v>
      </c>
      <c r="D28" s="64" t="s">
        <v>1845</v>
      </c>
      <c r="E28" s="65">
        <v>0</v>
      </c>
      <c r="F28" s="65">
        <v>20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 t="s">
        <v>52</v>
      </c>
      <c r="M28" s="30">
        <v>0</v>
      </c>
      <c r="N28" s="30">
        <v>0</v>
      </c>
      <c r="O28" s="66">
        <v>0</v>
      </c>
      <c r="P28" s="30">
        <v>0</v>
      </c>
      <c r="Q28" s="30">
        <v>0</v>
      </c>
      <c r="R28" s="30">
        <v>6</v>
      </c>
      <c r="S28" s="30">
        <v>1</v>
      </c>
      <c r="T28" s="30">
        <v>0.2</v>
      </c>
      <c r="U28" s="31">
        <v>0</v>
      </c>
      <c r="V28" s="67">
        <v>0</v>
      </c>
      <c r="W28" s="67">
        <f>6*1*2.5</f>
        <v>15</v>
      </c>
      <c r="X28" s="67">
        <f>6+MAX($X$2,0.2)*6*$X$1</f>
        <v>34.8</v>
      </c>
      <c r="Y28" s="67" t="s">
        <v>1806</v>
      </c>
      <c r="Z28" s="67" t="s">
        <v>1846</v>
      </c>
      <c r="AA28" s="97">
        <v>0.025462962962963</v>
      </c>
      <c r="AB28" s="98" t="s">
        <v>1849</v>
      </c>
    </row>
    <row r="29" ht="26.4" spans="1:29">
      <c r="A29" s="29">
        <v>10002621</v>
      </c>
      <c r="B29" s="30">
        <v>6</v>
      </c>
      <c r="C29" s="63" t="s">
        <v>1850</v>
      </c>
      <c r="D29" s="64" t="s">
        <v>1845</v>
      </c>
      <c r="E29" s="65">
        <v>0</v>
      </c>
      <c r="F29" s="65">
        <v>30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 t="s">
        <v>1022</v>
      </c>
      <c r="M29" s="30">
        <v>0</v>
      </c>
      <c r="N29" s="30">
        <v>0</v>
      </c>
      <c r="O29" s="66">
        <v>0</v>
      </c>
      <c r="P29" s="30">
        <v>0</v>
      </c>
      <c r="Q29" s="30">
        <v>0</v>
      </c>
      <c r="R29" s="30">
        <v>8</v>
      </c>
      <c r="S29" s="30">
        <v>1</v>
      </c>
      <c r="T29" s="30">
        <v>0.25</v>
      </c>
      <c r="U29" s="31">
        <v>0</v>
      </c>
      <c r="V29" s="67">
        <v>0</v>
      </c>
      <c r="W29" s="67">
        <f>8*1*2.5</f>
        <v>20</v>
      </c>
      <c r="X29" s="67">
        <f>8+MAX($X$2,0.25)*8*$X$1</f>
        <v>46.4</v>
      </c>
      <c r="Y29" s="67" t="s">
        <v>1851</v>
      </c>
      <c r="Z29" s="67" t="s">
        <v>1846</v>
      </c>
      <c r="AC29" s="69" t="s">
        <v>1852</v>
      </c>
    </row>
    <row r="30" ht="52.8" spans="1:28">
      <c r="A30" s="29">
        <v>10002721</v>
      </c>
      <c r="B30" s="30">
        <v>2</v>
      </c>
      <c r="C30" s="63" t="s">
        <v>376</v>
      </c>
      <c r="D30" s="64" t="s">
        <v>1845</v>
      </c>
      <c r="E30" s="65">
        <v>0</v>
      </c>
      <c r="F30" s="65">
        <v>11</v>
      </c>
      <c r="G30" s="30">
        <v>0</v>
      </c>
      <c r="H30" s="30">
        <v>0</v>
      </c>
      <c r="I30" s="30">
        <v>0</v>
      </c>
      <c r="J30" s="30">
        <v>0</v>
      </c>
      <c r="K30" s="30">
        <v>3</v>
      </c>
      <c r="L30" s="30" t="s">
        <v>52</v>
      </c>
      <c r="M30" s="30">
        <v>0</v>
      </c>
      <c r="N30" s="30">
        <v>0</v>
      </c>
      <c r="O30" s="66">
        <v>0</v>
      </c>
      <c r="P30" s="30">
        <v>0</v>
      </c>
      <c r="Q30" s="30">
        <v>0</v>
      </c>
      <c r="R30" s="30">
        <v>0</v>
      </c>
      <c r="S30" s="30">
        <v>1</v>
      </c>
      <c r="T30" s="30">
        <v>0</v>
      </c>
      <c r="U30" s="31">
        <v>0</v>
      </c>
      <c r="V30" s="67">
        <v>0</v>
      </c>
      <c r="W30" s="67">
        <f t="shared" ref="W30:W35" si="0">0*1*2.5</f>
        <v>0</v>
      </c>
      <c r="X30" s="67">
        <v>0</v>
      </c>
      <c r="Z30" s="67" t="s">
        <v>1846</v>
      </c>
      <c r="AA30" s="97">
        <v>0.0150462962962963</v>
      </c>
      <c r="AB30" s="98" t="s">
        <v>1853</v>
      </c>
    </row>
    <row r="31" ht="26.4" spans="1:28">
      <c r="A31" s="29">
        <v>10002821</v>
      </c>
      <c r="B31" s="30">
        <v>4</v>
      </c>
      <c r="C31" s="63" t="s">
        <v>1854</v>
      </c>
      <c r="D31" s="64" t="s">
        <v>1845</v>
      </c>
      <c r="E31" s="65">
        <v>0</v>
      </c>
      <c r="F31" s="65">
        <v>18</v>
      </c>
      <c r="G31" s="30">
        <v>0</v>
      </c>
      <c r="H31" s="30">
        <v>0</v>
      </c>
      <c r="I31" s="30">
        <v>0</v>
      </c>
      <c r="J31" s="30">
        <v>0</v>
      </c>
      <c r="K31" s="30">
        <v>4</v>
      </c>
      <c r="L31" s="30" t="s">
        <v>52</v>
      </c>
      <c r="M31" s="30">
        <v>0</v>
      </c>
      <c r="N31" s="30">
        <v>0</v>
      </c>
      <c r="O31" s="66">
        <v>0</v>
      </c>
      <c r="P31" s="30">
        <v>0</v>
      </c>
      <c r="Q31" s="30">
        <v>0</v>
      </c>
      <c r="R31" s="30">
        <v>0</v>
      </c>
      <c r="S31" s="30">
        <v>1</v>
      </c>
      <c r="T31" s="30">
        <v>0</v>
      </c>
      <c r="U31" s="31">
        <v>0</v>
      </c>
      <c r="V31" s="67">
        <v>0</v>
      </c>
      <c r="W31" s="67">
        <f t="shared" si="0"/>
        <v>0</v>
      </c>
      <c r="X31" s="67">
        <v>0</v>
      </c>
      <c r="Z31" s="67" t="s">
        <v>1846</v>
      </c>
      <c r="AA31" s="97">
        <v>0.0237268518518518</v>
      </c>
      <c r="AB31" s="98" t="s">
        <v>1855</v>
      </c>
    </row>
    <row r="32" ht="26.4" spans="1:28">
      <c r="A32" s="29">
        <v>10002921</v>
      </c>
      <c r="B32" s="30">
        <v>6</v>
      </c>
      <c r="C32" s="63" t="s">
        <v>1856</v>
      </c>
      <c r="D32" s="64" t="s">
        <v>1845</v>
      </c>
      <c r="E32" s="65">
        <v>0</v>
      </c>
      <c r="F32" s="65">
        <v>21</v>
      </c>
      <c r="G32" s="30">
        <v>0</v>
      </c>
      <c r="H32" s="30">
        <v>0</v>
      </c>
      <c r="I32" s="30">
        <v>0</v>
      </c>
      <c r="J32" s="30">
        <v>0</v>
      </c>
      <c r="K32" s="30">
        <v>6</v>
      </c>
      <c r="L32" s="30" t="s">
        <v>1022</v>
      </c>
      <c r="M32" s="30">
        <v>0</v>
      </c>
      <c r="N32" s="30">
        <v>0</v>
      </c>
      <c r="O32" s="66">
        <v>0</v>
      </c>
      <c r="P32" s="30">
        <v>0</v>
      </c>
      <c r="Q32" s="30">
        <v>0</v>
      </c>
      <c r="R32" s="30">
        <v>0</v>
      </c>
      <c r="S32" s="30">
        <v>1</v>
      </c>
      <c r="T32" s="30">
        <v>0</v>
      </c>
      <c r="U32" s="31">
        <v>0</v>
      </c>
      <c r="V32" s="67">
        <v>0</v>
      </c>
      <c r="W32" s="67">
        <f t="shared" si="0"/>
        <v>0</v>
      </c>
      <c r="X32" s="67">
        <v>0</v>
      </c>
      <c r="Z32" s="67" t="s">
        <v>1846</v>
      </c>
      <c r="AB32" s="69" t="s">
        <v>1857</v>
      </c>
    </row>
    <row r="33" ht="92.4" spans="1:28">
      <c r="A33" s="29">
        <v>10003021</v>
      </c>
      <c r="B33" s="30">
        <v>2</v>
      </c>
      <c r="C33" s="63" t="s">
        <v>242</v>
      </c>
      <c r="D33" s="64" t="s">
        <v>1845</v>
      </c>
      <c r="E33" s="65">
        <v>0</v>
      </c>
      <c r="F33" s="65">
        <v>17</v>
      </c>
      <c r="G33" s="30">
        <v>0</v>
      </c>
      <c r="H33" s="30">
        <v>0</v>
      </c>
      <c r="I33" s="30">
        <v>0</v>
      </c>
      <c r="J33" s="30">
        <v>0</v>
      </c>
      <c r="K33" s="30">
        <v>1</v>
      </c>
      <c r="L33" s="30" t="s">
        <v>52</v>
      </c>
      <c r="M33" s="30">
        <v>0</v>
      </c>
      <c r="N33" s="30">
        <v>0</v>
      </c>
      <c r="O33" s="66">
        <v>0</v>
      </c>
      <c r="P33" s="30">
        <v>0</v>
      </c>
      <c r="Q33" s="30">
        <v>0</v>
      </c>
      <c r="R33" s="30">
        <v>0</v>
      </c>
      <c r="S33" s="30">
        <v>1</v>
      </c>
      <c r="T33" s="30">
        <v>0</v>
      </c>
      <c r="U33" s="31">
        <v>0</v>
      </c>
      <c r="V33" s="67">
        <v>0</v>
      </c>
      <c r="W33" s="67">
        <f t="shared" si="0"/>
        <v>0</v>
      </c>
      <c r="X33" s="67">
        <v>0</v>
      </c>
      <c r="Z33" s="67" t="s">
        <v>1846</v>
      </c>
      <c r="AA33" s="97">
        <v>0.0201388888888889</v>
      </c>
      <c r="AB33" s="98" t="s">
        <v>1858</v>
      </c>
    </row>
    <row r="34" ht="52.8" spans="1:28">
      <c r="A34" s="29">
        <v>10003121</v>
      </c>
      <c r="B34" s="30">
        <v>3</v>
      </c>
      <c r="C34" s="63" t="s">
        <v>1859</v>
      </c>
      <c r="D34" s="64" t="s">
        <v>1845</v>
      </c>
      <c r="E34" s="65">
        <v>0</v>
      </c>
      <c r="F34" s="65">
        <v>23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 t="s">
        <v>52</v>
      </c>
      <c r="M34" s="30">
        <v>0</v>
      </c>
      <c r="N34" s="30">
        <v>0</v>
      </c>
      <c r="O34" s="66">
        <v>0</v>
      </c>
      <c r="P34" s="30">
        <v>0</v>
      </c>
      <c r="Q34" s="30">
        <v>0</v>
      </c>
      <c r="R34" s="30">
        <v>0</v>
      </c>
      <c r="S34" s="30">
        <v>1</v>
      </c>
      <c r="T34" s="30">
        <v>0</v>
      </c>
      <c r="U34" s="31">
        <v>0</v>
      </c>
      <c r="V34" s="67">
        <v>0</v>
      </c>
      <c r="W34" s="67">
        <f t="shared" si="0"/>
        <v>0</v>
      </c>
      <c r="X34" s="67">
        <v>0</v>
      </c>
      <c r="Z34" s="67" t="s">
        <v>1846</v>
      </c>
      <c r="AA34" s="97">
        <v>0.0248842592592593</v>
      </c>
      <c r="AB34" s="98" t="s">
        <v>1860</v>
      </c>
    </row>
    <row r="35" ht="39.6" spans="1:28">
      <c r="A35" s="29">
        <v>10003221</v>
      </c>
      <c r="B35" s="30">
        <v>4</v>
      </c>
      <c r="C35" s="63" t="s">
        <v>1861</v>
      </c>
      <c r="D35" s="64" t="s">
        <v>1845</v>
      </c>
      <c r="E35" s="65">
        <v>0</v>
      </c>
      <c r="F35" s="65">
        <v>19</v>
      </c>
      <c r="G35" s="30">
        <v>0</v>
      </c>
      <c r="H35" s="30">
        <v>0</v>
      </c>
      <c r="I35" s="30">
        <v>0</v>
      </c>
      <c r="J35" s="30">
        <v>0</v>
      </c>
      <c r="K35" s="30">
        <v>1</v>
      </c>
      <c r="L35" s="30" t="s">
        <v>52</v>
      </c>
      <c r="M35" s="30">
        <v>0</v>
      </c>
      <c r="N35" s="30">
        <v>0</v>
      </c>
      <c r="O35" s="66">
        <v>0</v>
      </c>
      <c r="P35" s="30">
        <v>0</v>
      </c>
      <c r="Q35" s="30">
        <v>0</v>
      </c>
      <c r="R35" s="30">
        <v>0</v>
      </c>
      <c r="S35" s="30">
        <v>1</v>
      </c>
      <c r="T35" s="30">
        <v>0</v>
      </c>
      <c r="U35" s="31">
        <v>0</v>
      </c>
      <c r="V35" s="67">
        <v>0</v>
      </c>
      <c r="W35" s="67">
        <f t="shared" si="0"/>
        <v>0</v>
      </c>
      <c r="X35" s="67">
        <v>0</v>
      </c>
      <c r="Z35" s="67" t="s">
        <v>1846</v>
      </c>
      <c r="AA35" s="97">
        <v>0.0225694444444444</v>
      </c>
      <c r="AB35" s="98" t="s">
        <v>1862</v>
      </c>
    </row>
    <row r="36" ht="26.4" spans="1:28">
      <c r="A36" s="29">
        <v>10003321</v>
      </c>
      <c r="B36" s="30">
        <v>4</v>
      </c>
      <c r="C36" s="63" t="s">
        <v>1863</v>
      </c>
      <c r="D36" s="64" t="s">
        <v>1845</v>
      </c>
      <c r="E36" s="65">
        <v>0</v>
      </c>
      <c r="F36" s="65">
        <v>14</v>
      </c>
      <c r="G36" s="30">
        <v>0</v>
      </c>
      <c r="H36" s="30">
        <v>0</v>
      </c>
      <c r="I36" s="30">
        <v>0</v>
      </c>
      <c r="J36" s="30">
        <v>0</v>
      </c>
      <c r="K36" s="30">
        <v>2</v>
      </c>
      <c r="L36" s="30" t="s">
        <v>52</v>
      </c>
      <c r="M36" s="30">
        <v>0</v>
      </c>
      <c r="N36" s="30">
        <v>0</v>
      </c>
      <c r="O36" s="66">
        <v>0</v>
      </c>
      <c r="P36" s="30">
        <v>0</v>
      </c>
      <c r="Q36" s="30">
        <v>0</v>
      </c>
      <c r="R36" s="30">
        <v>5</v>
      </c>
      <c r="S36" s="30">
        <v>1</v>
      </c>
      <c r="T36" s="30">
        <v>0.2</v>
      </c>
      <c r="U36" s="31">
        <v>0</v>
      </c>
      <c r="V36" s="67">
        <v>0</v>
      </c>
      <c r="W36" s="67">
        <f>5*1*2.5</f>
        <v>12.5</v>
      </c>
      <c r="X36" s="67">
        <f>5+MAX($X$2,0.2)*5*$X$1</f>
        <v>29</v>
      </c>
      <c r="Y36" s="67" t="s">
        <v>1806</v>
      </c>
      <c r="Z36" s="67" t="s">
        <v>1846</v>
      </c>
      <c r="AA36" s="97">
        <v>0.0196759259259259</v>
      </c>
      <c r="AB36" s="98" t="s">
        <v>1864</v>
      </c>
    </row>
    <row r="37" ht="66" spans="1:28">
      <c r="A37" s="29">
        <v>10003421</v>
      </c>
      <c r="B37" s="30">
        <v>1</v>
      </c>
      <c r="C37" s="63" t="s">
        <v>355</v>
      </c>
      <c r="D37" s="64" t="s">
        <v>1845</v>
      </c>
      <c r="E37" s="65">
        <v>0</v>
      </c>
      <c r="F37" s="65">
        <v>16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 t="s">
        <v>52</v>
      </c>
      <c r="M37" s="30">
        <v>0</v>
      </c>
      <c r="N37" s="30">
        <v>0</v>
      </c>
      <c r="O37" s="66">
        <v>0</v>
      </c>
      <c r="P37" s="30">
        <v>0</v>
      </c>
      <c r="Q37" s="30">
        <v>0</v>
      </c>
      <c r="R37" s="30">
        <v>0</v>
      </c>
      <c r="S37" s="30">
        <v>1</v>
      </c>
      <c r="T37" s="30">
        <v>0</v>
      </c>
      <c r="U37" s="31">
        <v>0</v>
      </c>
      <c r="V37" s="67">
        <v>0</v>
      </c>
      <c r="W37" s="67">
        <f>0*1*2.5</f>
        <v>0</v>
      </c>
      <c r="X37" s="67">
        <v>0</v>
      </c>
      <c r="Z37" s="67" t="s">
        <v>1846</v>
      </c>
      <c r="AA37" s="97">
        <v>0.0162037037037037</v>
      </c>
      <c r="AB37" s="98" t="s">
        <v>1865</v>
      </c>
    </row>
    <row r="38" ht="66" spans="1:28">
      <c r="A38" s="29">
        <v>10003521</v>
      </c>
      <c r="B38" s="30">
        <v>5</v>
      </c>
      <c r="C38" s="63" t="s">
        <v>1866</v>
      </c>
      <c r="D38" s="64" t="s">
        <v>1845</v>
      </c>
      <c r="E38" s="65">
        <v>0</v>
      </c>
      <c r="F38" s="65">
        <v>24</v>
      </c>
      <c r="G38" s="30">
        <v>0</v>
      </c>
      <c r="H38" s="30">
        <v>0</v>
      </c>
      <c r="I38" s="30">
        <v>0</v>
      </c>
      <c r="J38" s="30">
        <v>0</v>
      </c>
      <c r="K38" s="30">
        <v>2</v>
      </c>
      <c r="L38" s="30" t="s">
        <v>52</v>
      </c>
      <c r="M38" s="30">
        <v>0</v>
      </c>
      <c r="N38" s="30">
        <v>0</v>
      </c>
      <c r="O38" s="66">
        <v>0</v>
      </c>
      <c r="P38" s="30">
        <v>0</v>
      </c>
      <c r="Q38" s="30">
        <v>0</v>
      </c>
      <c r="R38" s="30">
        <v>0</v>
      </c>
      <c r="S38" s="30">
        <v>1</v>
      </c>
      <c r="T38" s="30">
        <v>0</v>
      </c>
      <c r="U38" s="31">
        <v>0</v>
      </c>
      <c r="V38" s="67">
        <v>0</v>
      </c>
      <c r="W38" s="67">
        <f>0*1*2.5</f>
        <v>0</v>
      </c>
      <c r="X38" s="67">
        <v>0</v>
      </c>
      <c r="Z38" s="67" t="s">
        <v>1846</v>
      </c>
      <c r="AA38" s="97">
        <v>0.0283564814814815</v>
      </c>
      <c r="AB38" s="98" t="s">
        <v>1867</v>
      </c>
    </row>
    <row r="39" ht="39.6" spans="1:29">
      <c r="A39" s="29">
        <v>10003621</v>
      </c>
      <c r="B39" s="30">
        <v>6</v>
      </c>
      <c r="C39" s="63" t="s">
        <v>1868</v>
      </c>
      <c r="D39" s="64" t="s">
        <v>1845</v>
      </c>
      <c r="E39" s="65">
        <v>0</v>
      </c>
      <c r="F39" s="65">
        <v>27</v>
      </c>
      <c r="G39" s="30">
        <v>0</v>
      </c>
      <c r="H39" s="30">
        <v>0</v>
      </c>
      <c r="I39" s="30">
        <v>0</v>
      </c>
      <c r="J39" s="30">
        <v>0</v>
      </c>
      <c r="K39" s="30">
        <v>3</v>
      </c>
      <c r="L39" s="30" t="s">
        <v>1022</v>
      </c>
      <c r="M39" s="30">
        <v>0</v>
      </c>
      <c r="N39" s="30">
        <v>0</v>
      </c>
      <c r="O39" s="66">
        <v>0</v>
      </c>
      <c r="P39" s="30">
        <v>0</v>
      </c>
      <c r="Q39" s="30">
        <v>0</v>
      </c>
      <c r="R39" s="30">
        <v>0</v>
      </c>
      <c r="S39" s="30">
        <v>1</v>
      </c>
      <c r="T39" s="30">
        <v>0</v>
      </c>
      <c r="U39" s="31">
        <v>0</v>
      </c>
      <c r="V39" s="67">
        <v>0</v>
      </c>
      <c r="W39" s="67">
        <f>0*1*2.5</f>
        <v>0</v>
      </c>
      <c r="X39" s="67">
        <v>0</v>
      </c>
      <c r="Z39" s="67" t="s">
        <v>1846</v>
      </c>
      <c r="AC39" s="69" t="s">
        <v>1869</v>
      </c>
    </row>
    <row r="40" ht="26.4" spans="1:28">
      <c r="A40" s="29">
        <v>10003721</v>
      </c>
      <c r="B40" s="30">
        <v>2</v>
      </c>
      <c r="C40" s="63" t="s">
        <v>605</v>
      </c>
      <c r="D40" s="64" t="s">
        <v>1845</v>
      </c>
      <c r="E40" s="65">
        <v>0</v>
      </c>
      <c r="F40" s="65">
        <v>12</v>
      </c>
      <c r="G40" s="30">
        <v>0</v>
      </c>
      <c r="H40" s="30">
        <v>0</v>
      </c>
      <c r="I40" s="30">
        <v>0</v>
      </c>
      <c r="J40" s="30">
        <v>0</v>
      </c>
      <c r="K40" s="30">
        <v>3</v>
      </c>
      <c r="L40" s="30" t="s">
        <v>52</v>
      </c>
      <c r="M40" s="30">
        <v>0</v>
      </c>
      <c r="N40" s="30">
        <v>0</v>
      </c>
      <c r="O40" s="66">
        <v>0</v>
      </c>
      <c r="P40" s="30">
        <v>0</v>
      </c>
      <c r="Q40" s="30">
        <v>0</v>
      </c>
      <c r="R40" s="30">
        <v>0</v>
      </c>
      <c r="S40" s="30">
        <v>1</v>
      </c>
      <c r="T40" s="30">
        <v>0</v>
      </c>
      <c r="U40" s="31">
        <v>0</v>
      </c>
      <c r="V40" s="67">
        <v>0</v>
      </c>
      <c r="W40" s="67">
        <f>0*1*2.5</f>
        <v>0</v>
      </c>
      <c r="X40" s="67">
        <v>0</v>
      </c>
      <c r="Z40" s="67" t="s">
        <v>1846</v>
      </c>
      <c r="AA40" s="97">
        <v>0.0162037037037037</v>
      </c>
      <c r="AB40" s="98" t="s">
        <v>1870</v>
      </c>
    </row>
    <row r="41" ht="39.6" spans="1:28">
      <c r="A41" s="29">
        <v>10003821</v>
      </c>
      <c r="B41" s="30">
        <v>1</v>
      </c>
      <c r="C41" s="63" t="s">
        <v>1871</v>
      </c>
      <c r="D41" s="64" t="s">
        <v>1872</v>
      </c>
      <c r="E41" s="65">
        <v>0</v>
      </c>
      <c r="F41" s="65">
        <v>2</v>
      </c>
      <c r="G41" s="30">
        <v>0</v>
      </c>
      <c r="H41" s="30">
        <v>0</v>
      </c>
      <c r="I41" s="30">
        <v>0</v>
      </c>
      <c r="J41" s="30">
        <v>0</v>
      </c>
      <c r="K41" s="30">
        <v>1</v>
      </c>
      <c r="L41" s="30" t="s">
        <v>158</v>
      </c>
      <c r="M41" s="30">
        <v>0</v>
      </c>
      <c r="N41" s="30">
        <v>0</v>
      </c>
      <c r="O41" s="66">
        <v>0</v>
      </c>
      <c r="P41" s="30">
        <v>0</v>
      </c>
      <c r="Q41" s="30">
        <v>0</v>
      </c>
      <c r="R41" s="30">
        <v>1</v>
      </c>
      <c r="S41" s="30">
        <v>1</v>
      </c>
      <c r="T41" s="30">
        <v>0</v>
      </c>
      <c r="U41" s="31">
        <v>0</v>
      </c>
      <c r="V41" s="67">
        <v>0</v>
      </c>
      <c r="W41" s="67">
        <f>1*1*2.5</f>
        <v>2.5</v>
      </c>
      <c r="X41" s="67">
        <v>1</v>
      </c>
      <c r="Z41" s="67" t="s">
        <v>1873</v>
      </c>
      <c r="AA41" s="97">
        <v>0.00405092592592593</v>
      </c>
      <c r="AB41" s="98" t="s">
        <v>1874</v>
      </c>
    </row>
    <row r="42" ht="52.8" spans="1:28">
      <c r="A42" s="29">
        <v>10003921</v>
      </c>
      <c r="B42" s="30">
        <v>2</v>
      </c>
      <c r="C42" s="63" t="s">
        <v>1875</v>
      </c>
      <c r="D42" s="64" t="s">
        <v>1872</v>
      </c>
      <c r="E42" s="65">
        <v>0</v>
      </c>
      <c r="F42" s="65">
        <v>2</v>
      </c>
      <c r="G42" s="30">
        <v>0</v>
      </c>
      <c r="H42" s="30">
        <v>0</v>
      </c>
      <c r="I42" s="30">
        <v>0</v>
      </c>
      <c r="J42" s="30">
        <v>0</v>
      </c>
      <c r="K42" s="30">
        <v>1</v>
      </c>
      <c r="L42" s="30" t="s">
        <v>115</v>
      </c>
      <c r="M42" s="30">
        <v>0</v>
      </c>
      <c r="N42" s="30">
        <v>0</v>
      </c>
      <c r="O42" s="66">
        <v>0</v>
      </c>
      <c r="P42" s="30">
        <v>0</v>
      </c>
      <c r="Q42" s="30">
        <v>0</v>
      </c>
      <c r="R42" s="30">
        <v>4</v>
      </c>
      <c r="S42" s="30">
        <v>1.7</v>
      </c>
      <c r="T42" s="30">
        <v>0.2</v>
      </c>
      <c r="U42" s="31">
        <v>0</v>
      </c>
      <c r="V42" s="67">
        <v>0</v>
      </c>
      <c r="W42" s="67">
        <f>4*1.7*2.5</f>
        <v>17</v>
      </c>
      <c r="X42" s="67">
        <f>4+MAX($X$2,0.2)*4*$X$1</f>
        <v>23.2</v>
      </c>
      <c r="Y42" s="67" t="s">
        <v>1876</v>
      </c>
      <c r="Z42" s="67" t="s">
        <v>1873</v>
      </c>
      <c r="AB42" s="69" t="s">
        <v>1877</v>
      </c>
    </row>
    <row r="43" ht="39.6" spans="1:28">
      <c r="A43" s="29">
        <v>10004021</v>
      </c>
      <c r="B43" s="30">
        <v>1</v>
      </c>
      <c r="C43" s="63" t="s">
        <v>1878</v>
      </c>
      <c r="D43" s="64" t="s">
        <v>1805</v>
      </c>
      <c r="E43" s="65">
        <v>0</v>
      </c>
      <c r="F43" s="65">
        <v>1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 t="s">
        <v>115</v>
      </c>
      <c r="M43" s="30">
        <v>0</v>
      </c>
      <c r="N43" s="30">
        <v>0</v>
      </c>
      <c r="O43" s="66">
        <v>0</v>
      </c>
      <c r="P43" s="30">
        <v>0</v>
      </c>
      <c r="Q43" s="30">
        <v>0</v>
      </c>
      <c r="R43" s="30">
        <v>2</v>
      </c>
      <c r="S43" s="30">
        <v>1.7</v>
      </c>
      <c r="T43" s="30">
        <v>0.2</v>
      </c>
      <c r="U43" s="31">
        <v>0</v>
      </c>
      <c r="V43" s="67">
        <v>0</v>
      </c>
      <c r="W43" s="67">
        <f>2*1.7*2.5</f>
        <v>8.5</v>
      </c>
      <c r="X43" s="67">
        <f>2+MAX($X$2,0.2)*2*$X$1</f>
        <v>11.6</v>
      </c>
      <c r="Y43" s="67" t="s">
        <v>1876</v>
      </c>
      <c r="Z43" s="67" t="s">
        <v>1807</v>
      </c>
      <c r="AB43" s="69" t="s">
        <v>134</v>
      </c>
    </row>
    <row r="44" ht="39.6" spans="1:28">
      <c r="A44" s="29">
        <v>10004121</v>
      </c>
      <c r="B44" s="30">
        <v>2</v>
      </c>
      <c r="C44" s="63" t="s">
        <v>541</v>
      </c>
      <c r="D44" s="64" t="s">
        <v>1805</v>
      </c>
      <c r="E44" s="65">
        <v>0</v>
      </c>
      <c r="F44" s="65">
        <v>4</v>
      </c>
      <c r="G44" s="30">
        <v>0</v>
      </c>
      <c r="H44" s="30">
        <v>0</v>
      </c>
      <c r="I44" s="30">
        <v>0</v>
      </c>
      <c r="J44" s="30">
        <v>0</v>
      </c>
      <c r="K44" s="30">
        <v>1</v>
      </c>
      <c r="L44" s="30" t="s">
        <v>115</v>
      </c>
      <c r="M44" s="30">
        <v>0</v>
      </c>
      <c r="N44" s="30">
        <v>0</v>
      </c>
      <c r="O44" s="66">
        <v>0</v>
      </c>
      <c r="P44" s="30">
        <v>0</v>
      </c>
      <c r="Q44" s="30">
        <v>0</v>
      </c>
      <c r="R44" s="30">
        <v>0</v>
      </c>
      <c r="S44" s="30">
        <v>1</v>
      </c>
      <c r="T44" s="30">
        <v>0</v>
      </c>
      <c r="U44" s="31">
        <v>0</v>
      </c>
      <c r="V44" s="67">
        <v>0</v>
      </c>
      <c r="W44" s="67">
        <f>0*1*2.5</f>
        <v>0</v>
      </c>
      <c r="X44" s="67">
        <v>0</v>
      </c>
      <c r="Z44" s="67" t="s">
        <v>1807</v>
      </c>
      <c r="AA44" s="97">
        <v>0.00694444444444444</v>
      </c>
      <c r="AB44" s="98" t="s">
        <v>1879</v>
      </c>
    </row>
    <row r="45" ht="39.6" spans="1:28">
      <c r="A45" s="29">
        <v>10004221</v>
      </c>
      <c r="B45" s="30">
        <v>1</v>
      </c>
      <c r="C45" s="63" t="s">
        <v>1880</v>
      </c>
      <c r="D45" s="64" t="s">
        <v>1881</v>
      </c>
      <c r="E45" s="65">
        <v>0</v>
      </c>
      <c r="F45" s="65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 t="s">
        <v>115</v>
      </c>
      <c r="M45" s="30">
        <v>0</v>
      </c>
      <c r="N45" s="30">
        <v>0</v>
      </c>
      <c r="O45" s="66">
        <v>0</v>
      </c>
      <c r="P45" s="30">
        <v>0</v>
      </c>
      <c r="Q45" s="30">
        <v>0</v>
      </c>
      <c r="R45" s="30">
        <v>2</v>
      </c>
      <c r="S45" s="30">
        <v>2</v>
      </c>
      <c r="T45" s="30">
        <v>0.35</v>
      </c>
      <c r="U45" s="31">
        <v>0</v>
      </c>
      <c r="V45" s="67">
        <v>0</v>
      </c>
      <c r="W45" s="67">
        <f>2*2*2.5</f>
        <v>10</v>
      </c>
      <c r="X45" s="67">
        <f>2+MAX($X$2,0.35)*2*$X$1</f>
        <v>11.6</v>
      </c>
      <c r="Y45" s="67" t="s">
        <v>1882</v>
      </c>
      <c r="Z45" s="67" t="s">
        <v>1883</v>
      </c>
      <c r="AA45" s="97">
        <v>0.00462962962962963</v>
      </c>
      <c r="AB45" s="98"/>
    </row>
    <row r="46" ht="39.6" spans="1:28">
      <c r="A46" s="29">
        <v>10004321</v>
      </c>
      <c r="B46" s="30">
        <v>2</v>
      </c>
      <c r="C46" s="63" t="s">
        <v>1884</v>
      </c>
      <c r="D46" s="64" t="s">
        <v>1881</v>
      </c>
      <c r="E46" s="65">
        <v>0</v>
      </c>
      <c r="F46" s="65">
        <v>0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 t="s">
        <v>115</v>
      </c>
      <c r="M46" s="30">
        <v>0</v>
      </c>
      <c r="N46" s="30">
        <v>0</v>
      </c>
      <c r="O46" s="66">
        <v>0</v>
      </c>
      <c r="P46" s="30">
        <v>0</v>
      </c>
      <c r="Q46" s="30">
        <v>0</v>
      </c>
      <c r="R46" s="30">
        <v>5</v>
      </c>
      <c r="S46" s="30">
        <v>2.1</v>
      </c>
      <c r="T46" s="30">
        <v>0.35</v>
      </c>
      <c r="U46" s="31">
        <v>0</v>
      </c>
      <c r="V46" s="67">
        <v>0</v>
      </c>
      <c r="W46" s="67">
        <f>5*2.1*2.5</f>
        <v>26.25</v>
      </c>
      <c r="X46" s="67">
        <f>5+MAX($X$2,0.35)*5*$X$1</f>
        <v>29</v>
      </c>
      <c r="Y46" s="67" t="s">
        <v>1885</v>
      </c>
      <c r="Z46" s="67" t="s">
        <v>1883</v>
      </c>
      <c r="AA46" s="97">
        <v>0.00752314814814815</v>
      </c>
      <c r="AB46" s="98"/>
    </row>
    <row r="47" ht="39.6" spans="1:28">
      <c r="A47" s="29">
        <v>10004421</v>
      </c>
      <c r="B47" s="30">
        <v>1</v>
      </c>
      <c r="C47" s="63" t="s">
        <v>1886</v>
      </c>
      <c r="D47" s="64" t="s">
        <v>1881</v>
      </c>
      <c r="E47" s="65">
        <v>0</v>
      </c>
      <c r="F47" s="65">
        <v>1</v>
      </c>
      <c r="G47" s="30">
        <v>0</v>
      </c>
      <c r="H47" s="30">
        <v>0</v>
      </c>
      <c r="I47" s="30">
        <v>0</v>
      </c>
      <c r="J47" s="30">
        <v>0</v>
      </c>
      <c r="K47" s="30">
        <v>1</v>
      </c>
      <c r="L47" s="30" t="s">
        <v>115</v>
      </c>
      <c r="M47" s="30">
        <v>0</v>
      </c>
      <c r="N47" s="30">
        <v>0</v>
      </c>
      <c r="O47" s="66">
        <v>0</v>
      </c>
      <c r="P47" s="30">
        <v>0</v>
      </c>
      <c r="Q47" s="30">
        <v>0</v>
      </c>
      <c r="R47" s="30">
        <v>3</v>
      </c>
      <c r="S47" s="30">
        <v>2.1</v>
      </c>
      <c r="T47" s="30">
        <v>0.35</v>
      </c>
      <c r="U47" s="31">
        <v>0</v>
      </c>
      <c r="V47" s="67">
        <v>0</v>
      </c>
      <c r="W47" s="67">
        <f>3*2.1*2.5</f>
        <v>15.75</v>
      </c>
      <c r="X47" s="67">
        <f>3+MAX($X$2,0.35)*3*$X$1</f>
        <v>17.4</v>
      </c>
      <c r="Y47" s="67" t="s">
        <v>1885</v>
      </c>
      <c r="Z47" s="67" t="s">
        <v>1883</v>
      </c>
      <c r="AA47" s="97">
        <v>0.00462962962962963</v>
      </c>
      <c r="AB47" s="98" t="s">
        <v>1887</v>
      </c>
    </row>
    <row r="48" ht="39.6" spans="1:28">
      <c r="A48" s="29">
        <v>10004521</v>
      </c>
      <c r="B48" s="30">
        <v>4</v>
      </c>
      <c r="C48" s="63" t="s">
        <v>1888</v>
      </c>
      <c r="D48" s="64" t="s">
        <v>1881</v>
      </c>
      <c r="E48" s="65">
        <v>0</v>
      </c>
      <c r="F48" s="65">
        <v>1</v>
      </c>
      <c r="G48" s="30">
        <v>0</v>
      </c>
      <c r="H48" s="30">
        <v>0</v>
      </c>
      <c r="I48" s="30">
        <v>0</v>
      </c>
      <c r="J48" s="30">
        <v>0</v>
      </c>
      <c r="K48" s="30">
        <v>1</v>
      </c>
      <c r="L48" s="30" t="s">
        <v>115</v>
      </c>
      <c r="M48" s="30">
        <v>0</v>
      </c>
      <c r="N48" s="30">
        <v>0</v>
      </c>
      <c r="O48" s="66">
        <v>0</v>
      </c>
      <c r="P48" s="30">
        <v>0</v>
      </c>
      <c r="Q48" s="30">
        <v>0</v>
      </c>
      <c r="R48" s="30">
        <v>5</v>
      </c>
      <c r="S48" s="30">
        <v>2.2</v>
      </c>
      <c r="T48" s="30">
        <v>0.35</v>
      </c>
      <c r="U48" s="31">
        <v>0</v>
      </c>
      <c r="V48" s="67">
        <v>0</v>
      </c>
      <c r="W48" s="67">
        <f>5*2.2*2.5</f>
        <v>27.5</v>
      </c>
      <c r="X48" s="67">
        <f>5+MAX($X$2,0.35)*5*$X$1</f>
        <v>29</v>
      </c>
      <c r="Y48" s="67" t="s">
        <v>1889</v>
      </c>
      <c r="Z48" s="67" t="s">
        <v>1883</v>
      </c>
      <c r="AA48" s="97">
        <v>0.0115740740740741</v>
      </c>
      <c r="AB48" s="98"/>
    </row>
    <row r="49" ht="39.6" spans="1:28">
      <c r="A49" s="29">
        <v>10004621</v>
      </c>
      <c r="B49" s="30">
        <v>2</v>
      </c>
      <c r="C49" s="63" t="s">
        <v>1890</v>
      </c>
      <c r="D49" s="64" t="s">
        <v>1881</v>
      </c>
      <c r="E49" s="65">
        <v>0</v>
      </c>
      <c r="F49" s="65">
        <v>2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 t="s">
        <v>115</v>
      </c>
      <c r="M49" s="30">
        <v>0</v>
      </c>
      <c r="N49" s="30">
        <v>0</v>
      </c>
      <c r="O49" s="66">
        <v>0</v>
      </c>
      <c r="P49" s="30">
        <v>0</v>
      </c>
      <c r="Q49" s="30">
        <v>0</v>
      </c>
      <c r="R49" s="30">
        <v>4</v>
      </c>
      <c r="S49" s="30">
        <v>2.4</v>
      </c>
      <c r="T49" s="30">
        <v>0.35</v>
      </c>
      <c r="U49" s="31">
        <v>0</v>
      </c>
      <c r="V49" s="67">
        <v>0</v>
      </c>
      <c r="W49" s="67">
        <f>4*2.4*2.5</f>
        <v>24</v>
      </c>
      <c r="X49" s="67">
        <f>4+MAX($X$2,0.35)*4*$X$1</f>
        <v>23.2</v>
      </c>
      <c r="Y49" s="67" t="s">
        <v>1891</v>
      </c>
      <c r="Z49" s="67" t="s">
        <v>1883</v>
      </c>
      <c r="AA49" s="97">
        <v>0.00694444444444444</v>
      </c>
      <c r="AB49" s="98"/>
    </row>
    <row r="50" ht="52.8" spans="1:28">
      <c r="A50" s="29">
        <v>10004721</v>
      </c>
      <c r="B50" s="30">
        <v>3</v>
      </c>
      <c r="C50" s="63" t="s">
        <v>1892</v>
      </c>
      <c r="D50" s="64" t="s">
        <v>1881</v>
      </c>
      <c r="E50" s="65">
        <v>0</v>
      </c>
      <c r="F50" s="65">
        <v>3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 t="s">
        <v>115</v>
      </c>
      <c r="M50" s="30">
        <v>0</v>
      </c>
      <c r="N50" s="30">
        <v>0</v>
      </c>
      <c r="O50" s="66">
        <v>0</v>
      </c>
      <c r="P50" s="30">
        <v>0</v>
      </c>
      <c r="Q50" s="30">
        <v>0</v>
      </c>
      <c r="R50" s="30">
        <v>6</v>
      </c>
      <c r="S50" s="30">
        <v>3</v>
      </c>
      <c r="T50" s="30">
        <v>0.35</v>
      </c>
      <c r="U50" s="31">
        <v>0</v>
      </c>
      <c r="V50" s="67">
        <v>0</v>
      </c>
      <c r="W50" s="67">
        <f>6*3*2.5</f>
        <v>45</v>
      </c>
      <c r="X50" s="67">
        <f>6+MAX($X$2,0.35)*6*$X$1</f>
        <v>34.8</v>
      </c>
      <c r="Y50" s="67" t="s">
        <v>1893</v>
      </c>
      <c r="Z50" s="67" t="s">
        <v>1883</v>
      </c>
      <c r="AA50" s="97">
        <v>0.00925925925925926</v>
      </c>
      <c r="AB50" s="98" t="s">
        <v>1894</v>
      </c>
    </row>
    <row r="51" ht="39.6" spans="1:28">
      <c r="A51" s="29">
        <v>10004821</v>
      </c>
      <c r="B51" s="30">
        <v>2</v>
      </c>
      <c r="C51" s="63" t="s">
        <v>1895</v>
      </c>
      <c r="D51" s="64" t="s">
        <v>1881</v>
      </c>
      <c r="E51" s="65">
        <v>0</v>
      </c>
      <c r="F51" s="65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 t="s">
        <v>115</v>
      </c>
      <c r="M51" s="30">
        <v>0</v>
      </c>
      <c r="N51" s="30">
        <v>0</v>
      </c>
      <c r="O51" s="66">
        <v>0</v>
      </c>
      <c r="P51" s="30">
        <v>0</v>
      </c>
      <c r="Q51" s="30">
        <v>0</v>
      </c>
      <c r="R51" s="30">
        <v>4</v>
      </c>
      <c r="S51" s="30">
        <v>2.7</v>
      </c>
      <c r="T51" s="30">
        <v>0.35</v>
      </c>
      <c r="U51" s="31">
        <v>0</v>
      </c>
      <c r="V51" s="67">
        <v>0</v>
      </c>
      <c r="W51" s="67">
        <f>4*2.7*2.5</f>
        <v>27</v>
      </c>
      <c r="X51" s="67">
        <f>4+MAX($X$2,0.35)*4*$X$1</f>
        <v>23.2</v>
      </c>
      <c r="Y51" s="67" t="s">
        <v>1896</v>
      </c>
      <c r="Z51" s="67" t="s">
        <v>1883</v>
      </c>
      <c r="AB51" s="69" t="s">
        <v>1897</v>
      </c>
    </row>
    <row r="52" ht="79.2" spans="1:28">
      <c r="A52" s="29">
        <v>10004921</v>
      </c>
      <c r="B52" s="30">
        <v>5</v>
      </c>
      <c r="C52" s="63" t="s">
        <v>1697</v>
      </c>
      <c r="D52" s="64" t="s">
        <v>1881</v>
      </c>
      <c r="E52" s="65">
        <v>0</v>
      </c>
      <c r="F52" s="65">
        <v>2</v>
      </c>
      <c r="G52" s="30">
        <v>0</v>
      </c>
      <c r="H52" s="30">
        <v>0</v>
      </c>
      <c r="I52" s="30">
        <v>0</v>
      </c>
      <c r="J52" s="30">
        <v>0</v>
      </c>
      <c r="K52" s="30">
        <v>2</v>
      </c>
      <c r="L52" s="30" t="s">
        <v>115</v>
      </c>
      <c r="M52" s="30">
        <v>0</v>
      </c>
      <c r="N52" s="30">
        <v>0</v>
      </c>
      <c r="O52" s="66">
        <v>0</v>
      </c>
      <c r="P52" s="30">
        <v>0</v>
      </c>
      <c r="Q52" s="30">
        <v>0</v>
      </c>
      <c r="R52" s="30">
        <v>12</v>
      </c>
      <c r="S52" s="30">
        <v>3.1</v>
      </c>
      <c r="T52" s="30">
        <v>0.35</v>
      </c>
      <c r="U52" s="31">
        <v>0</v>
      </c>
      <c r="V52" s="67">
        <v>0</v>
      </c>
      <c r="W52" s="67">
        <f>12*3.1*2.5</f>
        <v>93</v>
      </c>
      <c r="X52" s="67">
        <f>12+MAX($X$2,0.35)*12*$X$1</f>
        <v>69.6</v>
      </c>
      <c r="Y52" s="67" t="s">
        <v>1898</v>
      </c>
      <c r="Z52" s="67" t="s">
        <v>1883</v>
      </c>
      <c r="AB52" s="69" t="s">
        <v>1899</v>
      </c>
    </row>
    <row r="53" ht="39.6" spans="1:28">
      <c r="A53" s="29">
        <v>10005021</v>
      </c>
      <c r="B53" s="30">
        <v>4</v>
      </c>
      <c r="C53" s="63" t="s">
        <v>1900</v>
      </c>
      <c r="D53" s="64" t="s">
        <v>1881</v>
      </c>
      <c r="E53" s="65">
        <v>0</v>
      </c>
      <c r="F53" s="65">
        <v>1</v>
      </c>
      <c r="G53" s="30">
        <v>0</v>
      </c>
      <c r="H53" s="30">
        <v>0</v>
      </c>
      <c r="I53" s="30">
        <v>0</v>
      </c>
      <c r="J53" s="30">
        <v>0</v>
      </c>
      <c r="K53" s="30">
        <v>1</v>
      </c>
      <c r="L53" s="30" t="s">
        <v>115</v>
      </c>
      <c r="M53" s="30">
        <v>0</v>
      </c>
      <c r="N53" s="30">
        <v>0</v>
      </c>
      <c r="O53" s="66">
        <v>0</v>
      </c>
      <c r="P53" s="30">
        <v>0</v>
      </c>
      <c r="Q53" s="30">
        <v>0</v>
      </c>
      <c r="R53" s="30">
        <v>7</v>
      </c>
      <c r="S53" s="30">
        <v>2.8</v>
      </c>
      <c r="T53" s="30">
        <v>0.35</v>
      </c>
      <c r="U53" s="31">
        <v>0</v>
      </c>
      <c r="V53" s="67">
        <v>0</v>
      </c>
      <c r="W53" s="67">
        <f>7*2.8*2.5</f>
        <v>49</v>
      </c>
      <c r="X53" s="67">
        <f>7+MAX($X$2,0.35)*7*$X$1</f>
        <v>40.6</v>
      </c>
      <c r="Y53" s="67" t="s">
        <v>1901</v>
      </c>
      <c r="Z53" s="67" t="s">
        <v>1883</v>
      </c>
      <c r="AA53" s="97">
        <v>0.0115740740740741</v>
      </c>
      <c r="AB53" s="98" t="s">
        <v>1902</v>
      </c>
    </row>
    <row r="54" ht="118.8" spans="1:28">
      <c r="A54" s="29">
        <v>10005121</v>
      </c>
      <c r="B54" s="30">
        <v>5</v>
      </c>
      <c r="C54" s="63" t="s">
        <v>715</v>
      </c>
      <c r="D54" s="64" t="s">
        <v>1881</v>
      </c>
      <c r="E54" s="65">
        <v>0</v>
      </c>
      <c r="F54" s="65">
        <v>2</v>
      </c>
      <c r="G54" s="30">
        <v>0</v>
      </c>
      <c r="H54" s="30">
        <v>0</v>
      </c>
      <c r="I54" s="30">
        <v>0</v>
      </c>
      <c r="J54" s="30">
        <v>0</v>
      </c>
      <c r="K54" s="30">
        <v>1</v>
      </c>
      <c r="L54" s="30" t="s">
        <v>115</v>
      </c>
      <c r="M54" s="30">
        <v>0</v>
      </c>
      <c r="N54" s="30">
        <v>0</v>
      </c>
      <c r="O54" s="66">
        <v>0</v>
      </c>
      <c r="P54" s="30">
        <v>0</v>
      </c>
      <c r="Q54" s="30">
        <v>0</v>
      </c>
      <c r="R54" s="30">
        <v>9</v>
      </c>
      <c r="S54" s="30">
        <v>3</v>
      </c>
      <c r="T54" s="30">
        <v>0.35</v>
      </c>
      <c r="U54" s="31">
        <v>0</v>
      </c>
      <c r="V54" s="67">
        <v>0</v>
      </c>
      <c r="W54" s="67">
        <f>9*3*2.5</f>
        <v>67.5</v>
      </c>
      <c r="X54" s="67">
        <f>9+MAX($X$2,0.35)*9*$X$1</f>
        <v>52.2</v>
      </c>
      <c r="Y54" s="67" t="s">
        <v>1893</v>
      </c>
      <c r="Z54" s="67" t="s">
        <v>1883</v>
      </c>
      <c r="AB54" s="69" t="s">
        <v>1903</v>
      </c>
    </row>
    <row r="55" ht="39.6" spans="1:28">
      <c r="A55" s="29">
        <v>10005221</v>
      </c>
      <c r="B55" s="30">
        <v>2</v>
      </c>
      <c r="C55" s="63" t="s">
        <v>1904</v>
      </c>
      <c r="D55" s="64" t="s">
        <v>1881</v>
      </c>
      <c r="E55" s="65">
        <v>0</v>
      </c>
      <c r="F55" s="65">
        <v>0</v>
      </c>
      <c r="G55" s="30">
        <v>0</v>
      </c>
      <c r="H55" s="30">
        <v>0</v>
      </c>
      <c r="I55" s="30">
        <v>0</v>
      </c>
      <c r="J55" s="30">
        <v>0</v>
      </c>
      <c r="K55" s="30">
        <v>1</v>
      </c>
      <c r="L55" s="30" t="s">
        <v>115</v>
      </c>
      <c r="M55" s="30">
        <v>0</v>
      </c>
      <c r="N55" s="30">
        <v>0</v>
      </c>
      <c r="O55" s="66">
        <v>0</v>
      </c>
      <c r="P55" s="30">
        <v>0</v>
      </c>
      <c r="Q55" s="30">
        <v>0</v>
      </c>
      <c r="R55" s="30">
        <v>4</v>
      </c>
      <c r="S55" s="30">
        <v>2.2</v>
      </c>
      <c r="T55" s="30">
        <v>0.35</v>
      </c>
      <c r="U55" s="31">
        <v>0</v>
      </c>
      <c r="V55" s="67">
        <v>0</v>
      </c>
      <c r="W55" s="67">
        <f>4*2.2*2.5</f>
        <v>22</v>
      </c>
      <c r="X55" s="67">
        <f>4+MAX($X$2,0.35)*4*$X$1</f>
        <v>23.2</v>
      </c>
      <c r="Y55" s="67" t="s">
        <v>1889</v>
      </c>
      <c r="Z55" s="67" t="s">
        <v>1883</v>
      </c>
      <c r="AA55" s="97">
        <v>0.00694444444444444</v>
      </c>
      <c r="AB55" s="98" t="s">
        <v>1905</v>
      </c>
    </row>
    <row r="56" ht="26.4" spans="1:28">
      <c r="A56" s="29">
        <v>10005321</v>
      </c>
      <c r="B56" s="30">
        <v>1</v>
      </c>
      <c r="C56" s="63" t="s">
        <v>1906</v>
      </c>
      <c r="D56" s="64" t="s">
        <v>1907</v>
      </c>
      <c r="E56" s="65">
        <v>0</v>
      </c>
      <c r="F56" s="65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 t="s">
        <v>1802</v>
      </c>
      <c r="M56" s="30">
        <v>0</v>
      </c>
      <c r="N56" s="30">
        <v>0</v>
      </c>
      <c r="O56" s="66">
        <v>0</v>
      </c>
      <c r="P56" s="30">
        <v>0</v>
      </c>
      <c r="Q56" s="30">
        <v>0</v>
      </c>
      <c r="R56" s="30">
        <v>3</v>
      </c>
      <c r="S56" s="30">
        <v>1</v>
      </c>
      <c r="T56" s="30">
        <v>0</v>
      </c>
      <c r="U56" s="31">
        <v>0</v>
      </c>
      <c r="V56" s="67">
        <v>4</v>
      </c>
      <c r="W56" s="67">
        <f>3*1*2.5</f>
        <v>7.5</v>
      </c>
      <c r="X56" s="67">
        <v>3</v>
      </c>
      <c r="Y56" s="67" t="s">
        <v>1908</v>
      </c>
      <c r="Z56" s="67" t="s">
        <v>1909</v>
      </c>
      <c r="AB56" s="69" t="s">
        <v>661</v>
      </c>
    </row>
    <row r="57" ht="39.6" spans="1:28">
      <c r="A57" s="29">
        <v>10005421</v>
      </c>
      <c r="B57" s="30">
        <v>2</v>
      </c>
      <c r="C57" s="63" t="s">
        <v>1910</v>
      </c>
      <c r="D57" s="64" t="s">
        <v>1907</v>
      </c>
      <c r="E57" s="65">
        <v>0</v>
      </c>
      <c r="F57" s="65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 t="s">
        <v>1802</v>
      </c>
      <c r="M57" s="30">
        <v>0</v>
      </c>
      <c r="N57" s="30">
        <v>0</v>
      </c>
      <c r="O57" s="66">
        <v>0</v>
      </c>
      <c r="P57" s="30">
        <v>0</v>
      </c>
      <c r="Q57" s="30">
        <v>0</v>
      </c>
      <c r="R57" s="30">
        <v>6</v>
      </c>
      <c r="S57" s="30">
        <v>1</v>
      </c>
      <c r="T57" s="30">
        <v>0</v>
      </c>
      <c r="U57" s="31">
        <v>0</v>
      </c>
      <c r="V57" s="67">
        <v>4</v>
      </c>
      <c r="W57" s="67">
        <f>6*1*2.5</f>
        <v>15</v>
      </c>
      <c r="X57" s="67">
        <v>6</v>
      </c>
      <c r="Y57" s="67" t="s">
        <v>1908</v>
      </c>
      <c r="Z57" s="67" t="s">
        <v>1909</v>
      </c>
      <c r="AA57" s="97">
        <v>0.00810185185185185</v>
      </c>
      <c r="AB57" s="98" t="s">
        <v>1911</v>
      </c>
    </row>
    <row r="58" ht="26.4" spans="1:28">
      <c r="A58" s="29">
        <v>10005521</v>
      </c>
      <c r="B58" s="30">
        <v>3</v>
      </c>
      <c r="C58" s="63" t="s">
        <v>1912</v>
      </c>
      <c r="D58" s="64" t="s">
        <v>1907</v>
      </c>
      <c r="E58" s="65">
        <v>0</v>
      </c>
      <c r="F58" s="65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 t="s">
        <v>1802</v>
      </c>
      <c r="M58" s="30">
        <v>0</v>
      </c>
      <c r="N58" s="30">
        <v>0</v>
      </c>
      <c r="O58" s="66">
        <v>2</v>
      </c>
      <c r="P58" s="30">
        <v>0</v>
      </c>
      <c r="Q58" s="30">
        <v>0</v>
      </c>
      <c r="R58" s="30">
        <v>7</v>
      </c>
      <c r="S58" s="30">
        <v>1</v>
      </c>
      <c r="T58" s="30">
        <v>0</v>
      </c>
      <c r="U58" s="31">
        <v>0</v>
      </c>
      <c r="V58" s="67">
        <v>5</v>
      </c>
      <c r="W58" s="67">
        <f>7*1*2.5</f>
        <v>17.5</v>
      </c>
      <c r="X58" s="67">
        <v>7</v>
      </c>
      <c r="Y58" s="67" t="s">
        <v>1913</v>
      </c>
      <c r="Z58" s="67" t="s">
        <v>1909</v>
      </c>
      <c r="AA58" s="97">
        <v>0.0121527777777778</v>
      </c>
      <c r="AB58" s="98" t="s">
        <v>1914</v>
      </c>
    </row>
    <row r="59" ht="26.4" spans="1:28">
      <c r="A59" s="29">
        <v>10005621</v>
      </c>
      <c r="B59" s="30">
        <v>4</v>
      </c>
      <c r="C59" s="63" t="s">
        <v>1915</v>
      </c>
      <c r="D59" s="64" t="s">
        <v>1907</v>
      </c>
      <c r="E59" s="65">
        <v>0</v>
      </c>
      <c r="F59" s="65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 t="s">
        <v>1802</v>
      </c>
      <c r="M59" s="30">
        <v>0</v>
      </c>
      <c r="N59" s="30">
        <v>0</v>
      </c>
      <c r="O59" s="66">
        <v>0</v>
      </c>
      <c r="P59" s="30">
        <v>0</v>
      </c>
      <c r="Q59" s="30">
        <v>0</v>
      </c>
      <c r="R59" s="30">
        <v>6</v>
      </c>
      <c r="S59" s="30">
        <v>1</v>
      </c>
      <c r="T59" s="30">
        <v>0</v>
      </c>
      <c r="U59" s="31">
        <v>0</v>
      </c>
      <c r="V59" s="67">
        <v>5</v>
      </c>
      <c r="W59" s="67">
        <f>6*1*2.5</f>
        <v>15</v>
      </c>
      <c r="X59" s="67">
        <v>6</v>
      </c>
      <c r="Y59" s="67" t="s">
        <v>1913</v>
      </c>
      <c r="Z59" s="67" t="s">
        <v>1909</v>
      </c>
      <c r="AA59" s="97">
        <v>0.0179398148148148</v>
      </c>
      <c r="AB59" s="98" t="s">
        <v>1916</v>
      </c>
    </row>
    <row r="60" ht="26.4" spans="1:28">
      <c r="A60" s="29">
        <v>10005721</v>
      </c>
      <c r="B60" s="30">
        <v>4</v>
      </c>
      <c r="C60" s="63" t="s">
        <v>1917</v>
      </c>
      <c r="D60" s="64" t="s">
        <v>1907</v>
      </c>
      <c r="E60" s="65">
        <v>0</v>
      </c>
      <c r="F60" s="65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 t="s">
        <v>1802</v>
      </c>
      <c r="M60" s="30">
        <v>2</v>
      </c>
      <c r="N60" s="30">
        <v>0</v>
      </c>
      <c r="O60" s="66">
        <v>0</v>
      </c>
      <c r="P60" s="30">
        <v>0</v>
      </c>
      <c r="Q60" s="30">
        <v>0</v>
      </c>
      <c r="R60" s="30">
        <v>7</v>
      </c>
      <c r="S60" s="30">
        <v>1</v>
      </c>
      <c r="T60" s="30">
        <v>0</v>
      </c>
      <c r="U60" s="31">
        <v>0</v>
      </c>
      <c r="V60" s="67">
        <v>5</v>
      </c>
      <c r="W60" s="67">
        <f>7*1*2.5</f>
        <v>17.5</v>
      </c>
      <c r="X60" s="67">
        <v>7</v>
      </c>
      <c r="Y60" s="67" t="s">
        <v>1913</v>
      </c>
      <c r="Z60" s="67" t="s">
        <v>1909</v>
      </c>
      <c r="AA60" s="97">
        <v>0.0231481481481482</v>
      </c>
      <c r="AB60" s="98" t="s">
        <v>1918</v>
      </c>
    </row>
    <row r="61" ht="26.4" spans="1:28">
      <c r="A61" s="29">
        <v>10005821</v>
      </c>
      <c r="B61" s="30">
        <v>5</v>
      </c>
      <c r="C61" s="63" t="s">
        <v>1919</v>
      </c>
      <c r="D61" s="64" t="s">
        <v>1907</v>
      </c>
      <c r="E61" s="65">
        <v>0</v>
      </c>
      <c r="F61" s="65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 t="s">
        <v>1802</v>
      </c>
      <c r="M61" s="30">
        <v>2</v>
      </c>
      <c r="N61" s="30">
        <v>0</v>
      </c>
      <c r="O61" s="66">
        <v>3</v>
      </c>
      <c r="P61" s="30">
        <v>0</v>
      </c>
      <c r="Q61" s="30">
        <v>0</v>
      </c>
      <c r="R61" s="30">
        <v>10</v>
      </c>
      <c r="S61" s="30">
        <v>1</v>
      </c>
      <c r="T61" s="30">
        <v>0</v>
      </c>
      <c r="U61" s="31">
        <v>0</v>
      </c>
      <c r="V61" s="67">
        <v>6</v>
      </c>
      <c r="W61" s="67">
        <f>10*1*2.5</f>
        <v>25</v>
      </c>
      <c r="X61" s="67">
        <v>10</v>
      </c>
      <c r="Y61" s="67" t="s">
        <v>1920</v>
      </c>
      <c r="Z61" s="67" t="s">
        <v>1909</v>
      </c>
      <c r="AA61" s="97">
        <v>0.0335648148148148</v>
      </c>
      <c r="AB61" s="98" t="s">
        <v>1921</v>
      </c>
    </row>
    <row r="62" ht="26.4" spans="1:28">
      <c r="A62" s="29">
        <v>10005921</v>
      </c>
      <c r="B62" s="30">
        <v>1</v>
      </c>
      <c r="C62" s="63" t="s">
        <v>141</v>
      </c>
      <c r="D62" s="64" t="s">
        <v>1907</v>
      </c>
      <c r="E62" s="65">
        <v>0</v>
      </c>
      <c r="F62" s="65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 t="s">
        <v>1802</v>
      </c>
      <c r="M62" s="30">
        <v>0</v>
      </c>
      <c r="N62" s="30">
        <v>0</v>
      </c>
      <c r="O62" s="66">
        <v>0</v>
      </c>
      <c r="P62" s="30">
        <v>0</v>
      </c>
      <c r="Q62" s="30">
        <v>0</v>
      </c>
      <c r="R62" s="30">
        <v>3</v>
      </c>
      <c r="S62" s="30">
        <v>1</v>
      </c>
      <c r="T62" s="30">
        <v>0</v>
      </c>
      <c r="U62" s="31">
        <v>0</v>
      </c>
      <c r="V62" s="67">
        <v>5</v>
      </c>
      <c r="W62" s="67">
        <f>3*1*2.5</f>
        <v>7.5</v>
      </c>
      <c r="X62" s="67">
        <v>3</v>
      </c>
      <c r="Y62" s="67" t="s">
        <v>1913</v>
      </c>
      <c r="Z62" s="67" t="s">
        <v>1909</v>
      </c>
      <c r="AB62" s="69" t="s">
        <v>1922</v>
      </c>
    </row>
    <row r="63" ht="26.4" spans="1:28">
      <c r="A63" s="29">
        <v>10006021</v>
      </c>
      <c r="B63" s="30">
        <v>3</v>
      </c>
      <c r="C63" s="63" t="s">
        <v>1923</v>
      </c>
      <c r="D63" s="64" t="s">
        <v>1907</v>
      </c>
      <c r="E63" s="65">
        <v>0</v>
      </c>
      <c r="F63" s="65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 t="s">
        <v>1802</v>
      </c>
      <c r="M63" s="30">
        <v>0</v>
      </c>
      <c r="N63" s="30">
        <v>0</v>
      </c>
      <c r="O63" s="66">
        <v>1</v>
      </c>
      <c r="P63" s="30">
        <v>0</v>
      </c>
      <c r="Q63" s="30">
        <v>0</v>
      </c>
      <c r="R63" s="30">
        <v>5</v>
      </c>
      <c r="S63" s="30">
        <v>1</v>
      </c>
      <c r="T63" s="30">
        <v>0</v>
      </c>
      <c r="U63" s="31">
        <v>0</v>
      </c>
      <c r="V63" s="67">
        <v>5</v>
      </c>
      <c r="W63" s="67">
        <f>5*1*2.5</f>
        <v>12.5</v>
      </c>
      <c r="X63" s="67">
        <v>5</v>
      </c>
      <c r="Y63" s="67" t="s">
        <v>1913</v>
      </c>
      <c r="Z63" s="67" t="s">
        <v>1909</v>
      </c>
      <c r="AA63" s="97">
        <v>0.0138888888888889</v>
      </c>
      <c r="AB63" s="98" t="s">
        <v>1924</v>
      </c>
    </row>
    <row r="64" ht="39.6" spans="1:28">
      <c r="A64" s="29">
        <v>10006121</v>
      </c>
      <c r="B64" s="30">
        <v>4</v>
      </c>
      <c r="C64" s="63" t="s">
        <v>1094</v>
      </c>
      <c r="D64" s="64" t="s">
        <v>1907</v>
      </c>
      <c r="E64" s="65">
        <v>0</v>
      </c>
      <c r="F64" s="65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 t="s">
        <v>1802</v>
      </c>
      <c r="M64" s="30">
        <v>0</v>
      </c>
      <c r="N64" s="30">
        <v>0</v>
      </c>
      <c r="O64" s="66">
        <v>4</v>
      </c>
      <c r="P64" s="30">
        <v>0</v>
      </c>
      <c r="Q64" s="30">
        <v>0</v>
      </c>
      <c r="R64" s="30">
        <v>9</v>
      </c>
      <c r="S64" s="30">
        <v>1</v>
      </c>
      <c r="T64" s="30">
        <v>0</v>
      </c>
      <c r="U64" s="31">
        <v>0</v>
      </c>
      <c r="V64" s="67">
        <v>6</v>
      </c>
      <c r="W64" s="67">
        <f>9*1*2.5</f>
        <v>22.5</v>
      </c>
      <c r="X64" s="67">
        <v>9</v>
      </c>
      <c r="Y64" s="67" t="s">
        <v>1920</v>
      </c>
      <c r="Z64" s="67" t="s">
        <v>1909</v>
      </c>
      <c r="AA64" s="97">
        <v>0.021412037037037</v>
      </c>
      <c r="AB64" s="98" t="s">
        <v>1925</v>
      </c>
    </row>
    <row r="65" ht="39.6" spans="1:28">
      <c r="A65" s="29">
        <v>10006221</v>
      </c>
      <c r="B65" s="30">
        <v>1</v>
      </c>
      <c r="C65" s="63" t="s">
        <v>1926</v>
      </c>
      <c r="D65" s="64" t="s">
        <v>1927</v>
      </c>
      <c r="E65" s="65">
        <v>0</v>
      </c>
      <c r="F65" s="65">
        <v>0</v>
      </c>
      <c r="G65" s="30">
        <v>0</v>
      </c>
      <c r="H65" s="30">
        <v>0</v>
      </c>
      <c r="I65" s="30">
        <v>0</v>
      </c>
      <c r="J65" s="30">
        <v>0</v>
      </c>
      <c r="K65" s="30">
        <v>1</v>
      </c>
      <c r="L65" s="30" t="s">
        <v>1802</v>
      </c>
      <c r="M65" s="30">
        <v>0</v>
      </c>
      <c r="N65" s="30">
        <v>0</v>
      </c>
      <c r="O65" s="66">
        <v>5</v>
      </c>
      <c r="P65" s="30">
        <v>0</v>
      </c>
      <c r="Q65" s="30">
        <v>0</v>
      </c>
      <c r="R65" s="30">
        <v>0</v>
      </c>
      <c r="S65" s="30">
        <v>1</v>
      </c>
      <c r="T65" s="30">
        <v>0</v>
      </c>
      <c r="U65" s="31">
        <v>0</v>
      </c>
      <c r="V65" s="67">
        <v>4</v>
      </c>
      <c r="W65" s="67">
        <f>0*1*2.5</f>
        <v>0</v>
      </c>
      <c r="X65" s="67">
        <v>0</v>
      </c>
      <c r="Y65" s="67" t="s">
        <v>1908</v>
      </c>
      <c r="Z65" s="67" t="s">
        <v>1909</v>
      </c>
      <c r="AB65" s="69" t="s">
        <v>1928</v>
      </c>
    </row>
    <row r="66" ht="39.6" spans="1:28">
      <c r="A66" s="29">
        <v>10006321</v>
      </c>
      <c r="B66" s="30">
        <v>3</v>
      </c>
      <c r="C66" s="63" t="s">
        <v>1929</v>
      </c>
      <c r="D66" s="64" t="s">
        <v>1927</v>
      </c>
      <c r="E66" s="65">
        <v>0</v>
      </c>
      <c r="F66" s="65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 t="s">
        <v>1802</v>
      </c>
      <c r="M66" s="30">
        <v>0</v>
      </c>
      <c r="N66" s="30">
        <v>0</v>
      </c>
      <c r="O66" s="66">
        <v>9</v>
      </c>
      <c r="P66" s="30">
        <v>0</v>
      </c>
      <c r="Q66" s="30">
        <v>0</v>
      </c>
      <c r="R66" s="30">
        <v>0</v>
      </c>
      <c r="S66" s="30">
        <v>1</v>
      </c>
      <c r="T66" s="30">
        <v>0</v>
      </c>
      <c r="U66" s="31">
        <v>0</v>
      </c>
      <c r="V66" s="67">
        <v>4</v>
      </c>
      <c r="W66" s="67">
        <f>0*1*2.5</f>
        <v>0</v>
      </c>
      <c r="X66" s="67">
        <v>0</v>
      </c>
      <c r="Y66" s="67" t="s">
        <v>1908</v>
      </c>
      <c r="Z66" s="67" t="s">
        <v>1909</v>
      </c>
      <c r="AA66" s="97">
        <v>0.0133101851851852</v>
      </c>
      <c r="AB66" s="98" t="s">
        <v>1930</v>
      </c>
    </row>
    <row r="67" ht="26.4" spans="1:28">
      <c r="A67" s="29">
        <v>10006421</v>
      </c>
      <c r="B67" s="30">
        <v>3</v>
      </c>
      <c r="C67" s="63" t="s">
        <v>1931</v>
      </c>
      <c r="D67" s="64" t="s">
        <v>1927</v>
      </c>
      <c r="E67" s="65">
        <v>0</v>
      </c>
      <c r="F67" s="65">
        <v>0</v>
      </c>
      <c r="G67" s="30">
        <v>0</v>
      </c>
      <c r="H67" s="30">
        <v>0</v>
      </c>
      <c r="I67" s="30">
        <v>1</v>
      </c>
      <c r="J67" s="30">
        <v>0</v>
      </c>
      <c r="K67" s="30">
        <v>0</v>
      </c>
      <c r="L67" s="30" t="s">
        <v>1802</v>
      </c>
      <c r="M67" s="30">
        <v>0</v>
      </c>
      <c r="N67" s="30">
        <v>0</v>
      </c>
      <c r="O67" s="66">
        <v>6</v>
      </c>
      <c r="P67" s="30">
        <v>0</v>
      </c>
      <c r="Q67" s="30">
        <v>0</v>
      </c>
      <c r="R67" s="30">
        <v>0</v>
      </c>
      <c r="S67" s="30">
        <v>1</v>
      </c>
      <c r="T67" s="30">
        <v>0</v>
      </c>
      <c r="U67" s="31">
        <v>0</v>
      </c>
      <c r="V67" s="67">
        <v>5</v>
      </c>
      <c r="W67" s="67">
        <f>0*1*2.5</f>
        <v>0</v>
      </c>
      <c r="X67" s="67">
        <v>0</v>
      </c>
      <c r="Y67" s="67" t="s">
        <v>1913</v>
      </c>
      <c r="Z67" s="67" t="s">
        <v>1909</v>
      </c>
      <c r="AA67" s="97">
        <v>0.0150462962962963</v>
      </c>
      <c r="AB67" s="98" t="s">
        <v>1916</v>
      </c>
    </row>
    <row r="68" ht="26.4" spans="1:28">
      <c r="A68" s="29">
        <v>10006521</v>
      </c>
      <c r="B68" s="30">
        <v>1</v>
      </c>
      <c r="C68" s="63" t="s">
        <v>1932</v>
      </c>
      <c r="D68" s="64" t="s">
        <v>1927</v>
      </c>
      <c r="E68" s="65">
        <v>0</v>
      </c>
      <c r="F68" s="65">
        <v>0</v>
      </c>
      <c r="G68" s="30">
        <v>0</v>
      </c>
      <c r="H68" s="30">
        <v>0</v>
      </c>
      <c r="I68" s="30">
        <v>3</v>
      </c>
      <c r="J68" s="30">
        <v>0</v>
      </c>
      <c r="K68" s="30">
        <v>0</v>
      </c>
      <c r="L68" s="30" t="s">
        <v>1802</v>
      </c>
      <c r="M68" s="30">
        <v>0</v>
      </c>
      <c r="N68" s="30">
        <v>0</v>
      </c>
      <c r="O68" s="66">
        <v>4</v>
      </c>
      <c r="P68" s="30">
        <v>0</v>
      </c>
      <c r="Q68" s="30">
        <v>0</v>
      </c>
      <c r="R68" s="30">
        <v>2</v>
      </c>
      <c r="S68" s="30">
        <v>1</v>
      </c>
      <c r="T68" s="30">
        <v>0</v>
      </c>
      <c r="U68" s="31">
        <v>0</v>
      </c>
      <c r="V68" s="67">
        <v>5</v>
      </c>
      <c r="W68" s="67">
        <f>2*1*2.5</f>
        <v>5</v>
      </c>
      <c r="X68" s="67">
        <v>2</v>
      </c>
      <c r="Y68" s="67" t="s">
        <v>1913</v>
      </c>
      <c r="Z68" s="67" t="s">
        <v>1909</v>
      </c>
      <c r="AA68" s="97">
        <v>0.00636574074074074</v>
      </c>
      <c r="AB68" s="98"/>
    </row>
    <row r="69" ht="26.4" spans="1:28">
      <c r="A69" s="29">
        <v>10006621</v>
      </c>
      <c r="B69" s="30">
        <v>3</v>
      </c>
      <c r="C69" s="63" t="s">
        <v>1933</v>
      </c>
      <c r="D69" s="64" t="s">
        <v>1927</v>
      </c>
      <c r="E69" s="65">
        <v>0</v>
      </c>
      <c r="F69" s="65">
        <v>0</v>
      </c>
      <c r="G69" s="30">
        <v>0</v>
      </c>
      <c r="H69" s="30">
        <v>0</v>
      </c>
      <c r="I69" s="30">
        <v>2</v>
      </c>
      <c r="J69" s="30">
        <v>0</v>
      </c>
      <c r="K69" s="30">
        <v>0</v>
      </c>
      <c r="L69" s="30" t="s">
        <v>1802</v>
      </c>
      <c r="M69" s="30">
        <v>0</v>
      </c>
      <c r="N69" s="30">
        <v>0</v>
      </c>
      <c r="O69" s="66">
        <v>5</v>
      </c>
      <c r="P69" s="30">
        <v>0</v>
      </c>
      <c r="Q69" s="30">
        <v>0</v>
      </c>
      <c r="R69" s="30">
        <v>4</v>
      </c>
      <c r="S69" s="30">
        <v>1</v>
      </c>
      <c r="T69" s="30">
        <v>0</v>
      </c>
      <c r="U69" s="31">
        <v>0</v>
      </c>
      <c r="V69" s="67">
        <v>5</v>
      </c>
      <c r="W69" s="67">
        <f>4*1*2.5</f>
        <v>10</v>
      </c>
      <c r="X69" s="67">
        <v>4</v>
      </c>
      <c r="Y69" s="67" t="s">
        <v>1913</v>
      </c>
      <c r="Z69" s="67" t="s">
        <v>1909</v>
      </c>
      <c r="AA69" s="97">
        <v>0.0133101851851852</v>
      </c>
      <c r="AB69" s="98" t="s">
        <v>1934</v>
      </c>
    </row>
    <row r="70" ht="39.6" spans="1:28">
      <c r="A70" s="29">
        <v>10006721</v>
      </c>
      <c r="B70" s="30">
        <v>1</v>
      </c>
      <c r="C70" s="63" t="s">
        <v>1935</v>
      </c>
      <c r="D70" s="64" t="s">
        <v>1927</v>
      </c>
      <c r="E70" s="65">
        <v>0</v>
      </c>
      <c r="F70" s="65">
        <v>0</v>
      </c>
      <c r="G70" s="30">
        <v>0</v>
      </c>
      <c r="H70" s="30">
        <v>0</v>
      </c>
      <c r="I70" s="30">
        <v>2</v>
      </c>
      <c r="J70" s="30">
        <v>2</v>
      </c>
      <c r="K70" s="30">
        <v>0</v>
      </c>
      <c r="L70" s="30" t="s">
        <v>1802</v>
      </c>
      <c r="M70" s="30">
        <v>0</v>
      </c>
      <c r="N70" s="30">
        <v>0</v>
      </c>
      <c r="O70" s="66">
        <v>6</v>
      </c>
      <c r="P70" s="30">
        <v>0</v>
      </c>
      <c r="Q70" s="30">
        <v>0</v>
      </c>
      <c r="R70" s="30">
        <v>3</v>
      </c>
      <c r="S70" s="30">
        <v>1</v>
      </c>
      <c r="T70" s="30">
        <v>0</v>
      </c>
      <c r="U70" s="31">
        <v>0</v>
      </c>
      <c r="V70" s="67">
        <v>5</v>
      </c>
      <c r="W70" s="67">
        <f>3*1*2.5</f>
        <v>7.5</v>
      </c>
      <c r="X70" s="67">
        <v>3</v>
      </c>
      <c r="Y70" s="67" t="s">
        <v>1913</v>
      </c>
      <c r="Z70" s="67" t="s">
        <v>1909</v>
      </c>
      <c r="AA70" s="97">
        <v>0.00636574074074074</v>
      </c>
      <c r="AB70" s="98" t="s">
        <v>1936</v>
      </c>
    </row>
    <row r="71" ht="26.4" spans="1:28">
      <c r="A71" s="29">
        <v>10006821</v>
      </c>
      <c r="B71" s="30">
        <v>4</v>
      </c>
      <c r="C71" s="63" t="s">
        <v>1937</v>
      </c>
      <c r="D71" s="64" t="s">
        <v>1927</v>
      </c>
      <c r="E71" s="65">
        <v>0</v>
      </c>
      <c r="F71" s="65">
        <v>0</v>
      </c>
      <c r="G71" s="30">
        <v>0</v>
      </c>
      <c r="H71" s="30">
        <v>0</v>
      </c>
      <c r="I71" s="30">
        <v>3</v>
      </c>
      <c r="J71" s="30">
        <v>0</v>
      </c>
      <c r="K71" s="30">
        <v>0</v>
      </c>
      <c r="L71" s="30" t="s">
        <v>1802</v>
      </c>
      <c r="M71" s="30">
        <v>0</v>
      </c>
      <c r="N71" s="30">
        <v>0</v>
      </c>
      <c r="O71" s="66">
        <v>10</v>
      </c>
      <c r="P71" s="30">
        <v>0</v>
      </c>
      <c r="Q71" s="30">
        <v>0</v>
      </c>
      <c r="R71" s="30">
        <v>1</v>
      </c>
      <c r="S71" s="30">
        <v>1</v>
      </c>
      <c r="T71" s="30">
        <v>0</v>
      </c>
      <c r="U71" s="31">
        <v>0</v>
      </c>
      <c r="V71" s="67">
        <v>5</v>
      </c>
      <c r="W71" s="67">
        <f>1*1*2.5</f>
        <v>2.5</v>
      </c>
      <c r="X71" s="67">
        <v>1</v>
      </c>
      <c r="Y71" s="67" t="s">
        <v>1913</v>
      </c>
      <c r="Z71" s="67" t="s">
        <v>1909</v>
      </c>
      <c r="AA71" s="97">
        <v>0.0150462962962963</v>
      </c>
      <c r="AB71" s="98" t="s">
        <v>1938</v>
      </c>
    </row>
    <row r="72" ht="52.8" spans="1:28">
      <c r="A72" s="29">
        <v>10006921</v>
      </c>
      <c r="B72" s="30">
        <v>1</v>
      </c>
      <c r="C72" s="63" t="s">
        <v>1939</v>
      </c>
      <c r="D72" s="64" t="s">
        <v>1940</v>
      </c>
      <c r="E72" s="65">
        <v>0</v>
      </c>
      <c r="F72" s="65">
        <v>0</v>
      </c>
      <c r="G72" s="30">
        <v>0</v>
      </c>
      <c r="H72" s="30">
        <v>6</v>
      </c>
      <c r="I72" s="30">
        <v>2</v>
      </c>
      <c r="J72" s="30">
        <v>0</v>
      </c>
      <c r="K72" s="30">
        <v>1</v>
      </c>
      <c r="L72" s="30" t="s">
        <v>1802</v>
      </c>
      <c r="M72" s="30">
        <v>0</v>
      </c>
      <c r="N72" s="30">
        <v>0</v>
      </c>
      <c r="O72" s="66">
        <v>0</v>
      </c>
      <c r="P72" s="30">
        <v>0</v>
      </c>
      <c r="Q72" s="30">
        <v>0</v>
      </c>
      <c r="R72" s="30">
        <v>0</v>
      </c>
      <c r="S72" s="30">
        <v>1</v>
      </c>
      <c r="T72" s="30">
        <v>0</v>
      </c>
      <c r="U72" s="31">
        <v>0</v>
      </c>
      <c r="V72" s="67">
        <v>4</v>
      </c>
      <c r="W72" s="67">
        <f>0*1*2.5</f>
        <v>0</v>
      </c>
      <c r="X72" s="67">
        <v>0</v>
      </c>
      <c r="Y72" s="67" t="s">
        <v>1908</v>
      </c>
      <c r="Z72" s="67" t="s">
        <v>1909</v>
      </c>
      <c r="AB72" s="69" t="s">
        <v>1941</v>
      </c>
    </row>
    <row r="73" ht="26.4" spans="1:28">
      <c r="A73" s="29">
        <v>10007021</v>
      </c>
      <c r="B73" s="30">
        <v>3</v>
      </c>
      <c r="C73" s="63" t="s">
        <v>1942</v>
      </c>
      <c r="D73" s="64" t="s">
        <v>1940</v>
      </c>
      <c r="E73" s="65">
        <v>0</v>
      </c>
      <c r="F73" s="65">
        <v>0</v>
      </c>
      <c r="G73" s="30">
        <v>0</v>
      </c>
      <c r="H73" s="30">
        <v>8</v>
      </c>
      <c r="I73" s="30">
        <v>1</v>
      </c>
      <c r="J73" s="30">
        <v>1</v>
      </c>
      <c r="K73" s="30">
        <v>0</v>
      </c>
      <c r="L73" s="30" t="s">
        <v>1802</v>
      </c>
      <c r="M73" s="30">
        <v>0</v>
      </c>
      <c r="N73" s="30">
        <v>0</v>
      </c>
      <c r="O73" s="66">
        <v>0</v>
      </c>
      <c r="P73" s="30">
        <v>0</v>
      </c>
      <c r="Q73" s="30">
        <v>0</v>
      </c>
      <c r="R73" s="30">
        <v>0</v>
      </c>
      <c r="S73" s="30">
        <v>1</v>
      </c>
      <c r="T73" s="30">
        <v>0</v>
      </c>
      <c r="U73" s="31">
        <v>0</v>
      </c>
      <c r="V73" s="67">
        <v>4</v>
      </c>
      <c r="W73" s="67">
        <f>0*1*2.5</f>
        <v>0</v>
      </c>
      <c r="X73" s="67">
        <v>0</v>
      </c>
      <c r="Y73" s="67" t="s">
        <v>1908</v>
      </c>
      <c r="Z73" s="67" t="s">
        <v>1909</v>
      </c>
      <c r="AA73" s="97">
        <v>0.015625</v>
      </c>
      <c r="AB73" s="98" t="s">
        <v>1943</v>
      </c>
    </row>
    <row r="74" ht="52.8" spans="1:28">
      <c r="A74" s="29">
        <v>10007121</v>
      </c>
      <c r="B74" s="30">
        <v>5</v>
      </c>
      <c r="C74" s="63" t="s">
        <v>1944</v>
      </c>
      <c r="D74" s="64" t="s">
        <v>1940</v>
      </c>
      <c r="E74" s="65">
        <v>0</v>
      </c>
      <c r="F74" s="65">
        <v>0</v>
      </c>
      <c r="G74" s="30">
        <v>0</v>
      </c>
      <c r="H74" s="30">
        <v>11</v>
      </c>
      <c r="I74" s="30">
        <v>1</v>
      </c>
      <c r="J74" s="30">
        <v>0</v>
      </c>
      <c r="K74" s="30">
        <v>0</v>
      </c>
      <c r="L74" s="30" t="s">
        <v>1802</v>
      </c>
      <c r="M74" s="30">
        <v>0</v>
      </c>
      <c r="N74" s="30">
        <v>0</v>
      </c>
      <c r="O74" s="66">
        <v>0</v>
      </c>
      <c r="P74" s="30">
        <v>0</v>
      </c>
      <c r="Q74" s="30">
        <v>0</v>
      </c>
      <c r="R74" s="30">
        <v>2</v>
      </c>
      <c r="S74" s="30">
        <v>1</v>
      </c>
      <c r="T74" s="30">
        <v>0</v>
      </c>
      <c r="U74" s="31">
        <v>0</v>
      </c>
      <c r="V74" s="67">
        <v>5</v>
      </c>
      <c r="W74" s="67">
        <f>2*1*2.5</f>
        <v>5</v>
      </c>
      <c r="X74" s="67">
        <v>2</v>
      </c>
      <c r="Y74" s="67" t="s">
        <v>1913</v>
      </c>
      <c r="Z74" s="67" t="s">
        <v>1909</v>
      </c>
      <c r="AA74" s="97">
        <v>0.0300925925925926</v>
      </c>
      <c r="AB74" s="98" t="s">
        <v>1945</v>
      </c>
    </row>
    <row r="75" ht="26.4" spans="1:28">
      <c r="A75" s="29">
        <v>10007221</v>
      </c>
      <c r="B75" s="30">
        <v>2</v>
      </c>
      <c r="C75" s="63" t="s">
        <v>1946</v>
      </c>
      <c r="D75" s="64" t="s">
        <v>1940</v>
      </c>
      <c r="E75" s="65">
        <v>0</v>
      </c>
      <c r="F75" s="65">
        <v>0</v>
      </c>
      <c r="G75" s="30">
        <v>0</v>
      </c>
      <c r="H75" s="30">
        <v>5</v>
      </c>
      <c r="I75" s="30">
        <v>3</v>
      </c>
      <c r="J75" s="30">
        <v>1</v>
      </c>
      <c r="K75" s="30">
        <v>2</v>
      </c>
      <c r="L75" s="30" t="s">
        <v>1802</v>
      </c>
      <c r="M75" s="30">
        <v>0</v>
      </c>
      <c r="N75" s="30">
        <v>0</v>
      </c>
      <c r="O75" s="66">
        <v>0</v>
      </c>
      <c r="P75" s="30">
        <v>0</v>
      </c>
      <c r="Q75" s="30">
        <v>0</v>
      </c>
      <c r="R75" s="30">
        <v>0</v>
      </c>
      <c r="S75" s="30">
        <v>1</v>
      </c>
      <c r="T75" s="30">
        <v>0</v>
      </c>
      <c r="U75" s="31">
        <v>0</v>
      </c>
      <c r="V75" s="67">
        <v>4</v>
      </c>
      <c r="W75" s="67">
        <f>0*1*2.5</f>
        <v>0</v>
      </c>
      <c r="X75" s="67">
        <v>0</v>
      </c>
      <c r="Y75" s="67" t="s">
        <v>1908</v>
      </c>
      <c r="Z75" s="67" t="s">
        <v>1909</v>
      </c>
      <c r="AA75" s="97">
        <v>0.00810185185185185</v>
      </c>
      <c r="AB75" s="98" t="s">
        <v>1947</v>
      </c>
    </row>
    <row r="76" ht="26.4" spans="1:28">
      <c r="A76" s="29">
        <v>10007321</v>
      </c>
      <c r="B76" s="30">
        <v>3</v>
      </c>
      <c r="C76" s="63" t="s">
        <v>1948</v>
      </c>
      <c r="D76" s="64" t="s">
        <v>1940</v>
      </c>
      <c r="E76" s="65">
        <v>0</v>
      </c>
      <c r="F76" s="65">
        <v>0</v>
      </c>
      <c r="G76" s="30">
        <v>0</v>
      </c>
      <c r="H76" s="30">
        <v>8</v>
      </c>
      <c r="I76" s="30">
        <v>5</v>
      </c>
      <c r="J76" s="30">
        <v>0</v>
      </c>
      <c r="K76" s="30">
        <v>0</v>
      </c>
      <c r="L76" s="30" t="s">
        <v>1802</v>
      </c>
      <c r="M76" s="30">
        <v>0</v>
      </c>
      <c r="N76" s="30">
        <v>0</v>
      </c>
      <c r="O76" s="66">
        <v>0</v>
      </c>
      <c r="P76" s="30">
        <v>0</v>
      </c>
      <c r="Q76" s="30">
        <v>0</v>
      </c>
      <c r="R76" s="30">
        <v>0</v>
      </c>
      <c r="S76" s="30">
        <v>1</v>
      </c>
      <c r="T76" s="30">
        <v>0</v>
      </c>
      <c r="U76" s="31">
        <v>0</v>
      </c>
      <c r="V76" s="67">
        <v>5</v>
      </c>
      <c r="W76" s="67">
        <f>0*1*2.5</f>
        <v>0</v>
      </c>
      <c r="X76" s="67">
        <v>0</v>
      </c>
      <c r="Y76" s="67" t="s">
        <v>1913</v>
      </c>
      <c r="Z76" s="67" t="s">
        <v>1909</v>
      </c>
      <c r="AA76" s="97">
        <v>0.015625</v>
      </c>
      <c r="AB76" s="98" t="s">
        <v>1296</v>
      </c>
    </row>
    <row r="77" ht="92.4" spans="1:28">
      <c r="A77" s="29">
        <v>10007421</v>
      </c>
      <c r="B77" s="30">
        <v>4</v>
      </c>
      <c r="C77" s="63" t="s">
        <v>1949</v>
      </c>
      <c r="D77" s="64" t="s">
        <v>1940</v>
      </c>
      <c r="E77" s="65">
        <v>0</v>
      </c>
      <c r="F77" s="65">
        <v>0</v>
      </c>
      <c r="G77" s="30">
        <v>0</v>
      </c>
      <c r="H77" s="30">
        <v>7</v>
      </c>
      <c r="I77" s="30">
        <v>5</v>
      </c>
      <c r="J77" s="30">
        <v>0</v>
      </c>
      <c r="K77" s="30">
        <v>0</v>
      </c>
      <c r="L77" s="30" t="s">
        <v>1802</v>
      </c>
      <c r="M77" s="30">
        <v>0</v>
      </c>
      <c r="N77" s="30">
        <v>0</v>
      </c>
      <c r="O77" s="66">
        <v>0</v>
      </c>
      <c r="P77" s="30">
        <v>0</v>
      </c>
      <c r="Q77" s="30">
        <v>0</v>
      </c>
      <c r="R77" s="30">
        <v>1</v>
      </c>
      <c r="S77" s="30">
        <v>1</v>
      </c>
      <c r="T77" s="30">
        <v>0</v>
      </c>
      <c r="U77" s="31">
        <v>0</v>
      </c>
      <c r="V77" s="67">
        <v>5</v>
      </c>
      <c r="W77" s="67">
        <f>1*1*2.5</f>
        <v>2.5</v>
      </c>
      <c r="X77" s="67">
        <v>1</v>
      </c>
      <c r="Y77" s="67" t="s">
        <v>1913</v>
      </c>
      <c r="Z77" s="67" t="s">
        <v>1909</v>
      </c>
      <c r="AA77" s="97">
        <v>0.0173611111111111</v>
      </c>
      <c r="AB77" s="98" t="s">
        <v>1950</v>
      </c>
    </row>
    <row r="78" ht="39.6" spans="1:28">
      <c r="A78" s="29">
        <v>10007521</v>
      </c>
      <c r="B78" s="30">
        <v>1</v>
      </c>
      <c r="C78" s="63" t="s">
        <v>1951</v>
      </c>
      <c r="D78" s="64" t="s">
        <v>1952</v>
      </c>
      <c r="E78" s="65">
        <v>0</v>
      </c>
      <c r="F78" s="65">
        <v>0</v>
      </c>
      <c r="G78" s="30">
        <v>0</v>
      </c>
      <c r="H78" s="30">
        <v>0</v>
      </c>
      <c r="I78" s="30">
        <v>2</v>
      </c>
      <c r="J78" s="30">
        <v>5</v>
      </c>
      <c r="K78" s="30">
        <v>1</v>
      </c>
      <c r="L78" s="30" t="s">
        <v>1802</v>
      </c>
      <c r="M78" s="30">
        <v>0</v>
      </c>
      <c r="N78" s="30">
        <v>0</v>
      </c>
      <c r="O78" s="66">
        <v>1</v>
      </c>
      <c r="P78" s="30">
        <v>0</v>
      </c>
      <c r="Q78" s="30">
        <v>0</v>
      </c>
      <c r="R78" s="30">
        <v>1</v>
      </c>
      <c r="S78" s="30">
        <v>1</v>
      </c>
      <c r="T78" s="30">
        <v>0</v>
      </c>
      <c r="U78" s="31">
        <v>0</v>
      </c>
      <c r="V78" s="67">
        <v>4</v>
      </c>
      <c r="W78" s="67">
        <f>1*1*2.5</f>
        <v>2.5</v>
      </c>
      <c r="X78" s="67">
        <v>1</v>
      </c>
      <c r="Y78" s="67" t="s">
        <v>1908</v>
      </c>
      <c r="Z78" s="67" t="s">
        <v>1953</v>
      </c>
      <c r="AB78" s="69" t="s">
        <v>1954</v>
      </c>
    </row>
    <row r="79" ht="39.6" spans="1:28">
      <c r="A79" s="29">
        <v>10007621</v>
      </c>
      <c r="B79" s="30">
        <v>3</v>
      </c>
      <c r="C79" s="63" t="s">
        <v>1955</v>
      </c>
      <c r="D79" s="64" t="s">
        <v>1952</v>
      </c>
      <c r="E79" s="65">
        <v>0</v>
      </c>
      <c r="F79" s="65">
        <v>0</v>
      </c>
      <c r="G79" s="30">
        <v>0</v>
      </c>
      <c r="H79" s="30">
        <v>0</v>
      </c>
      <c r="I79" s="30">
        <v>5</v>
      </c>
      <c r="J79" s="30">
        <v>7</v>
      </c>
      <c r="K79" s="30">
        <v>1</v>
      </c>
      <c r="L79" s="30" t="s">
        <v>1802</v>
      </c>
      <c r="M79" s="30">
        <v>0</v>
      </c>
      <c r="N79" s="30">
        <v>0</v>
      </c>
      <c r="O79" s="66">
        <v>1</v>
      </c>
      <c r="P79" s="30">
        <v>0</v>
      </c>
      <c r="Q79" s="30">
        <v>0</v>
      </c>
      <c r="R79" s="30">
        <v>1</v>
      </c>
      <c r="S79" s="30">
        <v>1</v>
      </c>
      <c r="T79" s="30">
        <v>0</v>
      </c>
      <c r="U79" s="31">
        <v>0</v>
      </c>
      <c r="V79" s="67">
        <v>5</v>
      </c>
      <c r="W79" s="67">
        <f>1*1*2.5</f>
        <v>2.5</v>
      </c>
      <c r="X79" s="67">
        <v>1</v>
      </c>
      <c r="Y79" s="67" t="s">
        <v>1913</v>
      </c>
      <c r="Z79" s="67" t="s">
        <v>1953</v>
      </c>
      <c r="AA79" s="97">
        <v>0.0167824074074074</v>
      </c>
      <c r="AB79" s="98"/>
    </row>
    <row r="80" ht="39.6" spans="1:28">
      <c r="A80" s="29">
        <v>10007721</v>
      </c>
      <c r="B80" s="30">
        <v>1</v>
      </c>
      <c r="C80" s="63" t="s">
        <v>1956</v>
      </c>
      <c r="D80" s="64" t="s">
        <v>1952</v>
      </c>
      <c r="E80" s="65">
        <v>0</v>
      </c>
      <c r="F80" s="65">
        <v>0</v>
      </c>
      <c r="G80" s="30">
        <v>0</v>
      </c>
      <c r="H80" s="30">
        <v>0</v>
      </c>
      <c r="I80" s="30">
        <v>3</v>
      </c>
      <c r="J80" s="30">
        <v>4</v>
      </c>
      <c r="K80" s="30">
        <v>1</v>
      </c>
      <c r="L80" s="30" t="s">
        <v>1802</v>
      </c>
      <c r="M80" s="30">
        <v>0</v>
      </c>
      <c r="N80" s="30">
        <v>0</v>
      </c>
      <c r="O80" s="66">
        <v>1</v>
      </c>
      <c r="P80" s="30">
        <v>0</v>
      </c>
      <c r="Q80" s="30">
        <v>0</v>
      </c>
      <c r="R80" s="30">
        <v>1</v>
      </c>
      <c r="S80" s="30">
        <v>1</v>
      </c>
      <c r="T80" s="30">
        <v>0</v>
      </c>
      <c r="U80" s="31">
        <v>0</v>
      </c>
      <c r="V80" s="67">
        <v>5</v>
      </c>
      <c r="W80" s="67">
        <f>1*1*2.5</f>
        <v>2.5</v>
      </c>
      <c r="X80" s="67">
        <v>1</v>
      </c>
      <c r="Y80" s="67" t="s">
        <v>1913</v>
      </c>
      <c r="Z80" s="67" t="s">
        <v>1953</v>
      </c>
      <c r="AB80" s="69" t="s">
        <v>1957</v>
      </c>
    </row>
    <row r="81" ht="39.6" spans="1:28">
      <c r="A81" s="29">
        <v>10007821</v>
      </c>
      <c r="B81" s="30">
        <v>3</v>
      </c>
      <c r="C81" s="63" t="s">
        <v>1958</v>
      </c>
      <c r="D81" s="64" t="s">
        <v>1952</v>
      </c>
      <c r="E81" s="65">
        <v>0</v>
      </c>
      <c r="F81" s="65">
        <v>0</v>
      </c>
      <c r="G81" s="30">
        <v>0</v>
      </c>
      <c r="H81" s="30">
        <v>0</v>
      </c>
      <c r="I81" s="30">
        <v>6</v>
      </c>
      <c r="J81" s="30">
        <v>6</v>
      </c>
      <c r="K81" s="30">
        <v>1</v>
      </c>
      <c r="L81" s="30" t="s">
        <v>1802</v>
      </c>
      <c r="M81" s="30">
        <v>0</v>
      </c>
      <c r="N81" s="30">
        <v>0</v>
      </c>
      <c r="O81" s="66">
        <v>1</v>
      </c>
      <c r="P81" s="30">
        <v>0</v>
      </c>
      <c r="Q81" s="30">
        <v>0</v>
      </c>
      <c r="R81" s="30">
        <v>1</v>
      </c>
      <c r="S81" s="30">
        <v>1</v>
      </c>
      <c r="T81" s="30">
        <v>0</v>
      </c>
      <c r="U81" s="31">
        <v>0</v>
      </c>
      <c r="V81" s="67">
        <v>5</v>
      </c>
      <c r="W81" s="67">
        <f>1*1*2.5</f>
        <v>2.5</v>
      </c>
      <c r="X81" s="67">
        <v>1</v>
      </c>
      <c r="Y81" s="67" t="s">
        <v>1913</v>
      </c>
      <c r="Z81" s="67" t="s">
        <v>1953</v>
      </c>
      <c r="AA81" s="97">
        <v>0.0167824074074074</v>
      </c>
      <c r="AB81" s="98"/>
    </row>
    <row r="82" ht="39.6" spans="1:28">
      <c r="A82" s="29">
        <v>10007921</v>
      </c>
      <c r="B82" s="30">
        <v>2</v>
      </c>
      <c r="C82" s="63" t="s">
        <v>1959</v>
      </c>
      <c r="D82" s="64" t="s">
        <v>1960</v>
      </c>
      <c r="E82" s="65">
        <v>0</v>
      </c>
      <c r="F82" s="65">
        <v>0</v>
      </c>
      <c r="G82" s="30">
        <v>0</v>
      </c>
      <c r="H82" s="30">
        <v>0</v>
      </c>
      <c r="I82" s="30">
        <v>0</v>
      </c>
      <c r="J82" s="30">
        <v>4</v>
      </c>
      <c r="K82" s="30">
        <v>1</v>
      </c>
      <c r="L82" s="30" t="s">
        <v>1802</v>
      </c>
      <c r="M82" s="30">
        <v>0</v>
      </c>
      <c r="N82" s="30">
        <v>0</v>
      </c>
      <c r="O82" s="66">
        <v>0</v>
      </c>
      <c r="P82" s="30">
        <v>0</v>
      </c>
      <c r="Q82" s="30">
        <v>0</v>
      </c>
      <c r="R82" s="30">
        <v>3</v>
      </c>
      <c r="S82" s="30">
        <v>2.8</v>
      </c>
      <c r="T82" s="30">
        <v>0.4</v>
      </c>
      <c r="U82" s="31">
        <v>0</v>
      </c>
      <c r="V82" s="67">
        <v>0</v>
      </c>
      <c r="W82" s="67">
        <f>3*2.8*2.5</f>
        <v>21</v>
      </c>
      <c r="X82" s="67">
        <f>3+MAX($X$2,0.4)*3*$X$1</f>
        <v>17.4</v>
      </c>
      <c r="Y82" s="67" t="s">
        <v>1961</v>
      </c>
      <c r="Z82" s="67" t="s">
        <v>1883</v>
      </c>
      <c r="AA82" s="97">
        <v>0.0381944444444444</v>
      </c>
      <c r="AB82" s="98" t="s">
        <v>1962</v>
      </c>
    </row>
    <row r="83" ht="39.6" spans="1:28">
      <c r="A83" s="29">
        <v>10008021</v>
      </c>
      <c r="B83" s="30">
        <v>2</v>
      </c>
      <c r="C83" s="63" t="s">
        <v>1963</v>
      </c>
      <c r="D83" s="64" t="s">
        <v>1960</v>
      </c>
      <c r="E83" s="65">
        <v>0</v>
      </c>
      <c r="F83" s="65">
        <v>0</v>
      </c>
      <c r="G83" s="30">
        <v>0</v>
      </c>
      <c r="H83" s="30">
        <v>0</v>
      </c>
      <c r="I83" s="30">
        <v>0</v>
      </c>
      <c r="J83" s="30">
        <v>5</v>
      </c>
      <c r="K83" s="30">
        <v>3</v>
      </c>
      <c r="L83" s="30" t="s">
        <v>1802</v>
      </c>
      <c r="M83" s="30">
        <v>0</v>
      </c>
      <c r="N83" s="30">
        <v>0</v>
      </c>
      <c r="O83" s="66">
        <v>0</v>
      </c>
      <c r="P83" s="30">
        <v>0</v>
      </c>
      <c r="Q83" s="30">
        <v>0</v>
      </c>
      <c r="R83" s="30">
        <v>0</v>
      </c>
      <c r="S83" s="30">
        <v>1</v>
      </c>
      <c r="T83" s="30">
        <v>0</v>
      </c>
      <c r="U83" s="31">
        <v>0</v>
      </c>
      <c r="V83" s="67">
        <v>0</v>
      </c>
      <c r="W83" s="67">
        <f>0*1*2.5</f>
        <v>0</v>
      </c>
      <c r="X83" s="67">
        <v>0</v>
      </c>
      <c r="Z83" s="67" t="s">
        <v>1883</v>
      </c>
      <c r="AA83" s="97">
        <v>0.0381944444444444</v>
      </c>
      <c r="AB83" s="98" t="s">
        <v>1964</v>
      </c>
    </row>
    <row r="84" ht="52.8" spans="1:28">
      <c r="A84" s="29">
        <v>10008121</v>
      </c>
      <c r="B84" s="30">
        <v>4</v>
      </c>
      <c r="C84" s="63" t="s">
        <v>1965</v>
      </c>
      <c r="D84" s="64" t="s">
        <v>1960</v>
      </c>
      <c r="E84" s="65">
        <v>0</v>
      </c>
      <c r="F84" s="65">
        <v>0</v>
      </c>
      <c r="G84" s="30">
        <v>0</v>
      </c>
      <c r="H84" s="30">
        <v>0</v>
      </c>
      <c r="I84" s="30">
        <v>0</v>
      </c>
      <c r="J84" s="30">
        <v>6</v>
      </c>
      <c r="K84" s="30">
        <v>2</v>
      </c>
      <c r="L84" s="30" t="s">
        <v>1802</v>
      </c>
      <c r="M84" s="30">
        <v>0</v>
      </c>
      <c r="N84" s="30">
        <v>0</v>
      </c>
      <c r="O84" s="66">
        <v>0</v>
      </c>
      <c r="P84" s="30">
        <v>0</v>
      </c>
      <c r="Q84" s="30">
        <v>0</v>
      </c>
      <c r="R84" s="30">
        <v>5</v>
      </c>
      <c r="S84" s="30">
        <v>3</v>
      </c>
      <c r="T84" s="30">
        <v>0.4</v>
      </c>
      <c r="U84" s="31">
        <v>0</v>
      </c>
      <c r="V84" s="67">
        <v>0</v>
      </c>
      <c r="W84" s="67">
        <f>5*3*2.5</f>
        <v>37.5</v>
      </c>
      <c r="X84" s="67">
        <f>5+MAX($X$2,0.4)*5*$X$1</f>
        <v>29</v>
      </c>
      <c r="Y84" s="67" t="s">
        <v>1966</v>
      </c>
      <c r="Z84" s="67" t="s">
        <v>1883</v>
      </c>
      <c r="AA84" s="97">
        <v>0.0648148148148148</v>
      </c>
      <c r="AB84" s="98" t="s">
        <v>1967</v>
      </c>
    </row>
    <row r="85" ht="39.6" spans="1:28">
      <c r="A85" s="29">
        <v>10008221</v>
      </c>
      <c r="B85" s="30">
        <v>4</v>
      </c>
      <c r="C85" s="63" t="s">
        <v>1968</v>
      </c>
      <c r="D85" s="64" t="s">
        <v>1960</v>
      </c>
      <c r="E85" s="65">
        <v>0</v>
      </c>
      <c r="F85" s="65">
        <v>0</v>
      </c>
      <c r="G85" s="30">
        <v>0</v>
      </c>
      <c r="H85" s="30">
        <v>0</v>
      </c>
      <c r="I85" s="30">
        <v>0</v>
      </c>
      <c r="J85" s="30">
        <v>7</v>
      </c>
      <c r="K85" s="30">
        <v>5</v>
      </c>
      <c r="L85" s="30" t="s">
        <v>1802</v>
      </c>
      <c r="M85" s="30">
        <v>0</v>
      </c>
      <c r="N85" s="30">
        <v>0</v>
      </c>
      <c r="O85" s="66">
        <v>0</v>
      </c>
      <c r="P85" s="30">
        <v>0</v>
      </c>
      <c r="Q85" s="30">
        <v>0</v>
      </c>
      <c r="R85" s="30">
        <v>0</v>
      </c>
      <c r="S85" s="30">
        <v>1</v>
      </c>
      <c r="T85" s="30">
        <v>0</v>
      </c>
      <c r="U85" s="31">
        <v>0</v>
      </c>
      <c r="V85" s="67">
        <v>0</v>
      </c>
      <c r="W85" s="67">
        <f t="shared" ref="W85:W94" si="1">0*1*2.5</f>
        <v>0</v>
      </c>
      <c r="X85" s="67">
        <v>0</v>
      </c>
      <c r="Z85" s="67" t="s">
        <v>1883</v>
      </c>
      <c r="AA85" s="97">
        <v>0.0648148148148148</v>
      </c>
      <c r="AB85" s="98" t="s">
        <v>1969</v>
      </c>
    </row>
    <row r="86" ht="26.4" spans="1:28">
      <c r="A86" s="29">
        <v>10008321</v>
      </c>
      <c r="B86" s="30">
        <v>2</v>
      </c>
      <c r="C86" s="63" t="s">
        <v>1970</v>
      </c>
      <c r="D86" s="64" t="s">
        <v>1960</v>
      </c>
      <c r="E86" s="65">
        <v>0</v>
      </c>
      <c r="F86" s="65">
        <v>0</v>
      </c>
      <c r="G86" s="30">
        <v>0</v>
      </c>
      <c r="H86" s="30">
        <v>0</v>
      </c>
      <c r="I86" s="30">
        <v>6</v>
      </c>
      <c r="J86" s="30">
        <v>0</v>
      </c>
      <c r="K86" s="30">
        <v>1</v>
      </c>
      <c r="L86" s="30" t="s">
        <v>1802</v>
      </c>
      <c r="M86" s="30">
        <v>0</v>
      </c>
      <c r="N86" s="30">
        <v>0</v>
      </c>
      <c r="O86" s="66">
        <v>0</v>
      </c>
      <c r="P86" s="30">
        <v>0</v>
      </c>
      <c r="Q86" s="30">
        <v>0</v>
      </c>
      <c r="R86" s="30">
        <v>0</v>
      </c>
      <c r="S86" s="30">
        <v>1</v>
      </c>
      <c r="T86" s="30">
        <v>0</v>
      </c>
      <c r="U86" s="31">
        <v>0</v>
      </c>
      <c r="V86" s="67">
        <v>0</v>
      </c>
      <c r="W86" s="67">
        <f t="shared" si="1"/>
        <v>0</v>
      </c>
      <c r="X86" s="67">
        <v>0</v>
      </c>
      <c r="Z86" s="67" t="s">
        <v>1971</v>
      </c>
      <c r="AA86" s="97">
        <v>0.00578703703703704</v>
      </c>
      <c r="AB86" s="98" t="s">
        <v>1972</v>
      </c>
    </row>
    <row r="87" ht="52.8" spans="1:28">
      <c r="A87" s="29">
        <v>10008421</v>
      </c>
      <c r="B87" s="30">
        <v>4</v>
      </c>
      <c r="C87" s="63" t="s">
        <v>1973</v>
      </c>
      <c r="D87" s="64" t="s">
        <v>1960</v>
      </c>
      <c r="E87" s="65">
        <v>0</v>
      </c>
      <c r="F87" s="65">
        <v>0</v>
      </c>
      <c r="G87" s="30">
        <v>0</v>
      </c>
      <c r="H87" s="30">
        <v>0</v>
      </c>
      <c r="I87" s="30">
        <v>10</v>
      </c>
      <c r="J87" s="30">
        <v>0</v>
      </c>
      <c r="K87" s="30">
        <v>2</v>
      </c>
      <c r="L87" s="30" t="s">
        <v>1802</v>
      </c>
      <c r="M87" s="30">
        <v>0</v>
      </c>
      <c r="N87" s="30">
        <v>0</v>
      </c>
      <c r="O87" s="66">
        <v>0</v>
      </c>
      <c r="P87" s="30">
        <v>0</v>
      </c>
      <c r="Q87" s="30">
        <v>0</v>
      </c>
      <c r="R87" s="30">
        <v>0</v>
      </c>
      <c r="S87" s="30">
        <v>1</v>
      </c>
      <c r="T87" s="30">
        <v>0</v>
      </c>
      <c r="U87" s="31">
        <v>0</v>
      </c>
      <c r="V87" s="67">
        <v>0</v>
      </c>
      <c r="W87" s="67">
        <f t="shared" si="1"/>
        <v>0</v>
      </c>
      <c r="X87" s="67">
        <v>0</v>
      </c>
      <c r="Z87" s="67" t="s">
        <v>1971</v>
      </c>
      <c r="AA87" s="97">
        <v>0.0109953703703704</v>
      </c>
      <c r="AB87" s="98" t="s">
        <v>1974</v>
      </c>
    </row>
    <row r="88" ht="26.4" spans="1:28">
      <c r="A88" s="29">
        <v>10008521</v>
      </c>
      <c r="B88" s="30">
        <v>2</v>
      </c>
      <c r="C88" s="63" t="s">
        <v>1975</v>
      </c>
      <c r="D88" s="64" t="s">
        <v>1976</v>
      </c>
      <c r="E88" s="65">
        <v>0</v>
      </c>
      <c r="F88" s="65">
        <v>0</v>
      </c>
      <c r="G88" s="30">
        <v>0</v>
      </c>
      <c r="H88" s="30">
        <v>0</v>
      </c>
      <c r="I88" s="30">
        <v>5</v>
      </c>
      <c r="J88" s="30">
        <v>0</v>
      </c>
      <c r="K88" s="30">
        <v>0</v>
      </c>
      <c r="L88" s="30" t="s">
        <v>115</v>
      </c>
      <c r="M88" s="30">
        <v>0</v>
      </c>
      <c r="N88" s="30">
        <v>0</v>
      </c>
      <c r="O88" s="66">
        <v>0</v>
      </c>
      <c r="P88" s="30">
        <v>0</v>
      </c>
      <c r="Q88" s="30">
        <v>0</v>
      </c>
      <c r="R88" s="30">
        <v>0</v>
      </c>
      <c r="S88" s="30">
        <v>1</v>
      </c>
      <c r="T88" s="30">
        <v>0</v>
      </c>
      <c r="U88" s="31">
        <v>0</v>
      </c>
      <c r="V88" s="67">
        <v>0</v>
      </c>
      <c r="W88" s="67">
        <f t="shared" si="1"/>
        <v>0</v>
      </c>
      <c r="X88" s="67">
        <v>0</v>
      </c>
      <c r="Z88" s="67" t="s">
        <v>1977</v>
      </c>
      <c r="AA88" s="97">
        <v>0.00694444444444444</v>
      </c>
      <c r="AB88" s="98" t="s">
        <v>1978</v>
      </c>
    </row>
    <row r="89" ht="79.2" spans="1:28">
      <c r="A89" s="29">
        <v>10008621</v>
      </c>
      <c r="B89" s="30">
        <v>4</v>
      </c>
      <c r="C89" s="63" t="s">
        <v>1575</v>
      </c>
      <c r="D89" s="64" t="s">
        <v>1976</v>
      </c>
      <c r="E89" s="65">
        <v>0</v>
      </c>
      <c r="F89" s="65">
        <v>0</v>
      </c>
      <c r="G89" s="30">
        <v>0</v>
      </c>
      <c r="H89" s="30">
        <v>0</v>
      </c>
      <c r="I89" s="30">
        <v>8</v>
      </c>
      <c r="J89" s="30">
        <v>0</v>
      </c>
      <c r="K89" s="30">
        <v>0</v>
      </c>
      <c r="L89" s="30" t="s">
        <v>115</v>
      </c>
      <c r="M89" s="30">
        <v>0</v>
      </c>
      <c r="N89" s="30">
        <v>0</v>
      </c>
      <c r="O89" s="66">
        <v>0</v>
      </c>
      <c r="P89" s="30">
        <v>0</v>
      </c>
      <c r="Q89" s="30">
        <v>0</v>
      </c>
      <c r="R89" s="30">
        <v>0</v>
      </c>
      <c r="S89" s="30">
        <v>1</v>
      </c>
      <c r="T89" s="30">
        <v>0</v>
      </c>
      <c r="U89" s="31">
        <v>0</v>
      </c>
      <c r="V89" s="67">
        <v>0</v>
      </c>
      <c r="W89" s="67">
        <f t="shared" si="1"/>
        <v>0</v>
      </c>
      <c r="X89" s="67">
        <v>0</v>
      </c>
      <c r="Z89" s="67" t="s">
        <v>1977</v>
      </c>
      <c r="AA89" s="97">
        <v>0.0109953703703704</v>
      </c>
      <c r="AB89" s="98" t="s">
        <v>1979</v>
      </c>
    </row>
    <row r="90" ht="66" spans="1:28">
      <c r="A90" s="29">
        <v>10008721</v>
      </c>
      <c r="B90" s="30">
        <v>1</v>
      </c>
      <c r="C90" s="63" t="s">
        <v>1018</v>
      </c>
      <c r="D90" s="64" t="s">
        <v>14</v>
      </c>
      <c r="E90" s="65">
        <v>0</v>
      </c>
      <c r="F90" s="65">
        <v>0</v>
      </c>
      <c r="G90" s="30">
        <v>0</v>
      </c>
      <c r="H90" s="30">
        <v>3</v>
      </c>
      <c r="I90" s="30">
        <v>0</v>
      </c>
      <c r="J90" s="30">
        <v>0</v>
      </c>
      <c r="K90" s="30">
        <v>0</v>
      </c>
      <c r="L90" s="30" t="s">
        <v>115</v>
      </c>
      <c r="M90" s="30">
        <v>0</v>
      </c>
      <c r="N90" s="30">
        <v>0</v>
      </c>
      <c r="O90" s="66">
        <v>0</v>
      </c>
      <c r="P90" s="30">
        <v>0</v>
      </c>
      <c r="Q90" s="30">
        <v>0</v>
      </c>
      <c r="R90" s="30">
        <v>0</v>
      </c>
      <c r="S90" s="30">
        <v>1</v>
      </c>
      <c r="T90" s="30">
        <v>0</v>
      </c>
      <c r="U90" s="31">
        <v>0</v>
      </c>
      <c r="V90" s="67">
        <v>0</v>
      </c>
      <c r="W90" s="67">
        <f t="shared" si="1"/>
        <v>0</v>
      </c>
      <c r="X90" s="67">
        <v>0</v>
      </c>
      <c r="Z90" s="67" t="s">
        <v>1980</v>
      </c>
      <c r="AB90" s="69" t="s">
        <v>1981</v>
      </c>
    </row>
    <row r="91" ht="79.2" spans="1:28">
      <c r="A91" s="29">
        <v>10008821</v>
      </c>
      <c r="B91" s="30">
        <v>1</v>
      </c>
      <c r="C91" s="63" t="s">
        <v>524</v>
      </c>
      <c r="D91" s="64" t="s">
        <v>14</v>
      </c>
      <c r="E91" s="65">
        <v>0</v>
      </c>
      <c r="F91" s="65">
        <v>0</v>
      </c>
      <c r="G91" s="30">
        <v>0</v>
      </c>
      <c r="H91" s="30">
        <v>4</v>
      </c>
      <c r="I91" s="30">
        <v>0</v>
      </c>
      <c r="J91" s="30">
        <v>0</v>
      </c>
      <c r="K91" s="30">
        <v>0</v>
      </c>
      <c r="L91" s="30" t="s">
        <v>115</v>
      </c>
      <c r="M91" s="30">
        <v>0</v>
      </c>
      <c r="N91" s="30">
        <v>0</v>
      </c>
      <c r="O91" s="66">
        <v>0</v>
      </c>
      <c r="P91" s="30">
        <v>0</v>
      </c>
      <c r="Q91" s="30">
        <v>0</v>
      </c>
      <c r="R91" s="30">
        <v>0</v>
      </c>
      <c r="S91" s="30">
        <v>1</v>
      </c>
      <c r="T91" s="30">
        <v>0</v>
      </c>
      <c r="U91" s="31">
        <v>0</v>
      </c>
      <c r="V91" s="67">
        <v>0</v>
      </c>
      <c r="W91" s="67">
        <f t="shared" si="1"/>
        <v>0</v>
      </c>
      <c r="X91" s="67">
        <v>0</v>
      </c>
      <c r="Z91" s="67" t="s">
        <v>1980</v>
      </c>
      <c r="AB91" s="69" t="s">
        <v>1982</v>
      </c>
    </row>
    <row r="92" ht="66" spans="1:28">
      <c r="A92" s="29">
        <v>10008921</v>
      </c>
      <c r="B92" s="30">
        <v>2</v>
      </c>
      <c r="C92" s="63" t="s">
        <v>1983</v>
      </c>
      <c r="D92" s="64" t="s">
        <v>14</v>
      </c>
      <c r="E92" s="65">
        <v>0</v>
      </c>
      <c r="F92" s="65">
        <v>0</v>
      </c>
      <c r="G92" s="30">
        <v>0</v>
      </c>
      <c r="H92" s="30">
        <v>6</v>
      </c>
      <c r="I92" s="30">
        <v>0</v>
      </c>
      <c r="J92" s="30">
        <v>0</v>
      </c>
      <c r="K92" s="30">
        <v>0</v>
      </c>
      <c r="L92" s="30" t="s">
        <v>115</v>
      </c>
      <c r="M92" s="30">
        <v>0</v>
      </c>
      <c r="N92" s="30">
        <v>0</v>
      </c>
      <c r="O92" s="66">
        <v>0</v>
      </c>
      <c r="P92" s="30">
        <v>0</v>
      </c>
      <c r="Q92" s="30">
        <v>0</v>
      </c>
      <c r="R92" s="30">
        <v>0</v>
      </c>
      <c r="S92" s="30">
        <v>1</v>
      </c>
      <c r="T92" s="30">
        <v>0</v>
      </c>
      <c r="U92" s="31">
        <v>0</v>
      </c>
      <c r="V92" s="67">
        <v>0</v>
      </c>
      <c r="W92" s="67">
        <f t="shared" si="1"/>
        <v>0</v>
      </c>
      <c r="X92" s="67">
        <v>0</v>
      </c>
      <c r="Z92" s="67" t="s">
        <v>1980</v>
      </c>
      <c r="AA92" s="97">
        <v>0.00752314814814815</v>
      </c>
      <c r="AB92" s="98" t="s">
        <v>1984</v>
      </c>
    </row>
    <row r="93" ht="39.6" spans="1:28">
      <c r="A93" s="29">
        <v>10009021</v>
      </c>
      <c r="B93" s="30">
        <v>3</v>
      </c>
      <c r="C93" s="63" t="s">
        <v>1176</v>
      </c>
      <c r="D93" s="64" t="s">
        <v>14</v>
      </c>
      <c r="E93" s="65">
        <v>0</v>
      </c>
      <c r="F93" s="65">
        <v>0</v>
      </c>
      <c r="G93" s="30">
        <v>0</v>
      </c>
      <c r="H93" s="30">
        <v>5</v>
      </c>
      <c r="I93" s="30">
        <v>0</v>
      </c>
      <c r="J93" s="30">
        <v>0</v>
      </c>
      <c r="K93" s="30">
        <v>0</v>
      </c>
      <c r="L93" s="30" t="s">
        <v>115</v>
      </c>
      <c r="M93" s="30">
        <v>0</v>
      </c>
      <c r="N93" s="30">
        <v>0</v>
      </c>
      <c r="O93" s="66">
        <v>0</v>
      </c>
      <c r="P93" s="30">
        <v>0</v>
      </c>
      <c r="Q93" s="30">
        <v>0</v>
      </c>
      <c r="R93" s="30">
        <v>0</v>
      </c>
      <c r="S93" s="30">
        <v>1</v>
      </c>
      <c r="T93" s="30">
        <v>0</v>
      </c>
      <c r="U93" s="31">
        <v>0</v>
      </c>
      <c r="V93" s="67">
        <v>0</v>
      </c>
      <c r="W93" s="67">
        <f t="shared" si="1"/>
        <v>0</v>
      </c>
      <c r="X93" s="67">
        <v>0</v>
      </c>
      <c r="Z93" s="67" t="s">
        <v>1980</v>
      </c>
      <c r="AA93" s="97">
        <v>0.00810185185185185</v>
      </c>
      <c r="AB93" s="98" t="s">
        <v>1985</v>
      </c>
    </row>
    <row r="94" ht="66" spans="1:28">
      <c r="A94" s="29">
        <v>10009121</v>
      </c>
      <c r="B94" s="30">
        <v>3</v>
      </c>
      <c r="C94" s="63" t="s">
        <v>1164</v>
      </c>
      <c r="D94" s="64" t="s">
        <v>14</v>
      </c>
      <c r="E94" s="65">
        <v>0</v>
      </c>
      <c r="F94" s="65">
        <v>0</v>
      </c>
      <c r="G94" s="30">
        <v>0</v>
      </c>
      <c r="H94" s="30">
        <v>7</v>
      </c>
      <c r="I94" s="30">
        <v>0</v>
      </c>
      <c r="J94" s="30">
        <v>0</v>
      </c>
      <c r="K94" s="30">
        <v>0</v>
      </c>
      <c r="L94" s="30" t="s">
        <v>115</v>
      </c>
      <c r="M94" s="30">
        <v>0</v>
      </c>
      <c r="N94" s="30">
        <v>0</v>
      </c>
      <c r="O94" s="66">
        <v>0</v>
      </c>
      <c r="P94" s="30">
        <v>0</v>
      </c>
      <c r="Q94" s="30">
        <v>0</v>
      </c>
      <c r="R94" s="30">
        <v>0</v>
      </c>
      <c r="S94" s="30">
        <v>1</v>
      </c>
      <c r="T94" s="30">
        <v>0</v>
      </c>
      <c r="U94" s="31">
        <v>0</v>
      </c>
      <c r="V94" s="67">
        <v>0</v>
      </c>
      <c r="W94" s="67">
        <f t="shared" si="1"/>
        <v>0</v>
      </c>
      <c r="X94" s="67">
        <v>0</v>
      </c>
      <c r="Z94" s="67" t="s">
        <v>1980</v>
      </c>
      <c r="AA94" s="97">
        <v>0.00925925925925926</v>
      </c>
      <c r="AB94" s="98" t="s">
        <v>1986</v>
      </c>
    </row>
    <row r="95" ht="39.6" spans="1:28">
      <c r="A95" s="29">
        <v>10009221</v>
      </c>
      <c r="B95" s="30">
        <v>5</v>
      </c>
      <c r="C95" s="63" t="s">
        <v>1987</v>
      </c>
      <c r="D95" s="64" t="s">
        <v>1988</v>
      </c>
      <c r="E95" s="65">
        <v>0</v>
      </c>
      <c r="F95" s="65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 t="s">
        <v>1802</v>
      </c>
      <c r="M95" s="30">
        <v>0</v>
      </c>
      <c r="N95" s="30">
        <v>0</v>
      </c>
      <c r="O95" s="66">
        <v>0</v>
      </c>
      <c r="P95" s="30">
        <v>0</v>
      </c>
      <c r="Q95" s="30">
        <v>0</v>
      </c>
      <c r="R95" s="30">
        <v>10</v>
      </c>
      <c r="S95" s="30">
        <v>1</v>
      </c>
      <c r="T95" s="30">
        <v>0.6</v>
      </c>
      <c r="U95" s="31">
        <v>0</v>
      </c>
      <c r="V95" s="67">
        <v>0</v>
      </c>
      <c r="W95" s="67">
        <f>10*1*2.5</f>
        <v>25</v>
      </c>
      <c r="X95" s="67">
        <f>10+MAX($X$2,0.6)*10*$X$1</f>
        <v>58</v>
      </c>
      <c r="Y95" s="67" t="s">
        <v>1989</v>
      </c>
      <c r="Z95" s="67" t="s">
        <v>1990</v>
      </c>
      <c r="AB95" s="69" t="s">
        <v>1991</v>
      </c>
    </row>
    <row r="96" ht="52.8" spans="1:28">
      <c r="A96" s="29">
        <v>10009321</v>
      </c>
      <c r="B96" s="30">
        <v>3</v>
      </c>
      <c r="C96" s="63" t="s">
        <v>1144</v>
      </c>
      <c r="D96" s="64" t="s">
        <v>1801</v>
      </c>
      <c r="E96" s="65">
        <v>0</v>
      </c>
      <c r="F96" s="65">
        <v>0</v>
      </c>
      <c r="G96" s="30">
        <v>0</v>
      </c>
      <c r="H96" s="30">
        <v>0</v>
      </c>
      <c r="I96" s="30">
        <v>0</v>
      </c>
      <c r="J96" s="30">
        <v>0</v>
      </c>
      <c r="K96" s="30">
        <v>0</v>
      </c>
      <c r="L96" s="30" t="s">
        <v>1802</v>
      </c>
      <c r="M96" s="30">
        <v>6</v>
      </c>
      <c r="N96" s="30">
        <v>0</v>
      </c>
      <c r="O96" s="66">
        <v>0</v>
      </c>
      <c r="P96" s="30">
        <v>0</v>
      </c>
      <c r="Q96" s="30">
        <v>0</v>
      </c>
      <c r="R96" s="30">
        <v>0</v>
      </c>
      <c r="S96" s="30">
        <v>1</v>
      </c>
      <c r="T96" s="30">
        <v>0</v>
      </c>
      <c r="U96" s="31">
        <v>0</v>
      </c>
      <c r="V96" s="67">
        <v>0</v>
      </c>
      <c r="W96" s="67">
        <f t="shared" ref="W96:W101" si="2">0*1*2.5</f>
        <v>0</v>
      </c>
      <c r="X96" s="67">
        <v>0</v>
      </c>
      <c r="Z96" s="67" t="s">
        <v>1803</v>
      </c>
      <c r="AA96" s="97">
        <v>0.0167824074074074</v>
      </c>
      <c r="AB96" s="98" t="s">
        <v>1992</v>
      </c>
    </row>
    <row r="97" ht="132" spans="1:28">
      <c r="A97" s="29">
        <v>10009421</v>
      </c>
      <c r="B97" s="30">
        <v>5</v>
      </c>
      <c r="C97" s="63" t="s">
        <v>916</v>
      </c>
      <c r="D97" s="64" t="s">
        <v>1801</v>
      </c>
      <c r="E97" s="65">
        <v>0</v>
      </c>
      <c r="F97" s="65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 t="s">
        <v>1802</v>
      </c>
      <c r="M97" s="30">
        <v>10</v>
      </c>
      <c r="N97" s="30">
        <v>0</v>
      </c>
      <c r="O97" s="66">
        <v>0</v>
      </c>
      <c r="P97" s="30">
        <v>0</v>
      </c>
      <c r="Q97" s="30">
        <v>0</v>
      </c>
      <c r="R97" s="30">
        <v>0</v>
      </c>
      <c r="S97" s="30">
        <v>1</v>
      </c>
      <c r="T97" s="30">
        <v>0</v>
      </c>
      <c r="U97" s="31">
        <v>0</v>
      </c>
      <c r="V97" s="67">
        <v>0</v>
      </c>
      <c r="W97" s="67">
        <f t="shared" si="2"/>
        <v>0</v>
      </c>
      <c r="X97" s="67">
        <v>0</v>
      </c>
      <c r="Z97" s="67" t="s">
        <v>1803</v>
      </c>
      <c r="AA97" s="97">
        <v>0.0260416666666667</v>
      </c>
      <c r="AB97" s="98" t="s">
        <v>1993</v>
      </c>
    </row>
    <row r="98" ht="26.4" spans="1:28">
      <c r="A98" s="29">
        <v>10009521</v>
      </c>
      <c r="B98" s="30">
        <v>3</v>
      </c>
      <c r="C98" s="63" t="s">
        <v>696</v>
      </c>
      <c r="D98" s="64" t="s">
        <v>1801</v>
      </c>
      <c r="E98" s="65">
        <v>0</v>
      </c>
      <c r="F98" s="65">
        <v>0</v>
      </c>
      <c r="G98" s="30">
        <v>7</v>
      </c>
      <c r="H98" s="30">
        <v>0</v>
      </c>
      <c r="I98" s="30">
        <v>0</v>
      </c>
      <c r="J98" s="30">
        <v>0</v>
      </c>
      <c r="K98" s="30">
        <v>0</v>
      </c>
      <c r="L98" s="30" t="s">
        <v>1802</v>
      </c>
      <c r="M98" s="30">
        <v>-2</v>
      </c>
      <c r="N98" s="30">
        <v>0</v>
      </c>
      <c r="O98" s="66">
        <v>0</v>
      </c>
      <c r="P98" s="30">
        <v>0</v>
      </c>
      <c r="Q98" s="30">
        <v>0</v>
      </c>
      <c r="R98" s="30">
        <v>0</v>
      </c>
      <c r="S98" s="30">
        <v>1</v>
      </c>
      <c r="T98" s="30">
        <v>0</v>
      </c>
      <c r="U98" s="31">
        <v>0</v>
      </c>
      <c r="V98" s="67">
        <v>0</v>
      </c>
      <c r="W98" s="67">
        <f t="shared" si="2"/>
        <v>0</v>
      </c>
      <c r="X98" s="67">
        <v>0</v>
      </c>
      <c r="Z98" s="67" t="s">
        <v>1994</v>
      </c>
      <c r="AA98" s="97">
        <v>0.0127314814814815</v>
      </c>
      <c r="AB98" s="98" t="s">
        <v>1995</v>
      </c>
    </row>
    <row r="99" ht="26.4" spans="1:28">
      <c r="A99" s="29">
        <v>10009621</v>
      </c>
      <c r="B99" s="30">
        <v>4</v>
      </c>
      <c r="C99" s="63" t="s">
        <v>1154</v>
      </c>
      <c r="D99" s="64" t="s">
        <v>1801</v>
      </c>
      <c r="E99" s="65">
        <v>0</v>
      </c>
      <c r="F99" s="65">
        <v>0</v>
      </c>
      <c r="G99" s="30">
        <v>9</v>
      </c>
      <c r="H99" s="30">
        <v>0</v>
      </c>
      <c r="I99" s="30">
        <v>0</v>
      </c>
      <c r="J99" s="30">
        <v>0</v>
      </c>
      <c r="K99" s="30">
        <v>0</v>
      </c>
      <c r="L99" s="30" t="s">
        <v>1802</v>
      </c>
      <c r="M99" s="30">
        <v>-3</v>
      </c>
      <c r="N99" s="30">
        <v>0</v>
      </c>
      <c r="O99" s="66">
        <v>0</v>
      </c>
      <c r="P99" s="30">
        <v>0</v>
      </c>
      <c r="Q99" s="30">
        <v>0</v>
      </c>
      <c r="R99" s="30">
        <v>0</v>
      </c>
      <c r="S99" s="30">
        <v>1</v>
      </c>
      <c r="T99" s="30">
        <v>0</v>
      </c>
      <c r="U99" s="31">
        <v>0</v>
      </c>
      <c r="V99" s="67">
        <v>0</v>
      </c>
      <c r="W99" s="67">
        <f t="shared" si="2"/>
        <v>0</v>
      </c>
      <c r="X99" s="67">
        <v>0</v>
      </c>
      <c r="Z99" s="67" t="s">
        <v>1996</v>
      </c>
      <c r="AA99" s="97">
        <v>0.0248842592592593</v>
      </c>
      <c r="AB99" s="98" t="s">
        <v>1997</v>
      </c>
    </row>
    <row r="100" ht="52.8" spans="1:26">
      <c r="A100" s="29">
        <v>10009721</v>
      </c>
      <c r="B100" s="30">
        <v>5</v>
      </c>
      <c r="C100" s="63" t="s">
        <v>1998</v>
      </c>
      <c r="D100" s="64" t="s">
        <v>1999</v>
      </c>
      <c r="E100" s="65">
        <v>0</v>
      </c>
      <c r="F100" s="65">
        <v>0</v>
      </c>
      <c r="G100" s="30">
        <v>1</v>
      </c>
      <c r="H100" s="30">
        <v>0</v>
      </c>
      <c r="I100" s="30">
        <v>0</v>
      </c>
      <c r="J100" s="30">
        <v>0</v>
      </c>
      <c r="K100" s="30">
        <v>0</v>
      </c>
      <c r="L100" s="30" t="s">
        <v>1802</v>
      </c>
      <c r="M100" s="30">
        <v>0</v>
      </c>
      <c r="N100" s="30">
        <v>0</v>
      </c>
      <c r="O100" s="66">
        <v>0</v>
      </c>
      <c r="P100" s="30">
        <v>0</v>
      </c>
      <c r="Q100" s="30">
        <v>0</v>
      </c>
      <c r="R100" s="30">
        <v>0</v>
      </c>
      <c r="S100" s="30">
        <v>1</v>
      </c>
      <c r="T100" s="30">
        <v>0</v>
      </c>
      <c r="U100" s="31">
        <v>0</v>
      </c>
      <c r="V100" s="67">
        <v>0</v>
      </c>
      <c r="W100" s="67">
        <f t="shared" si="2"/>
        <v>0</v>
      </c>
      <c r="X100" s="67">
        <v>0</v>
      </c>
      <c r="Z100" s="67" t="s">
        <v>2000</v>
      </c>
    </row>
    <row r="101" ht="52.8" spans="1:26">
      <c r="A101" s="29">
        <v>10009821</v>
      </c>
      <c r="B101" s="30">
        <v>6</v>
      </c>
      <c r="C101" s="63" t="s">
        <v>2001</v>
      </c>
      <c r="D101" s="64" t="s">
        <v>1999</v>
      </c>
      <c r="E101" s="65">
        <v>0</v>
      </c>
      <c r="F101" s="65">
        <v>0</v>
      </c>
      <c r="G101" s="30">
        <v>1</v>
      </c>
      <c r="H101" s="30">
        <v>0</v>
      </c>
      <c r="I101" s="30">
        <v>0</v>
      </c>
      <c r="J101" s="30">
        <v>0</v>
      </c>
      <c r="K101" s="30">
        <v>0</v>
      </c>
      <c r="L101" s="30" t="s">
        <v>1802</v>
      </c>
      <c r="M101" s="30">
        <v>0</v>
      </c>
      <c r="N101" s="30">
        <v>0</v>
      </c>
      <c r="O101" s="66">
        <v>0</v>
      </c>
      <c r="P101" s="30">
        <v>0</v>
      </c>
      <c r="Q101" s="30">
        <v>0</v>
      </c>
      <c r="R101" s="30">
        <v>0</v>
      </c>
      <c r="S101" s="30">
        <v>1</v>
      </c>
      <c r="T101" s="30">
        <v>0</v>
      </c>
      <c r="U101" s="31">
        <v>0</v>
      </c>
      <c r="V101" s="67">
        <v>0</v>
      </c>
      <c r="W101" s="67">
        <f t="shared" si="2"/>
        <v>0</v>
      </c>
      <c r="X101" s="67">
        <v>0</v>
      </c>
      <c r="Z101" s="67" t="s">
        <v>2000</v>
      </c>
    </row>
    <row r="102" ht="39.6" spans="1:28">
      <c r="A102" s="29">
        <v>10009921</v>
      </c>
      <c r="B102" s="30">
        <v>2</v>
      </c>
      <c r="C102" s="63" t="s">
        <v>2002</v>
      </c>
      <c r="D102" s="64" t="s">
        <v>1952</v>
      </c>
      <c r="E102" s="65">
        <v>0</v>
      </c>
      <c r="F102" s="65">
        <v>0</v>
      </c>
      <c r="G102" s="30">
        <v>0</v>
      </c>
      <c r="H102" s="30">
        <v>0</v>
      </c>
      <c r="I102" s="30">
        <v>2</v>
      </c>
      <c r="J102" s="30">
        <v>6</v>
      </c>
      <c r="K102" s="30">
        <v>1</v>
      </c>
      <c r="L102" s="30" t="s">
        <v>1802</v>
      </c>
      <c r="M102" s="30">
        <v>0</v>
      </c>
      <c r="N102" s="30">
        <v>0</v>
      </c>
      <c r="O102" s="66">
        <v>1</v>
      </c>
      <c r="P102" s="30">
        <v>0</v>
      </c>
      <c r="Q102" s="30">
        <v>0</v>
      </c>
      <c r="R102" s="30">
        <v>2</v>
      </c>
      <c r="S102" s="30">
        <v>1</v>
      </c>
      <c r="T102" s="30">
        <v>0</v>
      </c>
      <c r="U102" s="31">
        <v>0</v>
      </c>
      <c r="V102" s="67">
        <v>5</v>
      </c>
      <c r="W102" s="67">
        <f>2*1*2.5</f>
        <v>5</v>
      </c>
      <c r="X102" s="67">
        <v>2</v>
      </c>
      <c r="Y102" s="67" t="s">
        <v>1913</v>
      </c>
      <c r="Z102" s="67" t="s">
        <v>1953</v>
      </c>
      <c r="AA102" s="97">
        <v>0.00810185185185185</v>
      </c>
      <c r="AB102" s="98" t="s">
        <v>1855</v>
      </c>
    </row>
    <row r="103" ht="39.6" spans="1:28">
      <c r="A103" s="29">
        <v>10010021</v>
      </c>
      <c r="B103" s="30">
        <v>2</v>
      </c>
      <c r="C103" s="63" t="s">
        <v>2003</v>
      </c>
      <c r="D103" s="64" t="s">
        <v>1872</v>
      </c>
      <c r="E103" s="65">
        <v>0</v>
      </c>
      <c r="F103" s="65">
        <v>3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 t="s">
        <v>115</v>
      </c>
      <c r="M103" s="30">
        <v>0</v>
      </c>
      <c r="N103" s="30">
        <v>0</v>
      </c>
      <c r="O103" s="66">
        <v>0</v>
      </c>
      <c r="P103" s="30">
        <v>0</v>
      </c>
      <c r="Q103" s="30">
        <v>0</v>
      </c>
      <c r="R103" s="30">
        <v>0</v>
      </c>
      <c r="S103" s="30">
        <v>1</v>
      </c>
      <c r="T103" s="30">
        <v>0</v>
      </c>
      <c r="U103" s="31">
        <v>0</v>
      </c>
      <c r="V103" s="67">
        <v>0</v>
      </c>
      <c r="W103" s="67">
        <f>0*1*2.5</f>
        <v>0</v>
      </c>
      <c r="X103" s="67">
        <v>0</v>
      </c>
      <c r="Z103" s="67" t="s">
        <v>1873</v>
      </c>
      <c r="AA103" s="97"/>
      <c r="AB103" s="98" t="s">
        <v>2004</v>
      </c>
    </row>
    <row r="104" ht="39.6" spans="1:28">
      <c r="A104" s="29">
        <v>10010121</v>
      </c>
      <c r="B104" s="30">
        <v>1</v>
      </c>
      <c r="C104" s="63" t="s">
        <v>2005</v>
      </c>
      <c r="D104" s="64" t="s">
        <v>1872</v>
      </c>
      <c r="E104" s="65">
        <v>0</v>
      </c>
      <c r="F104" s="65">
        <v>2</v>
      </c>
      <c r="G104" s="30">
        <v>0</v>
      </c>
      <c r="H104" s="30">
        <v>0</v>
      </c>
      <c r="I104" s="30">
        <v>0</v>
      </c>
      <c r="J104" s="30">
        <v>0</v>
      </c>
      <c r="K104" s="30">
        <v>0</v>
      </c>
      <c r="L104" s="30" t="s">
        <v>115</v>
      </c>
      <c r="M104" s="30">
        <v>0</v>
      </c>
      <c r="N104" s="30">
        <v>0</v>
      </c>
      <c r="O104" s="66">
        <v>0</v>
      </c>
      <c r="P104" s="30">
        <v>0</v>
      </c>
      <c r="Q104" s="30">
        <v>0</v>
      </c>
      <c r="R104" s="30">
        <v>4</v>
      </c>
      <c r="S104" s="30">
        <v>1.8</v>
      </c>
      <c r="T104" s="30">
        <v>0.2</v>
      </c>
      <c r="U104" s="31">
        <v>0</v>
      </c>
      <c r="V104" s="67">
        <v>0</v>
      </c>
      <c r="W104" s="67">
        <f>4*1.8*2.5</f>
        <v>18</v>
      </c>
      <c r="X104" s="67">
        <f>4+MAX($X$2,0.2)*4*$X$1</f>
        <v>23.2</v>
      </c>
      <c r="Y104" s="67" t="s">
        <v>1823</v>
      </c>
      <c r="Z104" s="67" t="s">
        <v>1873</v>
      </c>
      <c r="AA104" s="97">
        <v>0.00405092592592593</v>
      </c>
      <c r="AB104" s="98" t="s">
        <v>1260</v>
      </c>
    </row>
    <row r="105" ht="26.4" spans="1:28">
      <c r="A105" s="29">
        <v>10010221</v>
      </c>
      <c r="B105" s="30">
        <v>5</v>
      </c>
      <c r="C105" s="63" t="s">
        <v>2006</v>
      </c>
      <c r="D105" s="64" t="s">
        <v>1845</v>
      </c>
      <c r="E105" s="65">
        <v>0</v>
      </c>
      <c r="F105" s="65">
        <v>25</v>
      </c>
      <c r="G105" s="30">
        <v>0</v>
      </c>
      <c r="H105" s="30">
        <v>0</v>
      </c>
      <c r="I105" s="30">
        <v>0</v>
      </c>
      <c r="J105" s="30">
        <v>0</v>
      </c>
      <c r="K105" s="30">
        <v>1</v>
      </c>
      <c r="L105" s="30" t="s">
        <v>1022</v>
      </c>
      <c r="M105" s="30">
        <v>0</v>
      </c>
      <c r="N105" s="30">
        <v>0</v>
      </c>
      <c r="O105" s="66">
        <v>0</v>
      </c>
      <c r="P105" s="30">
        <v>0</v>
      </c>
      <c r="Q105" s="30">
        <v>0</v>
      </c>
      <c r="R105" s="30">
        <v>0</v>
      </c>
      <c r="S105" s="30">
        <v>1</v>
      </c>
      <c r="T105" s="30">
        <v>0</v>
      </c>
      <c r="U105" s="31">
        <v>0</v>
      </c>
      <c r="V105" s="67">
        <v>0</v>
      </c>
      <c r="W105" s="67">
        <f>0*1*2.5</f>
        <v>0</v>
      </c>
      <c r="X105" s="67">
        <v>0</v>
      </c>
      <c r="Z105" s="67" t="s">
        <v>1846</v>
      </c>
      <c r="AB105" s="69" t="s">
        <v>2007</v>
      </c>
    </row>
    <row r="106" ht="26.4" spans="1:28">
      <c r="A106" s="29">
        <v>10010321</v>
      </c>
      <c r="B106" s="30">
        <v>3</v>
      </c>
      <c r="C106" s="63" t="s">
        <v>2008</v>
      </c>
      <c r="D106" s="64" t="s">
        <v>1845</v>
      </c>
      <c r="E106" s="65">
        <v>0</v>
      </c>
      <c r="F106" s="65">
        <v>20</v>
      </c>
      <c r="G106" s="30">
        <v>0</v>
      </c>
      <c r="H106" s="30">
        <v>0</v>
      </c>
      <c r="I106" s="30">
        <v>0</v>
      </c>
      <c r="J106" s="30">
        <v>0</v>
      </c>
      <c r="K106" s="30">
        <v>-3</v>
      </c>
      <c r="L106" s="30" t="s">
        <v>1022</v>
      </c>
      <c r="M106" s="30">
        <v>0</v>
      </c>
      <c r="N106" s="30">
        <v>0</v>
      </c>
      <c r="O106" s="66">
        <v>0</v>
      </c>
      <c r="P106" s="30">
        <v>0</v>
      </c>
      <c r="Q106" s="30">
        <v>0</v>
      </c>
      <c r="R106" s="30">
        <v>0</v>
      </c>
      <c r="S106" s="30">
        <v>1</v>
      </c>
      <c r="T106" s="30">
        <v>0</v>
      </c>
      <c r="U106" s="31">
        <v>0</v>
      </c>
      <c r="V106" s="67">
        <v>0</v>
      </c>
      <c r="W106" s="67">
        <f>0*1*2.5</f>
        <v>0</v>
      </c>
      <c r="X106" s="67">
        <v>0</v>
      </c>
      <c r="Z106" s="67" t="s">
        <v>1846</v>
      </c>
      <c r="AB106" s="69" t="s">
        <v>371</v>
      </c>
    </row>
    <row r="107" ht="52.8" spans="1:28">
      <c r="A107" s="29">
        <v>10010421</v>
      </c>
      <c r="B107" s="30">
        <v>5</v>
      </c>
      <c r="C107" s="63" t="s">
        <v>1717</v>
      </c>
      <c r="D107" s="64" t="s">
        <v>14</v>
      </c>
      <c r="E107" s="65">
        <v>0</v>
      </c>
      <c r="F107" s="65">
        <v>0</v>
      </c>
      <c r="G107" s="30">
        <v>0</v>
      </c>
      <c r="H107" s="30">
        <v>6</v>
      </c>
      <c r="I107" s="30">
        <v>3</v>
      </c>
      <c r="J107" s="30">
        <v>0</v>
      </c>
      <c r="K107" s="30">
        <v>3</v>
      </c>
      <c r="L107" s="30" t="s">
        <v>115</v>
      </c>
      <c r="M107" s="30">
        <v>0</v>
      </c>
      <c r="N107" s="30">
        <v>0</v>
      </c>
      <c r="O107" s="66">
        <v>0</v>
      </c>
      <c r="P107" s="30">
        <v>0</v>
      </c>
      <c r="Q107" s="30">
        <v>0</v>
      </c>
      <c r="R107" s="30">
        <v>0</v>
      </c>
      <c r="S107" s="30">
        <v>1</v>
      </c>
      <c r="T107" s="30">
        <v>0</v>
      </c>
      <c r="U107" s="31">
        <v>0</v>
      </c>
      <c r="V107" s="67">
        <v>0</v>
      </c>
      <c r="W107" s="67">
        <f>0*1*2.5</f>
        <v>0</v>
      </c>
      <c r="X107" s="67">
        <v>0</v>
      </c>
      <c r="Z107" s="67" t="s">
        <v>1980</v>
      </c>
      <c r="AB107" s="69" t="s">
        <v>2009</v>
      </c>
    </row>
    <row r="108" ht="26.4" spans="1:28">
      <c r="A108" s="29">
        <v>10010521</v>
      </c>
      <c r="B108" s="30">
        <v>1</v>
      </c>
      <c r="C108" s="63" t="s">
        <v>827</v>
      </c>
      <c r="D108" s="64" t="s">
        <v>1845</v>
      </c>
      <c r="E108" s="65">
        <v>0</v>
      </c>
      <c r="F108" s="65">
        <v>8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 t="s">
        <v>158</v>
      </c>
      <c r="M108" s="30">
        <v>0</v>
      </c>
      <c r="N108" s="30">
        <v>0</v>
      </c>
      <c r="O108" s="66">
        <v>0</v>
      </c>
      <c r="P108" s="30">
        <v>0</v>
      </c>
      <c r="Q108" s="30">
        <v>0</v>
      </c>
      <c r="R108" s="30">
        <v>0</v>
      </c>
      <c r="S108" s="30">
        <v>1</v>
      </c>
      <c r="T108" s="30">
        <v>0</v>
      </c>
      <c r="U108" s="31">
        <v>0</v>
      </c>
      <c r="V108" s="67">
        <v>0</v>
      </c>
      <c r="W108" s="67">
        <f>0*1*2.5</f>
        <v>0</v>
      </c>
      <c r="X108" s="67">
        <v>0</v>
      </c>
      <c r="Z108" s="67" t="s">
        <v>1846</v>
      </c>
      <c r="AB108" s="69" t="s">
        <v>2010</v>
      </c>
    </row>
    <row r="109" ht="66" spans="1:28">
      <c r="A109" s="29">
        <v>10010621</v>
      </c>
      <c r="B109" s="30">
        <v>5</v>
      </c>
      <c r="C109" s="63" t="s">
        <v>2011</v>
      </c>
      <c r="D109" s="64" t="s">
        <v>1960</v>
      </c>
      <c r="E109" s="65">
        <v>0</v>
      </c>
      <c r="F109" s="65">
        <v>0</v>
      </c>
      <c r="G109" s="30">
        <v>0</v>
      </c>
      <c r="H109" s="30">
        <v>0</v>
      </c>
      <c r="I109" s="30">
        <v>0</v>
      </c>
      <c r="J109" s="30">
        <v>7</v>
      </c>
      <c r="K109" s="30">
        <v>3</v>
      </c>
      <c r="L109" s="30" t="s">
        <v>1802</v>
      </c>
      <c r="M109" s="30">
        <v>0</v>
      </c>
      <c r="N109" s="30">
        <v>0</v>
      </c>
      <c r="O109" s="66">
        <v>0</v>
      </c>
      <c r="P109" s="30">
        <v>0</v>
      </c>
      <c r="Q109" s="30">
        <v>0</v>
      </c>
      <c r="R109" s="30">
        <v>6</v>
      </c>
      <c r="S109" s="30">
        <v>3.3</v>
      </c>
      <c r="T109" s="30">
        <v>0.4</v>
      </c>
      <c r="U109" s="31">
        <v>0</v>
      </c>
      <c r="V109" s="67">
        <v>0</v>
      </c>
      <c r="W109" s="67">
        <f>6*3.3*2.5</f>
        <v>49.5</v>
      </c>
      <c r="X109" s="67">
        <f>6+MAX($X$2,0.4)*6*$X$1</f>
        <v>34.8</v>
      </c>
      <c r="Y109" s="67" t="s">
        <v>2012</v>
      </c>
      <c r="Z109" s="67" t="s">
        <v>1883</v>
      </c>
      <c r="AB109" s="69" t="s">
        <v>2013</v>
      </c>
    </row>
    <row r="110" ht="39.6" spans="1:29">
      <c r="A110" s="29">
        <v>10010721</v>
      </c>
      <c r="B110" s="30">
        <v>5</v>
      </c>
      <c r="C110" s="63" t="s">
        <v>2014</v>
      </c>
      <c r="D110" s="64" t="s">
        <v>1960</v>
      </c>
      <c r="E110" s="65">
        <v>0</v>
      </c>
      <c r="F110" s="65">
        <v>0</v>
      </c>
      <c r="G110" s="30">
        <v>0</v>
      </c>
      <c r="H110" s="30">
        <v>0</v>
      </c>
      <c r="I110" s="30">
        <v>0</v>
      </c>
      <c r="J110" s="30">
        <v>10</v>
      </c>
      <c r="K110" s="30">
        <v>6</v>
      </c>
      <c r="L110" s="30" t="s">
        <v>1802</v>
      </c>
      <c r="M110" s="30">
        <v>3</v>
      </c>
      <c r="N110" s="30">
        <v>0</v>
      </c>
      <c r="O110" s="66">
        <v>0</v>
      </c>
      <c r="P110" s="30">
        <v>0</v>
      </c>
      <c r="Q110" s="30">
        <v>0</v>
      </c>
      <c r="R110" s="30">
        <v>0</v>
      </c>
      <c r="S110" s="30">
        <v>1</v>
      </c>
      <c r="T110" s="30">
        <v>0</v>
      </c>
      <c r="U110" s="31">
        <v>0</v>
      </c>
      <c r="V110" s="67">
        <v>0</v>
      </c>
      <c r="W110" s="67">
        <f>0*1*2.5</f>
        <v>0</v>
      </c>
      <c r="X110" s="67">
        <v>0</v>
      </c>
      <c r="Z110" s="67" t="s">
        <v>1883</v>
      </c>
      <c r="AC110" s="69" t="s">
        <v>2015</v>
      </c>
    </row>
    <row r="111" ht="39.6" spans="1:28">
      <c r="A111" s="29">
        <v>10010821</v>
      </c>
      <c r="B111" s="30">
        <v>3</v>
      </c>
      <c r="C111" s="63" t="s">
        <v>2016</v>
      </c>
      <c r="D111" s="64" t="s">
        <v>1960</v>
      </c>
      <c r="E111" s="65">
        <v>0</v>
      </c>
      <c r="F111" s="65">
        <v>0</v>
      </c>
      <c r="G111" s="30">
        <v>0</v>
      </c>
      <c r="H111" s="30">
        <v>0</v>
      </c>
      <c r="I111" s="30">
        <v>0</v>
      </c>
      <c r="J111" s="30">
        <v>0</v>
      </c>
      <c r="K111" s="30">
        <v>4</v>
      </c>
      <c r="L111" s="30" t="s">
        <v>1802</v>
      </c>
      <c r="M111" s="30">
        <v>0</v>
      </c>
      <c r="N111" s="30">
        <v>0</v>
      </c>
      <c r="O111" s="66">
        <v>0</v>
      </c>
      <c r="P111" s="30">
        <v>0</v>
      </c>
      <c r="Q111" s="30">
        <v>0</v>
      </c>
      <c r="R111" s="30">
        <v>4</v>
      </c>
      <c r="S111" s="30">
        <v>1.8</v>
      </c>
      <c r="T111" s="30">
        <v>0.5</v>
      </c>
      <c r="U111" s="31">
        <v>0</v>
      </c>
      <c r="V111" s="67">
        <v>0</v>
      </c>
      <c r="W111" s="67">
        <f>4*1.8*2.5</f>
        <v>18</v>
      </c>
      <c r="X111" s="67">
        <f>4+MAX($X$2,0.5)*4*$X$1</f>
        <v>23.2</v>
      </c>
      <c r="Y111" s="67" t="s">
        <v>2017</v>
      </c>
      <c r="Z111" s="67" t="s">
        <v>1883</v>
      </c>
      <c r="AA111" s="97">
        <v>0.0399305555555556</v>
      </c>
      <c r="AB111" s="98" t="s">
        <v>2018</v>
      </c>
    </row>
    <row r="112" ht="92.4" spans="1:28">
      <c r="A112" s="29">
        <v>10010921</v>
      </c>
      <c r="B112" s="30">
        <v>4</v>
      </c>
      <c r="C112" s="63" t="s">
        <v>1725</v>
      </c>
      <c r="D112" s="64" t="s">
        <v>1960</v>
      </c>
      <c r="E112" s="65">
        <v>0</v>
      </c>
      <c r="F112" s="65">
        <v>0</v>
      </c>
      <c r="G112" s="30">
        <v>0</v>
      </c>
      <c r="H112" s="30">
        <v>0</v>
      </c>
      <c r="I112" s="30">
        <v>0</v>
      </c>
      <c r="J112" s="30">
        <v>0</v>
      </c>
      <c r="K112" s="30">
        <v>6</v>
      </c>
      <c r="L112" s="30" t="s">
        <v>1802</v>
      </c>
      <c r="M112" s="30">
        <v>0</v>
      </c>
      <c r="N112" s="30">
        <v>0</v>
      </c>
      <c r="O112" s="66">
        <v>0</v>
      </c>
      <c r="P112" s="30">
        <v>0</v>
      </c>
      <c r="Q112" s="30">
        <v>0</v>
      </c>
      <c r="R112" s="30">
        <v>6</v>
      </c>
      <c r="S112" s="30">
        <v>3</v>
      </c>
      <c r="T112" s="30">
        <v>0.5</v>
      </c>
      <c r="U112" s="31">
        <v>0</v>
      </c>
      <c r="V112" s="67">
        <v>0</v>
      </c>
      <c r="W112" s="67">
        <f>6*3*2.5</f>
        <v>45</v>
      </c>
      <c r="X112" s="67">
        <f>6+MAX($X$2,0.5)*6*$X$1</f>
        <v>34.8</v>
      </c>
      <c r="Y112" s="67" t="s">
        <v>2019</v>
      </c>
      <c r="Z112" s="67" t="s">
        <v>1883</v>
      </c>
      <c r="AA112" s="97">
        <v>0.0648148148148148</v>
      </c>
      <c r="AB112" s="98" t="s">
        <v>2020</v>
      </c>
    </row>
    <row r="113" ht="118.8" spans="1:28">
      <c r="A113" s="29">
        <v>10011021</v>
      </c>
      <c r="B113" s="30">
        <v>5</v>
      </c>
      <c r="C113" s="63" t="s">
        <v>2021</v>
      </c>
      <c r="D113" s="64" t="s">
        <v>1960</v>
      </c>
      <c r="E113" s="65">
        <v>0</v>
      </c>
      <c r="F113" s="65">
        <v>0</v>
      </c>
      <c r="G113" s="30">
        <v>0</v>
      </c>
      <c r="H113" s="30">
        <v>0</v>
      </c>
      <c r="I113" s="30">
        <v>0</v>
      </c>
      <c r="J113" s="30">
        <v>0</v>
      </c>
      <c r="K113" s="30">
        <v>7</v>
      </c>
      <c r="L113" s="30" t="s">
        <v>1802</v>
      </c>
      <c r="M113" s="30">
        <v>0</v>
      </c>
      <c r="N113" s="30">
        <v>0</v>
      </c>
      <c r="O113" s="66">
        <v>0</v>
      </c>
      <c r="P113" s="30">
        <v>0</v>
      </c>
      <c r="Q113" s="30">
        <v>0</v>
      </c>
      <c r="R113" s="30">
        <v>8</v>
      </c>
      <c r="S113" s="30">
        <v>2.2</v>
      </c>
      <c r="T113" s="30">
        <v>0.5</v>
      </c>
      <c r="U113" s="31">
        <v>0</v>
      </c>
      <c r="V113" s="67">
        <v>0</v>
      </c>
      <c r="W113" s="67">
        <f>8*2.2*2.5</f>
        <v>44</v>
      </c>
      <c r="X113" s="67">
        <f>8+MAX($X$2,0.5)*8*$X$1</f>
        <v>46.4</v>
      </c>
      <c r="Y113" s="67" t="s">
        <v>2022</v>
      </c>
      <c r="Z113" s="67" t="s">
        <v>1883</v>
      </c>
      <c r="AB113" s="69" t="s">
        <v>2023</v>
      </c>
    </row>
    <row r="114" ht="26.4" spans="1:29">
      <c r="A114" s="29">
        <v>10011121</v>
      </c>
      <c r="B114" s="30">
        <v>5</v>
      </c>
      <c r="C114" s="63" t="s">
        <v>2024</v>
      </c>
      <c r="D114" s="64" t="s">
        <v>1960</v>
      </c>
      <c r="E114" s="65">
        <v>0</v>
      </c>
      <c r="F114" s="65">
        <v>0</v>
      </c>
      <c r="G114" s="30">
        <v>0</v>
      </c>
      <c r="H114" s="30">
        <v>0</v>
      </c>
      <c r="I114" s="30">
        <v>12</v>
      </c>
      <c r="J114" s="30">
        <v>0</v>
      </c>
      <c r="K114" s="30">
        <v>3</v>
      </c>
      <c r="L114" s="30" t="s">
        <v>1802</v>
      </c>
      <c r="M114" s="30">
        <v>0</v>
      </c>
      <c r="N114" s="30">
        <v>0</v>
      </c>
      <c r="O114" s="66">
        <v>0</v>
      </c>
      <c r="P114" s="30">
        <v>0</v>
      </c>
      <c r="Q114" s="30">
        <v>0</v>
      </c>
      <c r="R114" s="30">
        <v>0</v>
      </c>
      <c r="S114" s="30">
        <v>1</v>
      </c>
      <c r="T114" s="30">
        <v>0</v>
      </c>
      <c r="U114" s="31">
        <v>0</v>
      </c>
      <c r="V114" s="67">
        <v>0</v>
      </c>
      <c r="W114" s="67">
        <f t="shared" ref="W114:W126" si="3">0*1*2.5</f>
        <v>0</v>
      </c>
      <c r="X114" s="67">
        <v>0</v>
      </c>
      <c r="Z114" s="67" t="s">
        <v>1971</v>
      </c>
      <c r="AC114" s="69" t="s">
        <v>2025</v>
      </c>
    </row>
    <row r="115" ht="39.6" spans="1:28">
      <c r="A115" s="29">
        <v>10011221</v>
      </c>
      <c r="B115" s="30">
        <v>5</v>
      </c>
      <c r="C115" s="63" t="s">
        <v>2026</v>
      </c>
      <c r="D115" s="64" t="s">
        <v>1976</v>
      </c>
      <c r="E115" s="65">
        <v>0</v>
      </c>
      <c r="F115" s="65">
        <v>0</v>
      </c>
      <c r="G115" s="30">
        <v>0</v>
      </c>
      <c r="H115" s="30">
        <v>0</v>
      </c>
      <c r="I115" s="30">
        <v>10</v>
      </c>
      <c r="J115" s="30">
        <v>0</v>
      </c>
      <c r="K115" s="30">
        <v>0</v>
      </c>
      <c r="L115" s="30" t="s">
        <v>115</v>
      </c>
      <c r="M115" s="30">
        <v>0</v>
      </c>
      <c r="N115" s="30">
        <v>0</v>
      </c>
      <c r="O115" s="66">
        <v>0</v>
      </c>
      <c r="P115" s="30">
        <v>0</v>
      </c>
      <c r="Q115" s="30">
        <v>0</v>
      </c>
      <c r="R115" s="30">
        <v>0</v>
      </c>
      <c r="S115" s="30">
        <v>1</v>
      </c>
      <c r="T115" s="30">
        <v>0</v>
      </c>
      <c r="U115" s="31">
        <v>0</v>
      </c>
      <c r="V115" s="67">
        <v>0</v>
      </c>
      <c r="W115" s="67">
        <f t="shared" si="3"/>
        <v>0</v>
      </c>
      <c r="X115" s="67">
        <v>0</v>
      </c>
      <c r="Z115" s="67" t="s">
        <v>1977</v>
      </c>
      <c r="AB115" s="69" t="s">
        <v>2027</v>
      </c>
    </row>
    <row r="116" ht="26.4" spans="1:29">
      <c r="A116" s="29">
        <v>10011321</v>
      </c>
      <c r="B116" s="30">
        <v>5</v>
      </c>
      <c r="C116" s="63" t="s">
        <v>2028</v>
      </c>
      <c r="D116" s="64" t="s">
        <v>1976</v>
      </c>
      <c r="E116" s="65">
        <v>0</v>
      </c>
      <c r="F116" s="65">
        <v>0</v>
      </c>
      <c r="G116" s="30">
        <v>0</v>
      </c>
      <c r="H116" s="30">
        <v>0</v>
      </c>
      <c r="I116" s="30">
        <v>9</v>
      </c>
      <c r="J116" s="30">
        <v>0</v>
      </c>
      <c r="K116" s="30">
        <v>2</v>
      </c>
      <c r="L116" s="30" t="s">
        <v>115</v>
      </c>
      <c r="M116" s="30">
        <v>0</v>
      </c>
      <c r="N116" s="30">
        <v>0</v>
      </c>
      <c r="O116" s="66">
        <v>0</v>
      </c>
      <c r="P116" s="30">
        <v>0</v>
      </c>
      <c r="Q116" s="30">
        <v>0</v>
      </c>
      <c r="R116" s="30">
        <v>0</v>
      </c>
      <c r="S116" s="30">
        <v>1</v>
      </c>
      <c r="T116" s="30">
        <v>0</v>
      </c>
      <c r="U116" s="31">
        <v>0</v>
      </c>
      <c r="V116" s="67">
        <v>0</v>
      </c>
      <c r="W116" s="67">
        <f t="shared" si="3"/>
        <v>0</v>
      </c>
      <c r="X116" s="67">
        <v>0</v>
      </c>
      <c r="Z116" s="67" t="s">
        <v>1977</v>
      </c>
      <c r="AC116" s="69" t="s">
        <v>2029</v>
      </c>
    </row>
    <row r="117" ht="26.4" spans="1:29">
      <c r="A117" s="29">
        <v>10011421</v>
      </c>
      <c r="B117" s="30">
        <v>6</v>
      </c>
      <c r="C117" s="63" t="s">
        <v>1444</v>
      </c>
      <c r="D117" s="64" t="s">
        <v>1976</v>
      </c>
      <c r="E117" s="65">
        <v>0</v>
      </c>
      <c r="F117" s="65">
        <v>0</v>
      </c>
      <c r="G117" s="30">
        <v>0</v>
      </c>
      <c r="H117" s="30">
        <v>0</v>
      </c>
      <c r="I117" s="30">
        <v>15</v>
      </c>
      <c r="J117" s="30">
        <v>0</v>
      </c>
      <c r="K117" s="30">
        <v>5</v>
      </c>
      <c r="L117" s="30" t="s">
        <v>115</v>
      </c>
      <c r="M117" s="30">
        <v>0</v>
      </c>
      <c r="N117" s="30">
        <v>0</v>
      </c>
      <c r="O117" s="66">
        <v>0</v>
      </c>
      <c r="P117" s="30">
        <v>0</v>
      </c>
      <c r="Q117" s="30">
        <v>0</v>
      </c>
      <c r="R117" s="30">
        <v>0</v>
      </c>
      <c r="S117" s="30">
        <v>1</v>
      </c>
      <c r="T117" s="30">
        <v>0</v>
      </c>
      <c r="U117" s="31">
        <v>0</v>
      </c>
      <c r="V117" s="67">
        <v>0</v>
      </c>
      <c r="W117" s="67">
        <f t="shared" si="3"/>
        <v>0</v>
      </c>
      <c r="X117" s="67">
        <v>0</v>
      </c>
      <c r="Z117" s="67" t="s">
        <v>1977</v>
      </c>
      <c r="AB117" s="69" t="s">
        <v>2030</v>
      </c>
      <c r="AC117" s="69" t="s">
        <v>2031</v>
      </c>
    </row>
    <row r="118" ht="52.8" spans="1:28">
      <c r="A118" s="29">
        <v>10011521</v>
      </c>
      <c r="B118" s="30">
        <v>3</v>
      </c>
      <c r="C118" s="63" t="s">
        <v>2032</v>
      </c>
      <c r="D118" s="64" t="s">
        <v>1801</v>
      </c>
      <c r="E118" s="65">
        <v>0</v>
      </c>
      <c r="F118" s="65">
        <v>0</v>
      </c>
      <c r="G118" s="30">
        <v>5</v>
      </c>
      <c r="H118" s="30">
        <v>0</v>
      </c>
      <c r="I118" s="30">
        <v>0</v>
      </c>
      <c r="J118" s="30">
        <v>0</v>
      </c>
      <c r="K118" s="30">
        <v>0</v>
      </c>
      <c r="L118" s="30" t="s">
        <v>1802</v>
      </c>
      <c r="M118" s="30">
        <v>-1</v>
      </c>
      <c r="N118" s="30">
        <v>0</v>
      </c>
      <c r="O118" s="66">
        <v>0</v>
      </c>
      <c r="P118" s="30">
        <v>0</v>
      </c>
      <c r="Q118" s="30">
        <v>0</v>
      </c>
      <c r="R118" s="30">
        <v>0</v>
      </c>
      <c r="S118" s="30">
        <v>1</v>
      </c>
      <c r="T118" s="30">
        <v>0</v>
      </c>
      <c r="U118" s="31">
        <v>0</v>
      </c>
      <c r="V118" s="67">
        <v>0</v>
      </c>
      <c r="W118" s="67">
        <f t="shared" si="3"/>
        <v>0</v>
      </c>
      <c r="X118" s="67">
        <v>0</v>
      </c>
      <c r="Z118" s="67" t="s">
        <v>1803</v>
      </c>
      <c r="AA118" s="97">
        <v>0.0115740740740741</v>
      </c>
      <c r="AB118" s="98" t="s">
        <v>1446</v>
      </c>
    </row>
    <row r="119" ht="52.8" spans="1:28">
      <c r="A119" s="29">
        <v>10011621</v>
      </c>
      <c r="B119" s="30">
        <v>6</v>
      </c>
      <c r="C119" s="63" t="s">
        <v>1742</v>
      </c>
      <c r="D119" s="64" t="s">
        <v>1801</v>
      </c>
      <c r="E119" s="65">
        <v>0</v>
      </c>
      <c r="F119" s="65">
        <v>0</v>
      </c>
      <c r="G119" s="30">
        <v>0</v>
      </c>
      <c r="H119" s="30">
        <v>0</v>
      </c>
      <c r="I119" s="30">
        <v>0</v>
      </c>
      <c r="J119" s="30">
        <v>0</v>
      </c>
      <c r="K119" s="30">
        <v>0</v>
      </c>
      <c r="L119" s="30" t="s">
        <v>1802</v>
      </c>
      <c r="M119" s="30">
        <v>12</v>
      </c>
      <c r="N119" s="30">
        <v>0</v>
      </c>
      <c r="O119" s="66">
        <v>0</v>
      </c>
      <c r="P119" s="30">
        <v>0</v>
      </c>
      <c r="Q119" s="30">
        <v>0</v>
      </c>
      <c r="R119" s="30">
        <v>0</v>
      </c>
      <c r="S119" s="30">
        <v>1</v>
      </c>
      <c r="T119" s="30">
        <v>0</v>
      </c>
      <c r="U119" s="31">
        <v>0</v>
      </c>
      <c r="V119" s="67">
        <v>0</v>
      </c>
      <c r="W119" s="67">
        <f t="shared" si="3"/>
        <v>0</v>
      </c>
      <c r="X119" s="67">
        <v>0</v>
      </c>
      <c r="Z119" s="67" t="s">
        <v>1803</v>
      </c>
      <c r="AB119" s="69" t="s">
        <v>2033</v>
      </c>
    </row>
    <row r="120" ht="39.6" spans="1:28">
      <c r="A120" s="29">
        <v>10011721</v>
      </c>
      <c r="B120" s="30">
        <v>3</v>
      </c>
      <c r="C120" s="63" t="s">
        <v>2034</v>
      </c>
      <c r="D120" s="64" t="s">
        <v>1801</v>
      </c>
      <c r="E120" s="65">
        <v>0</v>
      </c>
      <c r="F120" s="65">
        <v>0</v>
      </c>
      <c r="G120" s="30">
        <v>0</v>
      </c>
      <c r="H120" s="30">
        <v>0</v>
      </c>
      <c r="I120" s="30">
        <v>0</v>
      </c>
      <c r="J120" s="30">
        <v>0</v>
      </c>
      <c r="K120" s="30">
        <v>-5</v>
      </c>
      <c r="L120" s="30" t="s">
        <v>1802</v>
      </c>
      <c r="M120" s="30">
        <v>15</v>
      </c>
      <c r="N120" s="30">
        <v>0</v>
      </c>
      <c r="O120" s="66">
        <v>0</v>
      </c>
      <c r="P120" s="30">
        <v>0</v>
      </c>
      <c r="Q120" s="30">
        <v>0</v>
      </c>
      <c r="R120" s="30">
        <v>0</v>
      </c>
      <c r="S120" s="30">
        <v>1</v>
      </c>
      <c r="T120" s="30">
        <v>0</v>
      </c>
      <c r="U120" s="31">
        <v>0</v>
      </c>
      <c r="V120" s="67">
        <v>0</v>
      </c>
      <c r="W120" s="67">
        <f t="shared" si="3"/>
        <v>0</v>
      </c>
      <c r="X120" s="67">
        <v>0</v>
      </c>
      <c r="Y120" s="67" t="s">
        <v>2035</v>
      </c>
      <c r="Z120" s="67" t="s">
        <v>2036</v>
      </c>
      <c r="AB120" s="69" t="s">
        <v>2037</v>
      </c>
    </row>
    <row r="121" ht="39.6" spans="1:28">
      <c r="A121" s="29">
        <v>10011821</v>
      </c>
      <c r="B121" s="30">
        <v>2</v>
      </c>
      <c r="C121" s="63" t="s">
        <v>476</v>
      </c>
      <c r="D121" s="64" t="s">
        <v>1828</v>
      </c>
      <c r="E121" s="65">
        <v>0</v>
      </c>
      <c r="F121" s="65">
        <v>7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 t="s">
        <v>158</v>
      </c>
      <c r="M121" s="30">
        <v>0</v>
      </c>
      <c r="N121" s="30">
        <v>0</v>
      </c>
      <c r="O121" s="66">
        <v>0</v>
      </c>
      <c r="P121" s="30">
        <v>0</v>
      </c>
      <c r="Q121" s="30">
        <v>0</v>
      </c>
      <c r="R121" s="30">
        <v>0</v>
      </c>
      <c r="S121" s="30">
        <v>1</v>
      </c>
      <c r="T121" s="30">
        <v>0</v>
      </c>
      <c r="U121" s="31">
        <v>0</v>
      </c>
      <c r="V121" s="67">
        <v>0</v>
      </c>
      <c r="W121" s="67">
        <f t="shared" si="3"/>
        <v>0</v>
      </c>
      <c r="X121" s="67">
        <v>0</v>
      </c>
      <c r="Z121" s="67" t="s">
        <v>1829</v>
      </c>
      <c r="AA121" s="97">
        <v>0.00520833333333333</v>
      </c>
      <c r="AB121" s="98" t="s">
        <v>2038</v>
      </c>
    </row>
    <row r="122" ht="66" spans="1:28">
      <c r="A122" s="29">
        <v>10011921</v>
      </c>
      <c r="B122" s="30">
        <v>3</v>
      </c>
      <c r="C122" s="63" t="s">
        <v>440</v>
      </c>
      <c r="D122" s="64" t="s">
        <v>1832</v>
      </c>
      <c r="E122" s="65">
        <v>0</v>
      </c>
      <c r="F122" s="65">
        <v>9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 t="s">
        <v>158</v>
      </c>
      <c r="M122" s="30">
        <v>0</v>
      </c>
      <c r="N122" s="30">
        <v>0</v>
      </c>
      <c r="O122" s="66">
        <v>0</v>
      </c>
      <c r="P122" s="30">
        <v>0</v>
      </c>
      <c r="Q122" s="30">
        <v>0</v>
      </c>
      <c r="R122" s="30">
        <v>0</v>
      </c>
      <c r="S122" s="30">
        <v>1</v>
      </c>
      <c r="T122" s="30">
        <v>0</v>
      </c>
      <c r="U122" s="31">
        <v>0</v>
      </c>
      <c r="V122" s="67">
        <v>0</v>
      </c>
      <c r="W122" s="67">
        <f t="shared" si="3"/>
        <v>0</v>
      </c>
      <c r="X122" s="67">
        <v>0</v>
      </c>
      <c r="Z122" s="67" t="s">
        <v>1834</v>
      </c>
      <c r="AA122" s="97">
        <v>0.00868055555555556</v>
      </c>
      <c r="AB122" s="98" t="s">
        <v>2039</v>
      </c>
    </row>
    <row r="123" ht="39.6" spans="1:28">
      <c r="A123" s="29">
        <v>10012021</v>
      </c>
      <c r="B123" s="30">
        <v>5</v>
      </c>
      <c r="C123" s="63" t="s">
        <v>2040</v>
      </c>
      <c r="D123" s="64" t="s">
        <v>1845</v>
      </c>
      <c r="E123" s="65">
        <v>0</v>
      </c>
      <c r="F123" s="65">
        <v>19</v>
      </c>
      <c r="G123" s="30">
        <v>0</v>
      </c>
      <c r="H123" s="30">
        <v>0</v>
      </c>
      <c r="I123" s="30">
        <v>0</v>
      </c>
      <c r="J123" s="30">
        <v>0</v>
      </c>
      <c r="K123" s="30">
        <v>2</v>
      </c>
      <c r="L123" s="30" t="s">
        <v>52</v>
      </c>
      <c r="M123" s="30">
        <v>0</v>
      </c>
      <c r="N123" s="30">
        <v>0</v>
      </c>
      <c r="O123" s="66">
        <v>0</v>
      </c>
      <c r="P123" s="30">
        <v>0</v>
      </c>
      <c r="Q123" s="30">
        <v>0</v>
      </c>
      <c r="R123" s="30">
        <v>0</v>
      </c>
      <c r="S123" s="30">
        <v>1</v>
      </c>
      <c r="T123" s="30">
        <v>0</v>
      </c>
      <c r="U123" s="31">
        <v>0</v>
      </c>
      <c r="V123" s="67">
        <v>0</v>
      </c>
      <c r="W123" s="67">
        <f t="shared" si="3"/>
        <v>0</v>
      </c>
      <c r="X123" s="67">
        <v>0</v>
      </c>
      <c r="Z123" s="67" t="s">
        <v>1846</v>
      </c>
      <c r="AB123" s="69" t="s">
        <v>2041</v>
      </c>
    </row>
    <row r="124" ht="26.4" spans="1:28">
      <c r="A124" s="29">
        <v>10012121</v>
      </c>
      <c r="B124" s="30">
        <v>5</v>
      </c>
      <c r="C124" s="63" t="s">
        <v>2042</v>
      </c>
      <c r="D124" s="64" t="s">
        <v>1845</v>
      </c>
      <c r="E124" s="65">
        <v>0</v>
      </c>
      <c r="F124" s="65">
        <v>21</v>
      </c>
      <c r="G124" s="30">
        <v>0</v>
      </c>
      <c r="H124" s="30">
        <v>0</v>
      </c>
      <c r="I124" s="30">
        <v>0</v>
      </c>
      <c r="J124" s="30">
        <v>0</v>
      </c>
      <c r="K124" s="30">
        <v>1</v>
      </c>
      <c r="L124" s="30" t="s">
        <v>52</v>
      </c>
      <c r="M124" s="30">
        <v>0</v>
      </c>
      <c r="N124" s="30">
        <v>0</v>
      </c>
      <c r="O124" s="66">
        <v>0</v>
      </c>
      <c r="P124" s="30">
        <v>0</v>
      </c>
      <c r="Q124" s="30">
        <v>0</v>
      </c>
      <c r="R124" s="30">
        <v>0</v>
      </c>
      <c r="S124" s="30">
        <v>1</v>
      </c>
      <c r="T124" s="30">
        <v>0</v>
      </c>
      <c r="U124" s="31">
        <v>0</v>
      </c>
      <c r="V124" s="67">
        <v>0</v>
      </c>
      <c r="W124" s="67">
        <f t="shared" si="3"/>
        <v>0</v>
      </c>
      <c r="X124" s="67">
        <v>0</v>
      </c>
      <c r="Z124" s="67" t="s">
        <v>1846</v>
      </c>
      <c r="AB124" s="69" t="s">
        <v>1211</v>
      </c>
    </row>
    <row r="125" ht="26.4" spans="1:28">
      <c r="A125" s="29">
        <v>10012221</v>
      </c>
      <c r="B125" s="30">
        <v>2</v>
      </c>
      <c r="C125" s="63" t="s">
        <v>360</v>
      </c>
      <c r="D125" s="64" t="s">
        <v>1845</v>
      </c>
      <c r="E125" s="65">
        <v>0</v>
      </c>
      <c r="F125" s="65">
        <v>18</v>
      </c>
      <c r="G125" s="30">
        <v>0</v>
      </c>
      <c r="H125" s="30">
        <v>0</v>
      </c>
      <c r="I125" s="30">
        <v>0</v>
      </c>
      <c r="J125" s="30">
        <v>0</v>
      </c>
      <c r="K125" s="30">
        <v>0</v>
      </c>
      <c r="L125" s="30" t="s">
        <v>52</v>
      </c>
      <c r="M125" s="30">
        <v>0</v>
      </c>
      <c r="N125" s="30">
        <v>0</v>
      </c>
      <c r="O125" s="66">
        <v>0</v>
      </c>
      <c r="P125" s="30">
        <v>0</v>
      </c>
      <c r="Q125" s="30">
        <v>0</v>
      </c>
      <c r="R125" s="30">
        <v>0</v>
      </c>
      <c r="S125" s="30">
        <v>1</v>
      </c>
      <c r="T125" s="30">
        <v>0</v>
      </c>
      <c r="U125" s="31">
        <v>0</v>
      </c>
      <c r="V125" s="67">
        <v>0</v>
      </c>
      <c r="W125" s="67">
        <f t="shared" si="3"/>
        <v>0</v>
      </c>
      <c r="X125" s="67">
        <v>0</v>
      </c>
      <c r="Z125" s="67" t="s">
        <v>1846</v>
      </c>
      <c r="AA125" s="97">
        <v>0.0212962962962963</v>
      </c>
      <c r="AB125" s="98" t="s">
        <v>2043</v>
      </c>
    </row>
    <row r="126" ht="39.6" spans="1:28">
      <c r="A126" s="29">
        <v>10012321</v>
      </c>
      <c r="B126" s="30">
        <v>4</v>
      </c>
      <c r="C126" s="63" t="s">
        <v>868</v>
      </c>
      <c r="D126" s="64" t="s">
        <v>1805</v>
      </c>
      <c r="E126" s="65">
        <v>0</v>
      </c>
      <c r="F126" s="65">
        <v>5</v>
      </c>
      <c r="G126" s="30">
        <v>0</v>
      </c>
      <c r="H126" s="30">
        <v>0</v>
      </c>
      <c r="I126" s="30">
        <v>0</v>
      </c>
      <c r="J126" s="30">
        <v>0</v>
      </c>
      <c r="K126" s="30">
        <v>0</v>
      </c>
      <c r="L126" s="30" t="s">
        <v>115</v>
      </c>
      <c r="M126" s="30">
        <v>0</v>
      </c>
      <c r="N126" s="30">
        <v>0</v>
      </c>
      <c r="O126" s="66">
        <v>0</v>
      </c>
      <c r="P126" s="30">
        <v>0</v>
      </c>
      <c r="Q126" s="30">
        <v>0</v>
      </c>
      <c r="R126" s="30">
        <v>0</v>
      </c>
      <c r="S126" s="30">
        <v>1</v>
      </c>
      <c r="T126" s="30">
        <v>0</v>
      </c>
      <c r="U126" s="31">
        <v>0</v>
      </c>
      <c r="V126" s="67">
        <v>0</v>
      </c>
      <c r="W126" s="67">
        <f t="shared" si="3"/>
        <v>0</v>
      </c>
      <c r="X126" s="67">
        <v>0</v>
      </c>
      <c r="Z126" s="67" t="s">
        <v>1807</v>
      </c>
      <c r="AB126" s="69" t="s">
        <v>2044</v>
      </c>
    </row>
    <row r="127" ht="39.6" spans="1:28">
      <c r="A127" s="29">
        <v>10012421</v>
      </c>
      <c r="B127" s="30">
        <v>5</v>
      </c>
      <c r="C127" s="63" t="s">
        <v>2045</v>
      </c>
      <c r="D127" s="64" t="s">
        <v>1805</v>
      </c>
      <c r="E127" s="65">
        <v>0</v>
      </c>
      <c r="F127" s="65">
        <v>4</v>
      </c>
      <c r="G127" s="30">
        <v>0</v>
      </c>
      <c r="H127" s="30">
        <v>0</v>
      </c>
      <c r="I127" s="30">
        <v>0</v>
      </c>
      <c r="J127" s="30">
        <v>0</v>
      </c>
      <c r="K127" s="30">
        <v>2</v>
      </c>
      <c r="L127" s="30" t="s">
        <v>115</v>
      </c>
      <c r="M127" s="30">
        <v>0</v>
      </c>
      <c r="N127" s="30">
        <v>0</v>
      </c>
      <c r="O127" s="66">
        <v>0</v>
      </c>
      <c r="P127" s="30">
        <v>0</v>
      </c>
      <c r="Q127" s="30">
        <v>0</v>
      </c>
      <c r="R127" s="30">
        <v>5</v>
      </c>
      <c r="S127" s="30">
        <v>2</v>
      </c>
      <c r="T127" s="30">
        <v>0.35</v>
      </c>
      <c r="U127" s="31">
        <v>0</v>
      </c>
      <c r="V127" s="67">
        <v>0</v>
      </c>
      <c r="W127" s="67">
        <f>5*2*2.5</f>
        <v>25</v>
      </c>
      <c r="X127" s="67">
        <f>5+MAX($X$2,0.35)*5*$X$1</f>
        <v>29</v>
      </c>
      <c r="Y127" s="67" t="s">
        <v>1882</v>
      </c>
      <c r="Z127" s="67" t="s">
        <v>1807</v>
      </c>
      <c r="AB127" s="69" t="s">
        <v>2046</v>
      </c>
    </row>
    <row r="128" ht="39.6" spans="1:28">
      <c r="A128" s="29">
        <v>10012521</v>
      </c>
      <c r="B128" s="30">
        <v>3</v>
      </c>
      <c r="C128" s="63" t="s">
        <v>2047</v>
      </c>
      <c r="D128" s="64" t="s">
        <v>1828</v>
      </c>
      <c r="E128" s="65">
        <v>0</v>
      </c>
      <c r="F128" s="65">
        <v>6</v>
      </c>
      <c r="G128" s="30">
        <v>0</v>
      </c>
      <c r="H128" s="30">
        <v>0</v>
      </c>
      <c r="I128" s="30">
        <v>0</v>
      </c>
      <c r="J128" s="30">
        <v>0</v>
      </c>
      <c r="K128" s="30">
        <v>2</v>
      </c>
      <c r="L128" s="30" t="s">
        <v>158</v>
      </c>
      <c r="M128" s="30">
        <v>0</v>
      </c>
      <c r="N128" s="30">
        <v>0</v>
      </c>
      <c r="O128" s="66">
        <v>0</v>
      </c>
      <c r="P128" s="30">
        <v>0</v>
      </c>
      <c r="Q128" s="30">
        <v>0</v>
      </c>
      <c r="R128" s="30">
        <v>0</v>
      </c>
      <c r="S128" s="30">
        <v>1</v>
      </c>
      <c r="T128" s="30">
        <v>0</v>
      </c>
      <c r="U128" s="31">
        <v>0</v>
      </c>
      <c r="V128" s="67">
        <v>0</v>
      </c>
      <c r="W128" s="67">
        <f>0*1*2.5</f>
        <v>0</v>
      </c>
      <c r="X128" s="67">
        <v>0</v>
      </c>
      <c r="Z128" s="67" t="s">
        <v>1829</v>
      </c>
      <c r="AB128" s="69" t="s">
        <v>2048</v>
      </c>
    </row>
    <row r="129" ht="39.6" spans="1:28">
      <c r="A129" s="29">
        <v>10012621</v>
      </c>
      <c r="B129" s="30">
        <v>1</v>
      </c>
      <c r="C129" s="63" t="s">
        <v>491</v>
      </c>
      <c r="D129" s="64" t="s">
        <v>1828</v>
      </c>
      <c r="E129" s="65">
        <v>0</v>
      </c>
      <c r="F129" s="65">
        <v>4</v>
      </c>
      <c r="G129" s="30">
        <v>0</v>
      </c>
      <c r="H129" s="30">
        <v>0</v>
      </c>
      <c r="I129" s="30">
        <v>0</v>
      </c>
      <c r="J129" s="30">
        <v>0</v>
      </c>
      <c r="K129" s="30">
        <v>0</v>
      </c>
      <c r="L129" s="30" t="s">
        <v>158</v>
      </c>
      <c r="M129" s="30">
        <v>0</v>
      </c>
      <c r="N129" s="30">
        <v>0</v>
      </c>
      <c r="O129" s="66">
        <v>0</v>
      </c>
      <c r="P129" s="30">
        <v>0</v>
      </c>
      <c r="Q129" s="30">
        <v>0</v>
      </c>
      <c r="R129" s="30">
        <v>0</v>
      </c>
      <c r="S129" s="30">
        <v>1</v>
      </c>
      <c r="T129" s="30">
        <v>0</v>
      </c>
      <c r="U129" s="31">
        <v>0</v>
      </c>
      <c r="V129" s="67">
        <v>0</v>
      </c>
      <c r="W129" s="67">
        <f>0*1*2.5</f>
        <v>0</v>
      </c>
      <c r="X129" s="67">
        <v>0</v>
      </c>
      <c r="Z129" s="67" t="s">
        <v>1829</v>
      </c>
      <c r="AB129" s="69" t="s">
        <v>489</v>
      </c>
    </row>
    <row r="130" ht="52.8" spans="1:29">
      <c r="A130" s="29">
        <v>10012721</v>
      </c>
      <c r="B130" s="30">
        <v>6</v>
      </c>
      <c r="C130" s="63" t="s">
        <v>154</v>
      </c>
      <c r="D130" s="64" t="s">
        <v>1927</v>
      </c>
      <c r="E130" s="65">
        <v>0</v>
      </c>
      <c r="F130" s="65">
        <v>0</v>
      </c>
      <c r="G130" s="30">
        <v>0</v>
      </c>
      <c r="H130" s="30">
        <v>0</v>
      </c>
      <c r="I130" s="30">
        <v>0</v>
      </c>
      <c r="J130" s="30">
        <v>0</v>
      </c>
      <c r="K130" s="30">
        <v>0</v>
      </c>
      <c r="L130" s="30" t="s">
        <v>1802</v>
      </c>
      <c r="M130" s="30">
        <v>0</v>
      </c>
      <c r="N130" s="30">
        <v>0</v>
      </c>
      <c r="O130" s="66">
        <v>20</v>
      </c>
      <c r="P130" s="30">
        <v>0</v>
      </c>
      <c r="Q130" s="30">
        <v>0</v>
      </c>
      <c r="R130" s="30">
        <v>0</v>
      </c>
      <c r="S130" s="30">
        <v>1</v>
      </c>
      <c r="T130" s="30">
        <v>0</v>
      </c>
      <c r="U130" s="31">
        <v>0</v>
      </c>
      <c r="V130" s="67">
        <v>15</v>
      </c>
      <c r="W130" s="67">
        <f>0*1*2.5</f>
        <v>0</v>
      </c>
      <c r="X130" s="67">
        <v>0</v>
      </c>
      <c r="Y130" s="67" t="s">
        <v>2049</v>
      </c>
      <c r="Z130" s="67" t="s">
        <v>1909</v>
      </c>
      <c r="AB130" s="69" t="s">
        <v>2050</v>
      </c>
      <c r="AC130" s="69" t="s">
        <v>2051</v>
      </c>
    </row>
    <row r="131" ht="39.6" spans="1:29">
      <c r="A131" s="29">
        <v>10012821</v>
      </c>
      <c r="B131" s="30">
        <v>5</v>
      </c>
      <c r="C131" s="63" t="s">
        <v>2052</v>
      </c>
      <c r="D131" s="64" t="s">
        <v>1988</v>
      </c>
      <c r="E131" s="65">
        <v>0</v>
      </c>
      <c r="F131" s="65">
        <v>0</v>
      </c>
      <c r="G131" s="30">
        <v>0</v>
      </c>
      <c r="H131" s="30">
        <v>0</v>
      </c>
      <c r="I131" s="30">
        <v>0</v>
      </c>
      <c r="J131" s="30">
        <v>0</v>
      </c>
      <c r="K131" s="30">
        <v>5</v>
      </c>
      <c r="L131" s="30" t="s">
        <v>1802</v>
      </c>
      <c r="M131" s="30">
        <v>0</v>
      </c>
      <c r="N131" s="30">
        <v>0</v>
      </c>
      <c r="O131" s="66">
        <v>0</v>
      </c>
      <c r="P131" s="30">
        <v>0</v>
      </c>
      <c r="Q131" s="30">
        <v>0</v>
      </c>
      <c r="R131" s="30">
        <v>5</v>
      </c>
      <c r="S131" s="30">
        <v>1</v>
      </c>
      <c r="T131" s="30">
        <v>0.8</v>
      </c>
      <c r="U131" s="31">
        <v>0</v>
      </c>
      <c r="V131" s="67">
        <v>0</v>
      </c>
      <c r="W131" s="67">
        <f>5*1*2.5</f>
        <v>12.5</v>
      </c>
      <c r="X131" s="67">
        <f>5+MAX($X$2,0.8)*5*$X$1</f>
        <v>29</v>
      </c>
      <c r="Y131" s="67" t="s">
        <v>2053</v>
      </c>
      <c r="Z131" s="67" t="s">
        <v>1990</v>
      </c>
      <c r="AB131" s="69" t="s">
        <v>1614</v>
      </c>
      <c r="AC131" s="69" t="s">
        <v>2054</v>
      </c>
    </row>
    <row r="132" ht="39.6" spans="1:28">
      <c r="A132" s="29">
        <v>10012921</v>
      </c>
      <c r="B132" s="30">
        <v>5</v>
      </c>
      <c r="C132" s="63" t="s">
        <v>2055</v>
      </c>
      <c r="D132" s="64" t="s">
        <v>1988</v>
      </c>
      <c r="E132" s="65">
        <v>0</v>
      </c>
      <c r="F132" s="65">
        <v>5</v>
      </c>
      <c r="G132" s="30">
        <v>0</v>
      </c>
      <c r="H132" s="30">
        <v>0</v>
      </c>
      <c r="I132" s="30">
        <v>0</v>
      </c>
      <c r="J132" s="30">
        <v>0</v>
      </c>
      <c r="K132" s="30">
        <v>0</v>
      </c>
      <c r="L132" s="30" t="s">
        <v>1802</v>
      </c>
      <c r="M132" s="30">
        <v>0</v>
      </c>
      <c r="N132" s="30">
        <v>0</v>
      </c>
      <c r="O132" s="66">
        <v>0</v>
      </c>
      <c r="P132" s="30">
        <v>0</v>
      </c>
      <c r="Q132" s="30">
        <v>0</v>
      </c>
      <c r="R132" s="30">
        <v>0</v>
      </c>
      <c r="S132" s="30">
        <v>1</v>
      </c>
      <c r="T132" s="30">
        <v>0</v>
      </c>
      <c r="U132" s="31">
        <v>0</v>
      </c>
      <c r="V132" s="67">
        <v>0</v>
      </c>
      <c r="W132" s="67">
        <f>0*1*2.5</f>
        <v>0</v>
      </c>
      <c r="X132" s="67">
        <v>0</v>
      </c>
      <c r="Y132" s="67" t="s">
        <v>2056</v>
      </c>
      <c r="Z132" s="67" t="s">
        <v>1834</v>
      </c>
      <c r="AB132" s="69" t="s">
        <v>2057</v>
      </c>
    </row>
    <row r="133" ht="26.4" spans="1:28">
      <c r="A133" s="29">
        <v>10013021</v>
      </c>
      <c r="B133" s="30">
        <v>5</v>
      </c>
      <c r="C133" s="63" t="s">
        <v>2058</v>
      </c>
      <c r="D133" s="64" t="s">
        <v>1988</v>
      </c>
      <c r="E133" s="65">
        <v>0</v>
      </c>
      <c r="F133" s="65">
        <v>6</v>
      </c>
      <c r="G133" s="30">
        <v>0</v>
      </c>
      <c r="H133" s="30">
        <v>0</v>
      </c>
      <c r="I133" s="30">
        <v>0</v>
      </c>
      <c r="J133" s="30">
        <v>0</v>
      </c>
      <c r="K133" s="30">
        <v>1</v>
      </c>
      <c r="L133" s="30" t="s">
        <v>1802</v>
      </c>
      <c r="M133" s="30">
        <v>0</v>
      </c>
      <c r="N133" s="30">
        <v>0</v>
      </c>
      <c r="O133" s="66">
        <v>0</v>
      </c>
      <c r="P133" s="30">
        <v>0</v>
      </c>
      <c r="Q133" s="30">
        <v>0</v>
      </c>
      <c r="R133" s="30">
        <v>0</v>
      </c>
      <c r="S133" s="30">
        <v>1</v>
      </c>
      <c r="T133" s="30">
        <v>0</v>
      </c>
      <c r="U133" s="31">
        <v>0</v>
      </c>
      <c r="V133" s="67">
        <v>0</v>
      </c>
      <c r="W133" s="67">
        <f>0*1*2.5</f>
        <v>0</v>
      </c>
      <c r="X133" s="67">
        <v>0</v>
      </c>
      <c r="Y133" s="67" t="s">
        <v>2059</v>
      </c>
      <c r="Z133" s="67" t="s">
        <v>2060</v>
      </c>
      <c r="AA133" s="97">
        <v>0.0243055555555556</v>
      </c>
      <c r="AB133" s="98" t="s">
        <v>2061</v>
      </c>
    </row>
    <row r="134" ht="26.4" spans="1:28">
      <c r="A134" s="29">
        <v>10013121</v>
      </c>
      <c r="B134" s="30">
        <v>5</v>
      </c>
      <c r="C134" s="63" t="s">
        <v>2062</v>
      </c>
      <c r="D134" s="64" t="s">
        <v>1907</v>
      </c>
      <c r="E134" s="65">
        <v>0</v>
      </c>
      <c r="F134" s="65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 t="s">
        <v>1802</v>
      </c>
      <c r="M134" s="30">
        <v>2</v>
      </c>
      <c r="N134" s="30">
        <v>0</v>
      </c>
      <c r="O134" s="66">
        <v>0</v>
      </c>
      <c r="P134" s="30">
        <v>0</v>
      </c>
      <c r="Q134" s="30">
        <v>0</v>
      </c>
      <c r="R134" s="30">
        <v>9</v>
      </c>
      <c r="S134" s="30">
        <v>1</v>
      </c>
      <c r="T134" s="30">
        <v>0</v>
      </c>
      <c r="U134" s="31">
        <v>0</v>
      </c>
      <c r="V134" s="67">
        <v>4</v>
      </c>
      <c r="W134" s="67">
        <f>9*1*2.5</f>
        <v>22.5</v>
      </c>
      <c r="X134" s="67">
        <v>9</v>
      </c>
      <c r="Y134" s="67" t="s">
        <v>1908</v>
      </c>
      <c r="Z134" s="67" t="s">
        <v>1909</v>
      </c>
      <c r="AA134" s="97">
        <v>0.0351851851851852</v>
      </c>
      <c r="AB134" s="98" t="s">
        <v>2063</v>
      </c>
    </row>
    <row r="135" ht="26.4" spans="1:29">
      <c r="A135" s="29">
        <v>10013221</v>
      </c>
      <c r="B135" s="30">
        <v>5</v>
      </c>
      <c r="C135" s="63" t="s">
        <v>2064</v>
      </c>
      <c r="D135" s="64" t="s">
        <v>1907</v>
      </c>
      <c r="E135" s="65">
        <v>0</v>
      </c>
      <c r="F135" s="65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 t="s">
        <v>1802</v>
      </c>
      <c r="M135" s="30">
        <v>3</v>
      </c>
      <c r="N135" s="30">
        <v>0</v>
      </c>
      <c r="O135" s="66">
        <v>0</v>
      </c>
      <c r="P135" s="30">
        <v>0</v>
      </c>
      <c r="Q135" s="30">
        <v>0</v>
      </c>
      <c r="R135" s="30">
        <v>12</v>
      </c>
      <c r="S135" s="30">
        <v>1</v>
      </c>
      <c r="T135" s="30">
        <v>0</v>
      </c>
      <c r="U135" s="31">
        <v>0</v>
      </c>
      <c r="V135" s="67">
        <v>6</v>
      </c>
      <c r="W135" s="67">
        <f>12*1*2.5</f>
        <v>30</v>
      </c>
      <c r="X135" s="67">
        <v>12</v>
      </c>
      <c r="Y135" s="67" t="s">
        <v>1920</v>
      </c>
      <c r="Z135" s="67" t="s">
        <v>1909</v>
      </c>
      <c r="AC135" s="69" t="s">
        <v>2065</v>
      </c>
    </row>
    <row r="136" ht="26.4" spans="1:29">
      <c r="A136" s="29">
        <v>10013321</v>
      </c>
      <c r="B136" s="30">
        <v>5</v>
      </c>
      <c r="C136" s="63" t="s">
        <v>2066</v>
      </c>
      <c r="D136" s="64" t="s">
        <v>1907</v>
      </c>
      <c r="E136" s="65">
        <v>0</v>
      </c>
      <c r="F136" s="65">
        <v>0</v>
      </c>
      <c r="G136" s="30">
        <v>0</v>
      </c>
      <c r="H136" s="30">
        <v>0</v>
      </c>
      <c r="I136" s="30">
        <v>0</v>
      </c>
      <c r="J136" s="30">
        <v>0</v>
      </c>
      <c r="K136" s="30">
        <v>2</v>
      </c>
      <c r="L136" s="30" t="s">
        <v>1802</v>
      </c>
      <c r="M136" s="30">
        <v>2</v>
      </c>
      <c r="N136" s="30">
        <v>0</v>
      </c>
      <c r="O136" s="66">
        <v>0</v>
      </c>
      <c r="P136" s="30">
        <v>0</v>
      </c>
      <c r="Q136" s="30">
        <v>0</v>
      </c>
      <c r="R136" s="30">
        <v>9</v>
      </c>
      <c r="S136" s="30">
        <v>1</v>
      </c>
      <c r="T136" s="30">
        <v>0</v>
      </c>
      <c r="U136" s="31">
        <v>0</v>
      </c>
      <c r="V136" s="67">
        <v>5</v>
      </c>
      <c r="W136" s="67">
        <f>9*1*2.5</f>
        <v>22.5</v>
      </c>
      <c r="X136" s="67">
        <v>9</v>
      </c>
      <c r="Y136" s="67" t="s">
        <v>1913</v>
      </c>
      <c r="Z136" s="67" t="s">
        <v>1909</v>
      </c>
      <c r="AC136" s="69" t="s">
        <v>2067</v>
      </c>
    </row>
    <row r="137" ht="52.8" spans="1:28">
      <c r="A137" s="29">
        <v>10013421</v>
      </c>
      <c r="B137" s="30">
        <v>4</v>
      </c>
      <c r="C137" s="63" t="s">
        <v>2068</v>
      </c>
      <c r="D137" s="64" t="s">
        <v>1907</v>
      </c>
      <c r="E137" s="65">
        <v>0</v>
      </c>
      <c r="F137" s="65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 t="s">
        <v>1802</v>
      </c>
      <c r="M137" s="30">
        <v>1</v>
      </c>
      <c r="N137" s="30">
        <v>0</v>
      </c>
      <c r="O137" s="66">
        <v>4</v>
      </c>
      <c r="P137" s="30">
        <v>0</v>
      </c>
      <c r="Q137" s="30">
        <v>0</v>
      </c>
      <c r="R137" s="30">
        <v>8</v>
      </c>
      <c r="S137" s="30">
        <v>1</v>
      </c>
      <c r="T137" s="30">
        <v>0</v>
      </c>
      <c r="U137" s="31">
        <v>0</v>
      </c>
      <c r="V137" s="67">
        <v>6</v>
      </c>
      <c r="W137" s="67">
        <f>8*1*2.5</f>
        <v>20</v>
      </c>
      <c r="X137" s="67">
        <v>8</v>
      </c>
      <c r="Y137" s="67" t="s">
        <v>1920</v>
      </c>
      <c r="Z137" s="67" t="s">
        <v>1909</v>
      </c>
      <c r="AA137" s="97">
        <v>0.0162037037037037</v>
      </c>
      <c r="AB137" s="98" t="s">
        <v>2069</v>
      </c>
    </row>
    <row r="138" ht="26.4" spans="1:28">
      <c r="A138" s="29">
        <v>10013521</v>
      </c>
      <c r="B138" s="30">
        <v>5</v>
      </c>
      <c r="C138" s="63" t="s">
        <v>2070</v>
      </c>
      <c r="D138" s="64" t="s">
        <v>1907</v>
      </c>
      <c r="E138" s="65">
        <v>0</v>
      </c>
      <c r="F138" s="65">
        <v>0</v>
      </c>
      <c r="G138" s="30">
        <v>0</v>
      </c>
      <c r="H138" s="30">
        <v>0</v>
      </c>
      <c r="I138" s="30">
        <v>0</v>
      </c>
      <c r="J138" s="30">
        <v>0</v>
      </c>
      <c r="K138" s="30">
        <v>0</v>
      </c>
      <c r="L138" s="30" t="s">
        <v>1802</v>
      </c>
      <c r="M138" s="30">
        <v>-1</v>
      </c>
      <c r="N138" s="30">
        <v>3</v>
      </c>
      <c r="O138" s="66">
        <v>0</v>
      </c>
      <c r="P138" s="30">
        <v>0</v>
      </c>
      <c r="Q138" s="30">
        <v>0</v>
      </c>
      <c r="R138" s="30">
        <v>10</v>
      </c>
      <c r="S138" s="30">
        <v>1</v>
      </c>
      <c r="T138" s="30">
        <v>0</v>
      </c>
      <c r="U138" s="31">
        <v>0</v>
      </c>
      <c r="V138" s="67">
        <v>5</v>
      </c>
      <c r="W138" s="67">
        <f>10*1*2.5</f>
        <v>25</v>
      </c>
      <c r="X138" s="67">
        <v>10</v>
      </c>
      <c r="Y138" s="67" t="s">
        <v>1913</v>
      </c>
      <c r="Z138" s="67" t="s">
        <v>1909</v>
      </c>
      <c r="AA138" s="97">
        <v>0.0399305555555556</v>
      </c>
      <c r="AB138" s="98"/>
    </row>
    <row r="139" ht="26.4" spans="1:28">
      <c r="A139" s="29">
        <v>10013621</v>
      </c>
      <c r="B139" s="30">
        <v>4</v>
      </c>
      <c r="C139" s="63" t="s">
        <v>2071</v>
      </c>
      <c r="D139" s="64" t="s">
        <v>1927</v>
      </c>
      <c r="E139" s="65">
        <v>0</v>
      </c>
      <c r="F139" s="65">
        <v>0</v>
      </c>
      <c r="G139" s="30">
        <v>0</v>
      </c>
      <c r="H139" s="30">
        <v>0</v>
      </c>
      <c r="I139" s="30">
        <v>1</v>
      </c>
      <c r="J139" s="30">
        <v>0</v>
      </c>
      <c r="K139" s="30">
        <v>0</v>
      </c>
      <c r="L139" s="30" t="s">
        <v>1802</v>
      </c>
      <c r="M139" s="30">
        <v>0</v>
      </c>
      <c r="N139" s="30">
        <v>0</v>
      </c>
      <c r="O139" s="66">
        <v>4</v>
      </c>
      <c r="P139" s="30">
        <v>0</v>
      </c>
      <c r="Q139" s="30">
        <v>0</v>
      </c>
      <c r="R139" s="30">
        <v>5</v>
      </c>
      <c r="S139" s="30">
        <v>1</v>
      </c>
      <c r="T139" s="30">
        <v>0</v>
      </c>
      <c r="U139" s="31">
        <v>0</v>
      </c>
      <c r="V139" s="67">
        <v>4</v>
      </c>
      <c r="W139" s="67">
        <f>5*1*2.5</f>
        <v>12.5</v>
      </c>
      <c r="X139" s="67">
        <v>5</v>
      </c>
      <c r="Y139" s="67" t="s">
        <v>1908</v>
      </c>
      <c r="Z139" s="67" t="s">
        <v>1909</v>
      </c>
      <c r="AB139" s="69" t="s">
        <v>2072</v>
      </c>
    </row>
    <row r="140" ht="26.4" spans="1:28">
      <c r="A140" s="29">
        <v>10013721</v>
      </c>
      <c r="B140" s="30">
        <v>4</v>
      </c>
      <c r="C140" s="63" t="s">
        <v>2073</v>
      </c>
      <c r="D140" s="64" t="s">
        <v>1940</v>
      </c>
      <c r="E140" s="65">
        <v>0</v>
      </c>
      <c r="F140" s="65">
        <v>0</v>
      </c>
      <c r="G140" s="30">
        <v>0</v>
      </c>
      <c r="H140" s="30">
        <v>3</v>
      </c>
      <c r="I140" s="30">
        <v>8</v>
      </c>
      <c r="J140" s="30">
        <v>1</v>
      </c>
      <c r="K140" s="30">
        <v>1</v>
      </c>
      <c r="L140" s="30" t="s">
        <v>1802</v>
      </c>
      <c r="M140" s="30">
        <v>0</v>
      </c>
      <c r="N140" s="30">
        <v>0</v>
      </c>
      <c r="O140" s="66">
        <v>0</v>
      </c>
      <c r="P140" s="30">
        <v>0</v>
      </c>
      <c r="Q140" s="30">
        <v>0</v>
      </c>
      <c r="R140" s="30">
        <v>0</v>
      </c>
      <c r="S140" s="30">
        <v>1</v>
      </c>
      <c r="T140" s="30">
        <v>0</v>
      </c>
      <c r="U140" s="31">
        <v>0</v>
      </c>
      <c r="V140" s="67">
        <v>5</v>
      </c>
      <c r="W140" s="67">
        <f>0*1*2.5</f>
        <v>0</v>
      </c>
      <c r="X140" s="67">
        <v>0</v>
      </c>
      <c r="Y140" s="67" t="s">
        <v>1913</v>
      </c>
      <c r="Z140" s="67" t="s">
        <v>1909</v>
      </c>
      <c r="AB140" s="69" t="s">
        <v>2074</v>
      </c>
    </row>
    <row r="141" ht="26.4" spans="1:28">
      <c r="A141" s="29">
        <v>10013821</v>
      </c>
      <c r="B141" s="30">
        <v>3</v>
      </c>
      <c r="C141" s="63" t="s">
        <v>2075</v>
      </c>
      <c r="D141" s="64" t="s">
        <v>1927</v>
      </c>
      <c r="E141" s="65">
        <v>0</v>
      </c>
      <c r="F141" s="65">
        <v>0</v>
      </c>
      <c r="G141" s="30">
        <v>0</v>
      </c>
      <c r="H141" s="30">
        <v>0</v>
      </c>
      <c r="I141" s="30">
        <v>3</v>
      </c>
      <c r="J141" s="30">
        <v>0</v>
      </c>
      <c r="K141" s="30">
        <v>0</v>
      </c>
      <c r="L141" s="30" t="s">
        <v>1802</v>
      </c>
      <c r="M141" s="30">
        <v>0</v>
      </c>
      <c r="N141" s="30">
        <v>0</v>
      </c>
      <c r="O141" s="66">
        <v>8</v>
      </c>
      <c r="P141" s="30">
        <v>0</v>
      </c>
      <c r="Q141" s="30">
        <v>0</v>
      </c>
      <c r="R141" s="30">
        <v>2</v>
      </c>
      <c r="S141" s="30">
        <v>1</v>
      </c>
      <c r="T141" s="30">
        <v>0</v>
      </c>
      <c r="U141" s="31">
        <v>0</v>
      </c>
      <c r="V141" s="67">
        <v>5</v>
      </c>
      <c r="W141" s="67">
        <f>2*1*2.5</f>
        <v>5</v>
      </c>
      <c r="X141" s="67">
        <v>2</v>
      </c>
      <c r="Y141" s="67" t="s">
        <v>1913</v>
      </c>
      <c r="Z141" s="67" t="s">
        <v>1909</v>
      </c>
      <c r="AA141" s="97">
        <v>0.0162037037037037</v>
      </c>
      <c r="AB141" s="98" t="s">
        <v>2076</v>
      </c>
    </row>
    <row r="142" ht="26.4" spans="1:28">
      <c r="A142" s="29">
        <v>10013921</v>
      </c>
      <c r="B142" s="30">
        <v>1</v>
      </c>
      <c r="C142" s="63" t="s">
        <v>2077</v>
      </c>
      <c r="D142" s="64" t="s">
        <v>1940</v>
      </c>
      <c r="E142" s="65">
        <v>0</v>
      </c>
      <c r="F142" s="65">
        <v>0</v>
      </c>
      <c r="G142" s="30">
        <v>0</v>
      </c>
      <c r="H142" s="30">
        <v>5</v>
      </c>
      <c r="I142" s="30">
        <v>3</v>
      </c>
      <c r="J142" s="30">
        <v>0</v>
      </c>
      <c r="K142" s="30">
        <v>0</v>
      </c>
      <c r="L142" s="30" t="s">
        <v>1802</v>
      </c>
      <c r="M142" s="30">
        <v>0</v>
      </c>
      <c r="N142" s="30">
        <v>0</v>
      </c>
      <c r="O142" s="66">
        <v>0</v>
      </c>
      <c r="P142" s="30">
        <v>0</v>
      </c>
      <c r="Q142" s="30">
        <v>0</v>
      </c>
      <c r="R142" s="30">
        <v>0</v>
      </c>
      <c r="S142" s="30">
        <v>1</v>
      </c>
      <c r="T142" s="30">
        <v>0</v>
      </c>
      <c r="U142" s="31">
        <v>0</v>
      </c>
      <c r="V142" s="67">
        <v>5</v>
      </c>
      <c r="W142" s="67">
        <f>0*1*2.5</f>
        <v>0</v>
      </c>
      <c r="X142" s="67">
        <v>0</v>
      </c>
      <c r="Y142" s="67" t="s">
        <v>1913</v>
      </c>
      <c r="Z142" s="67" t="s">
        <v>1909</v>
      </c>
      <c r="AB142" s="69" t="s">
        <v>2078</v>
      </c>
    </row>
    <row r="143" ht="26.4" spans="1:29">
      <c r="A143" s="29">
        <v>10014021</v>
      </c>
      <c r="B143" s="30">
        <v>6</v>
      </c>
      <c r="C143" s="63" t="s">
        <v>2079</v>
      </c>
      <c r="D143" s="64" t="s">
        <v>1940</v>
      </c>
      <c r="E143" s="65">
        <v>0</v>
      </c>
      <c r="F143" s="65">
        <v>0</v>
      </c>
      <c r="G143" s="30">
        <v>0</v>
      </c>
      <c r="H143" s="30">
        <v>16</v>
      </c>
      <c r="I143" s="30">
        <v>3</v>
      </c>
      <c r="J143" s="30">
        <v>0</v>
      </c>
      <c r="K143" s="30">
        <v>0</v>
      </c>
      <c r="L143" s="30" t="s">
        <v>1802</v>
      </c>
      <c r="M143" s="30">
        <v>0</v>
      </c>
      <c r="N143" s="30">
        <v>0</v>
      </c>
      <c r="O143" s="66">
        <v>0</v>
      </c>
      <c r="P143" s="30">
        <v>0</v>
      </c>
      <c r="Q143" s="30">
        <v>0</v>
      </c>
      <c r="R143" s="30">
        <v>0</v>
      </c>
      <c r="S143" s="30">
        <v>1</v>
      </c>
      <c r="T143" s="30">
        <v>0</v>
      </c>
      <c r="U143" s="31">
        <v>0</v>
      </c>
      <c r="V143" s="67">
        <v>9</v>
      </c>
      <c r="W143" s="67">
        <f>0*1*2.5</f>
        <v>0</v>
      </c>
      <c r="X143" s="67">
        <v>0</v>
      </c>
      <c r="Y143" s="67" t="s">
        <v>2080</v>
      </c>
      <c r="Z143" s="67" t="s">
        <v>1909</v>
      </c>
      <c r="AC143" s="69" t="s">
        <v>2081</v>
      </c>
    </row>
    <row r="144" ht="39.6" spans="1:28">
      <c r="A144" s="29">
        <v>10014121</v>
      </c>
      <c r="B144" s="30">
        <v>4</v>
      </c>
      <c r="C144" s="63" t="s">
        <v>2082</v>
      </c>
      <c r="D144" s="64" t="s">
        <v>1952</v>
      </c>
      <c r="E144" s="65">
        <v>0</v>
      </c>
      <c r="F144" s="65">
        <v>0</v>
      </c>
      <c r="G144" s="30">
        <v>0</v>
      </c>
      <c r="H144" s="30">
        <v>0</v>
      </c>
      <c r="I144" s="30">
        <v>4</v>
      </c>
      <c r="J144" s="30">
        <v>8</v>
      </c>
      <c r="K144" s="30">
        <v>3</v>
      </c>
      <c r="L144" s="30" t="s">
        <v>1802</v>
      </c>
      <c r="M144" s="30">
        <v>0</v>
      </c>
      <c r="N144" s="30">
        <v>0</v>
      </c>
      <c r="O144" s="66">
        <v>0</v>
      </c>
      <c r="P144" s="30">
        <v>0</v>
      </c>
      <c r="Q144" s="30">
        <v>0</v>
      </c>
      <c r="R144" s="30">
        <v>0</v>
      </c>
      <c r="S144" s="30">
        <v>1</v>
      </c>
      <c r="T144" s="30">
        <v>0</v>
      </c>
      <c r="U144" s="31">
        <v>0</v>
      </c>
      <c r="V144" s="67">
        <v>4</v>
      </c>
      <c r="W144" s="67">
        <f>0*1*2.5</f>
        <v>0</v>
      </c>
      <c r="X144" s="67">
        <v>0</v>
      </c>
      <c r="Y144" s="67" t="s">
        <v>1908</v>
      </c>
      <c r="Z144" s="67" t="s">
        <v>1953</v>
      </c>
      <c r="AB144" s="69" t="s">
        <v>1667</v>
      </c>
    </row>
    <row r="145" ht="39.6" spans="1:29">
      <c r="A145" s="29">
        <v>10014221</v>
      </c>
      <c r="B145" s="30">
        <v>5</v>
      </c>
      <c r="C145" s="63" t="s">
        <v>2083</v>
      </c>
      <c r="D145" s="64" t="s">
        <v>1952</v>
      </c>
      <c r="E145" s="65">
        <v>0</v>
      </c>
      <c r="F145" s="65">
        <v>0</v>
      </c>
      <c r="G145" s="30">
        <v>0</v>
      </c>
      <c r="H145" s="30">
        <v>0</v>
      </c>
      <c r="I145" s="30">
        <v>4</v>
      </c>
      <c r="J145" s="30">
        <v>10</v>
      </c>
      <c r="K145" s="30">
        <v>2</v>
      </c>
      <c r="L145" s="30" t="s">
        <v>1802</v>
      </c>
      <c r="M145" s="30">
        <v>3</v>
      </c>
      <c r="N145" s="30">
        <v>0</v>
      </c>
      <c r="O145" s="66">
        <v>0</v>
      </c>
      <c r="P145" s="30">
        <v>0</v>
      </c>
      <c r="Q145" s="30">
        <v>0</v>
      </c>
      <c r="R145" s="30">
        <v>0</v>
      </c>
      <c r="S145" s="30">
        <v>1</v>
      </c>
      <c r="T145" s="30">
        <v>0</v>
      </c>
      <c r="U145" s="31">
        <v>0</v>
      </c>
      <c r="V145" s="67">
        <v>4</v>
      </c>
      <c r="W145" s="67">
        <f>0*1*2.5</f>
        <v>0</v>
      </c>
      <c r="X145" s="67">
        <v>0</v>
      </c>
      <c r="Y145" s="67" t="s">
        <v>1908</v>
      </c>
      <c r="Z145" s="67" t="s">
        <v>1953</v>
      </c>
      <c r="AC145" s="69" t="s">
        <v>2084</v>
      </c>
    </row>
    <row r="146" ht="26.4" spans="1:29">
      <c r="A146" s="29">
        <v>10014321</v>
      </c>
      <c r="B146" s="30">
        <v>4</v>
      </c>
      <c r="C146" s="63" t="s">
        <v>2085</v>
      </c>
      <c r="D146" s="64" t="s">
        <v>1907</v>
      </c>
      <c r="E146" s="65">
        <v>0</v>
      </c>
      <c r="F146" s="65">
        <v>0</v>
      </c>
      <c r="G146" s="30">
        <v>0</v>
      </c>
      <c r="H146" s="30">
        <v>0</v>
      </c>
      <c r="I146" s="30">
        <v>3</v>
      </c>
      <c r="J146" s="30">
        <v>7</v>
      </c>
      <c r="K146" s="30">
        <v>0</v>
      </c>
      <c r="L146" s="30" t="s">
        <v>1802</v>
      </c>
      <c r="M146" s="30">
        <v>0</v>
      </c>
      <c r="N146" s="30">
        <v>0</v>
      </c>
      <c r="O146" s="66">
        <v>0</v>
      </c>
      <c r="P146" s="30">
        <v>0</v>
      </c>
      <c r="Q146" s="30">
        <v>0</v>
      </c>
      <c r="R146" s="30">
        <v>7</v>
      </c>
      <c r="S146" s="30">
        <v>1</v>
      </c>
      <c r="T146" s="30">
        <v>0</v>
      </c>
      <c r="U146" s="31">
        <v>0</v>
      </c>
      <c r="V146" s="67">
        <v>5</v>
      </c>
      <c r="W146" s="67">
        <f>7*1*2.5</f>
        <v>17.5</v>
      </c>
      <c r="X146" s="67">
        <v>7</v>
      </c>
      <c r="Y146" s="67" t="s">
        <v>1913</v>
      </c>
      <c r="Z146" s="67" t="s">
        <v>1909</v>
      </c>
      <c r="AC146" s="69" t="s">
        <v>2084</v>
      </c>
    </row>
    <row r="147" ht="39.6" spans="1:29">
      <c r="A147" s="29">
        <v>10014421</v>
      </c>
      <c r="B147" s="30">
        <v>6</v>
      </c>
      <c r="C147" s="63" t="s">
        <v>2086</v>
      </c>
      <c r="D147" s="64" t="s">
        <v>1952</v>
      </c>
      <c r="E147" s="65">
        <v>0</v>
      </c>
      <c r="F147" s="65">
        <v>0</v>
      </c>
      <c r="G147" s="30">
        <v>0</v>
      </c>
      <c r="H147" s="30">
        <v>0</v>
      </c>
      <c r="I147" s="30">
        <v>2</v>
      </c>
      <c r="J147" s="30">
        <v>3</v>
      </c>
      <c r="K147" s="30">
        <v>0</v>
      </c>
      <c r="L147" s="30" t="s">
        <v>1802</v>
      </c>
      <c r="M147" s="30">
        <v>4</v>
      </c>
      <c r="N147" s="30">
        <v>5</v>
      </c>
      <c r="O147" s="66">
        <v>0</v>
      </c>
      <c r="P147" s="30">
        <v>0</v>
      </c>
      <c r="Q147" s="30">
        <v>0</v>
      </c>
      <c r="R147" s="30">
        <v>1</v>
      </c>
      <c r="S147" s="30">
        <v>1</v>
      </c>
      <c r="T147" s="30">
        <v>0</v>
      </c>
      <c r="U147" s="31">
        <v>0</v>
      </c>
      <c r="V147" s="67">
        <v>5</v>
      </c>
      <c r="W147" s="67">
        <f>1*1*2.5</f>
        <v>2.5</v>
      </c>
      <c r="X147" s="67">
        <v>1</v>
      </c>
      <c r="Y147" s="67" t="s">
        <v>1913</v>
      </c>
      <c r="Z147" s="67" t="s">
        <v>1953</v>
      </c>
      <c r="AA147" s="97">
        <v>0.0277777777777778</v>
      </c>
      <c r="AB147" s="98"/>
      <c r="AC147" s="69" t="s">
        <v>2087</v>
      </c>
    </row>
    <row r="148" ht="26.4" spans="1:28">
      <c r="A148" s="29">
        <v>10014521</v>
      </c>
      <c r="B148" s="30">
        <v>3</v>
      </c>
      <c r="C148" s="63" t="s">
        <v>2088</v>
      </c>
      <c r="D148" s="64" t="s">
        <v>2089</v>
      </c>
      <c r="E148" s="65">
        <v>0</v>
      </c>
      <c r="F148" s="65">
        <v>0</v>
      </c>
      <c r="G148" s="30">
        <v>0</v>
      </c>
      <c r="H148" s="30">
        <v>0</v>
      </c>
      <c r="I148" s="30">
        <v>2</v>
      </c>
      <c r="J148" s="30">
        <v>0</v>
      </c>
      <c r="K148" s="30">
        <v>0</v>
      </c>
      <c r="L148" s="30" t="s">
        <v>1802</v>
      </c>
      <c r="M148" s="30">
        <v>0</v>
      </c>
      <c r="N148" s="30">
        <v>0</v>
      </c>
      <c r="O148" s="66">
        <v>5</v>
      </c>
      <c r="P148" s="30">
        <v>0</v>
      </c>
      <c r="Q148" s="30">
        <v>0</v>
      </c>
      <c r="R148" s="30">
        <v>2</v>
      </c>
      <c r="S148" s="30">
        <v>1</v>
      </c>
      <c r="T148" s="30">
        <v>0</v>
      </c>
      <c r="U148" s="31">
        <v>0</v>
      </c>
      <c r="V148" s="67">
        <v>4</v>
      </c>
      <c r="W148" s="67">
        <f>2*1*2.5</f>
        <v>5</v>
      </c>
      <c r="X148" s="67">
        <v>2</v>
      </c>
      <c r="Y148" s="67" t="s">
        <v>1908</v>
      </c>
      <c r="Z148" s="67" t="s">
        <v>2090</v>
      </c>
      <c r="AA148" s="97">
        <v>0.021412037037037</v>
      </c>
      <c r="AB148" s="98" t="s">
        <v>2091</v>
      </c>
    </row>
    <row r="149" ht="26.4" spans="1:28">
      <c r="A149" s="29">
        <v>10014621</v>
      </c>
      <c r="B149" s="30">
        <v>4</v>
      </c>
      <c r="C149" s="63" t="s">
        <v>2092</v>
      </c>
      <c r="D149" s="64" t="s">
        <v>2089</v>
      </c>
      <c r="E149" s="65">
        <v>0</v>
      </c>
      <c r="F149" s="65">
        <v>0</v>
      </c>
      <c r="G149" s="30">
        <v>0</v>
      </c>
      <c r="H149" s="30">
        <v>0</v>
      </c>
      <c r="I149" s="30">
        <v>0</v>
      </c>
      <c r="J149" s="30">
        <v>0</v>
      </c>
      <c r="K149" s="30">
        <v>0</v>
      </c>
      <c r="L149" s="30" t="s">
        <v>1802</v>
      </c>
      <c r="M149" s="30">
        <v>0</v>
      </c>
      <c r="N149" s="30">
        <v>0</v>
      </c>
      <c r="O149" s="66">
        <v>8</v>
      </c>
      <c r="P149" s="30">
        <v>0</v>
      </c>
      <c r="Q149" s="30">
        <v>0</v>
      </c>
      <c r="R149" s="30">
        <v>0</v>
      </c>
      <c r="S149" s="30">
        <v>1</v>
      </c>
      <c r="T149" s="30">
        <v>0</v>
      </c>
      <c r="U149" s="31">
        <v>0</v>
      </c>
      <c r="V149" s="67">
        <v>4</v>
      </c>
      <c r="W149" s="67">
        <f t="shared" ref="W149:W157" si="4">0*1*2.5</f>
        <v>0</v>
      </c>
      <c r="X149" s="67">
        <v>0</v>
      </c>
      <c r="Y149" s="67" t="s">
        <v>1908</v>
      </c>
      <c r="Z149" s="67" t="s">
        <v>2090</v>
      </c>
      <c r="AA149" s="97">
        <v>0.025462962962963</v>
      </c>
      <c r="AB149" s="98"/>
    </row>
    <row r="150" ht="66" spans="1:28">
      <c r="A150" s="29">
        <v>10014721</v>
      </c>
      <c r="B150" s="30">
        <v>4</v>
      </c>
      <c r="C150" s="63" t="s">
        <v>2093</v>
      </c>
      <c r="D150" s="64" t="s">
        <v>1845</v>
      </c>
      <c r="E150" s="65">
        <v>0</v>
      </c>
      <c r="F150" s="65">
        <v>26</v>
      </c>
      <c r="G150" s="30">
        <v>0</v>
      </c>
      <c r="H150" s="30">
        <v>0</v>
      </c>
      <c r="I150" s="30">
        <v>0</v>
      </c>
      <c r="J150" s="30">
        <v>0</v>
      </c>
      <c r="K150" s="30">
        <v>0</v>
      </c>
      <c r="L150" s="30" t="s">
        <v>52</v>
      </c>
      <c r="M150" s="30">
        <v>0</v>
      </c>
      <c r="N150" s="30">
        <v>0</v>
      </c>
      <c r="O150" s="66">
        <v>0</v>
      </c>
      <c r="P150" s="30">
        <v>0</v>
      </c>
      <c r="Q150" s="30">
        <v>0</v>
      </c>
      <c r="R150" s="30">
        <v>0</v>
      </c>
      <c r="S150" s="30">
        <v>1</v>
      </c>
      <c r="T150" s="30">
        <v>0</v>
      </c>
      <c r="U150" s="31">
        <v>0</v>
      </c>
      <c r="V150" s="67">
        <v>0</v>
      </c>
      <c r="W150" s="67">
        <f t="shared" si="4"/>
        <v>0</v>
      </c>
      <c r="X150" s="67">
        <v>0</v>
      </c>
      <c r="Z150" s="67" t="s">
        <v>1846</v>
      </c>
      <c r="AB150" s="69" t="s">
        <v>2094</v>
      </c>
    </row>
    <row r="151" ht="39.6" spans="1:28">
      <c r="A151" s="29">
        <v>10014821</v>
      </c>
      <c r="B151" s="30">
        <v>4</v>
      </c>
      <c r="C151" s="63" t="s">
        <v>2095</v>
      </c>
      <c r="D151" s="64" t="s">
        <v>14</v>
      </c>
      <c r="E151" s="65">
        <v>0</v>
      </c>
      <c r="F151" s="65">
        <v>0</v>
      </c>
      <c r="G151" s="30">
        <v>0</v>
      </c>
      <c r="H151" s="30">
        <v>9</v>
      </c>
      <c r="I151" s="30">
        <v>0</v>
      </c>
      <c r="J151" s="30">
        <v>0</v>
      </c>
      <c r="K151" s="30">
        <v>0</v>
      </c>
      <c r="L151" s="30" t="s">
        <v>1802</v>
      </c>
      <c r="M151" s="30">
        <v>0</v>
      </c>
      <c r="N151" s="30">
        <v>0</v>
      </c>
      <c r="O151" s="66">
        <v>0</v>
      </c>
      <c r="P151" s="30">
        <v>0</v>
      </c>
      <c r="Q151" s="30">
        <v>0</v>
      </c>
      <c r="R151" s="30">
        <v>0</v>
      </c>
      <c r="S151" s="30">
        <v>1</v>
      </c>
      <c r="T151" s="30">
        <v>0</v>
      </c>
      <c r="U151" s="31">
        <v>0</v>
      </c>
      <c r="V151" s="67">
        <v>0</v>
      </c>
      <c r="W151" s="67">
        <f t="shared" si="4"/>
        <v>0</v>
      </c>
      <c r="X151" s="67">
        <v>0</v>
      </c>
      <c r="Z151" s="67" t="s">
        <v>1980</v>
      </c>
      <c r="AB151" s="69" t="s">
        <v>740</v>
      </c>
    </row>
    <row r="152" ht="52.8" spans="1:28">
      <c r="A152" s="29">
        <v>10014921</v>
      </c>
      <c r="B152" s="30">
        <v>4</v>
      </c>
      <c r="C152" s="63" t="s">
        <v>2096</v>
      </c>
      <c r="D152" s="64" t="s">
        <v>14</v>
      </c>
      <c r="E152" s="65">
        <v>0</v>
      </c>
      <c r="F152" s="65">
        <v>0</v>
      </c>
      <c r="G152" s="30">
        <v>0</v>
      </c>
      <c r="H152" s="30">
        <v>8</v>
      </c>
      <c r="I152" s="30">
        <v>0</v>
      </c>
      <c r="J152" s="30">
        <v>0</v>
      </c>
      <c r="K152" s="30">
        <v>1</v>
      </c>
      <c r="L152" s="30" t="s">
        <v>1802</v>
      </c>
      <c r="M152" s="30">
        <v>0</v>
      </c>
      <c r="N152" s="30">
        <v>0</v>
      </c>
      <c r="O152" s="66">
        <v>0</v>
      </c>
      <c r="P152" s="30">
        <v>0</v>
      </c>
      <c r="Q152" s="30">
        <v>0</v>
      </c>
      <c r="R152" s="30">
        <v>0</v>
      </c>
      <c r="S152" s="30">
        <v>1</v>
      </c>
      <c r="T152" s="30">
        <v>0</v>
      </c>
      <c r="U152" s="31">
        <v>0</v>
      </c>
      <c r="V152" s="67">
        <v>0</v>
      </c>
      <c r="W152" s="67">
        <f t="shared" si="4"/>
        <v>0</v>
      </c>
      <c r="X152" s="67">
        <v>0</v>
      </c>
      <c r="Z152" s="67" t="s">
        <v>1980</v>
      </c>
      <c r="AB152" s="69" t="s">
        <v>2097</v>
      </c>
    </row>
    <row r="153" ht="118.8" spans="1:28">
      <c r="A153" s="29">
        <v>10015021</v>
      </c>
      <c r="B153" s="30">
        <v>5</v>
      </c>
      <c r="C153" s="63" t="s">
        <v>1572</v>
      </c>
      <c r="D153" s="64" t="s">
        <v>14</v>
      </c>
      <c r="E153" s="65">
        <v>0</v>
      </c>
      <c r="F153" s="65">
        <v>0</v>
      </c>
      <c r="G153" s="30">
        <v>0</v>
      </c>
      <c r="H153" s="30">
        <v>10</v>
      </c>
      <c r="I153" s="30">
        <v>0</v>
      </c>
      <c r="J153" s="30">
        <v>0</v>
      </c>
      <c r="K153" s="30">
        <v>1</v>
      </c>
      <c r="L153" s="30" t="s">
        <v>1802</v>
      </c>
      <c r="M153" s="30">
        <v>0</v>
      </c>
      <c r="N153" s="30">
        <v>0</v>
      </c>
      <c r="O153" s="66">
        <v>0</v>
      </c>
      <c r="P153" s="30">
        <v>0</v>
      </c>
      <c r="Q153" s="30">
        <v>0</v>
      </c>
      <c r="R153" s="30">
        <v>0</v>
      </c>
      <c r="S153" s="30">
        <v>1</v>
      </c>
      <c r="T153" s="30">
        <v>0</v>
      </c>
      <c r="U153" s="31">
        <v>0</v>
      </c>
      <c r="V153" s="67">
        <v>0</v>
      </c>
      <c r="W153" s="67">
        <f t="shared" si="4"/>
        <v>0</v>
      </c>
      <c r="X153" s="67">
        <v>0</v>
      </c>
      <c r="Z153" s="67" t="s">
        <v>1980</v>
      </c>
      <c r="AB153" s="69" t="s">
        <v>2098</v>
      </c>
    </row>
    <row r="154" ht="52.8" spans="1:29">
      <c r="A154" s="29">
        <v>10015121</v>
      </c>
      <c r="B154" s="30">
        <v>6</v>
      </c>
      <c r="C154" s="63" t="s">
        <v>2099</v>
      </c>
      <c r="D154" s="64" t="s">
        <v>14</v>
      </c>
      <c r="E154" s="65">
        <v>0</v>
      </c>
      <c r="F154" s="65">
        <v>0</v>
      </c>
      <c r="G154" s="30">
        <v>0</v>
      </c>
      <c r="H154" s="30">
        <v>12</v>
      </c>
      <c r="I154" s="30">
        <v>0</v>
      </c>
      <c r="J154" s="30">
        <v>0</v>
      </c>
      <c r="K154" s="30">
        <v>1</v>
      </c>
      <c r="L154" s="30" t="s">
        <v>1802</v>
      </c>
      <c r="M154" s="30">
        <v>0</v>
      </c>
      <c r="N154" s="30">
        <v>0</v>
      </c>
      <c r="O154" s="66">
        <v>0</v>
      </c>
      <c r="P154" s="30">
        <v>0</v>
      </c>
      <c r="Q154" s="30">
        <v>0</v>
      </c>
      <c r="R154" s="30">
        <v>0</v>
      </c>
      <c r="S154" s="30">
        <v>1</v>
      </c>
      <c r="T154" s="30">
        <v>0</v>
      </c>
      <c r="U154" s="31">
        <v>0</v>
      </c>
      <c r="V154" s="67">
        <v>0</v>
      </c>
      <c r="W154" s="67">
        <f t="shared" si="4"/>
        <v>0</v>
      </c>
      <c r="X154" s="67">
        <v>0</v>
      </c>
      <c r="Z154" s="67" t="s">
        <v>1980</v>
      </c>
      <c r="AB154" s="69" t="s">
        <v>2100</v>
      </c>
      <c r="AC154" s="69" t="s">
        <v>1126</v>
      </c>
    </row>
    <row r="155" ht="26.4" spans="1:28">
      <c r="A155" s="29">
        <v>10015221</v>
      </c>
      <c r="B155" s="30">
        <v>5</v>
      </c>
      <c r="C155" s="63" t="s">
        <v>930</v>
      </c>
      <c r="D155" s="64" t="s">
        <v>14</v>
      </c>
      <c r="E155" s="65">
        <v>0</v>
      </c>
      <c r="F155" s="65">
        <v>0</v>
      </c>
      <c r="G155" s="30">
        <v>0</v>
      </c>
      <c r="H155" s="30">
        <v>15</v>
      </c>
      <c r="I155" s="30">
        <v>0</v>
      </c>
      <c r="J155" s="30">
        <v>0</v>
      </c>
      <c r="K155" s="30">
        <v>2</v>
      </c>
      <c r="L155" s="30" t="s">
        <v>1802</v>
      </c>
      <c r="M155" s="30">
        <v>0</v>
      </c>
      <c r="N155" s="30">
        <v>0</v>
      </c>
      <c r="O155" s="66">
        <v>0</v>
      </c>
      <c r="P155" s="30">
        <v>0</v>
      </c>
      <c r="Q155" s="30">
        <v>0</v>
      </c>
      <c r="R155" s="30">
        <v>0</v>
      </c>
      <c r="S155" s="30">
        <v>1</v>
      </c>
      <c r="T155" s="30">
        <v>0</v>
      </c>
      <c r="U155" s="31">
        <v>0</v>
      </c>
      <c r="V155" s="67">
        <v>0</v>
      </c>
      <c r="W155" s="67">
        <f t="shared" si="4"/>
        <v>0</v>
      </c>
      <c r="X155" s="67">
        <v>0</v>
      </c>
      <c r="Z155" s="67" t="s">
        <v>2101</v>
      </c>
      <c r="AB155" s="69" t="s">
        <v>929</v>
      </c>
    </row>
    <row r="156" ht="39.6" spans="1:28">
      <c r="A156" s="29">
        <v>10015321</v>
      </c>
      <c r="B156" s="30">
        <v>5</v>
      </c>
      <c r="C156" s="63" t="s">
        <v>570</v>
      </c>
      <c r="D156" s="64" t="s">
        <v>14</v>
      </c>
      <c r="E156" s="65">
        <v>0</v>
      </c>
      <c r="F156" s="65">
        <v>0</v>
      </c>
      <c r="G156" s="30">
        <v>0</v>
      </c>
      <c r="H156" s="30">
        <v>12</v>
      </c>
      <c r="I156" s="30">
        <v>0</v>
      </c>
      <c r="J156" s="30">
        <v>0</v>
      </c>
      <c r="K156" s="30">
        <v>4</v>
      </c>
      <c r="L156" s="30" t="s">
        <v>1802</v>
      </c>
      <c r="M156" s="30">
        <v>0</v>
      </c>
      <c r="N156" s="30">
        <v>0</v>
      </c>
      <c r="O156" s="66">
        <v>0</v>
      </c>
      <c r="P156" s="30">
        <v>0</v>
      </c>
      <c r="Q156" s="30">
        <v>0</v>
      </c>
      <c r="R156" s="30">
        <v>0</v>
      </c>
      <c r="S156" s="30">
        <v>1</v>
      </c>
      <c r="T156" s="30">
        <v>0</v>
      </c>
      <c r="U156" s="31">
        <v>0</v>
      </c>
      <c r="V156" s="67">
        <v>0</v>
      </c>
      <c r="W156" s="67">
        <f t="shared" si="4"/>
        <v>0</v>
      </c>
      <c r="X156" s="67">
        <v>0</v>
      </c>
      <c r="Z156" s="67" t="s">
        <v>2101</v>
      </c>
      <c r="AB156" s="69" t="s">
        <v>2102</v>
      </c>
    </row>
    <row r="157" ht="26.4" spans="1:28">
      <c r="A157" s="29">
        <v>10015421</v>
      </c>
      <c r="B157" s="30">
        <v>4</v>
      </c>
      <c r="C157" s="63" t="s">
        <v>562</v>
      </c>
      <c r="D157" s="64" t="s">
        <v>14</v>
      </c>
      <c r="E157" s="65">
        <v>0</v>
      </c>
      <c r="F157" s="65">
        <v>0</v>
      </c>
      <c r="G157" s="30">
        <v>0</v>
      </c>
      <c r="H157" s="30">
        <v>12</v>
      </c>
      <c r="I157" s="30">
        <v>0</v>
      </c>
      <c r="J157" s="30">
        <v>0</v>
      </c>
      <c r="K157" s="30">
        <v>1</v>
      </c>
      <c r="L157" s="30" t="s">
        <v>1802</v>
      </c>
      <c r="M157" s="30">
        <v>0</v>
      </c>
      <c r="N157" s="30">
        <v>0</v>
      </c>
      <c r="O157" s="66">
        <v>0</v>
      </c>
      <c r="P157" s="30">
        <v>0</v>
      </c>
      <c r="Q157" s="30">
        <v>0</v>
      </c>
      <c r="R157" s="30">
        <v>0</v>
      </c>
      <c r="S157" s="30">
        <v>1</v>
      </c>
      <c r="T157" s="30">
        <v>0</v>
      </c>
      <c r="U157" s="31">
        <v>0</v>
      </c>
      <c r="V157" s="67">
        <v>0</v>
      </c>
      <c r="W157" s="67">
        <f t="shared" si="4"/>
        <v>0</v>
      </c>
      <c r="X157" s="67">
        <v>0</v>
      </c>
      <c r="Z157" s="67" t="s">
        <v>2101</v>
      </c>
      <c r="AB157" s="69" t="s">
        <v>2103</v>
      </c>
    </row>
    <row r="158" ht="39.6" spans="1:28">
      <c r="A158" s="29">
        <v>10015521</v>
      </c>
      <c r="B158" s="30">
        <v>6</v>
      </c>
      <c r="C158" s="63" t="s">
        <v>2104</v>
      </c>
      <c r="D158" s="64" t="s">
        <v>1881</v>
      </c>
      <c r="E158" s="65">
        <v>0</v>
      </c>
      <c r="F158" s="65">
        <v>3</v>
      </c>
      <c r="G158" s="30">
        <v>0</v>
      </c>
      <c r="H158" s="30">
        <v>0</v>
      </c>
      <c r="I158" s="30">
        <v>0</v>
      </c>
      <c r="J158" s="30">
        <v>0</v>
      </c>
      <c r="K158" s="30">
        <v>1</v>
      </c>
      <c r="L158" s="30" t="s">
        <v>115</v>
      </c>
      <c r="M158" s="30">
        <v>0</v>
      </c>
      <c r="N158" s="30">
        <v>0</v>
      </c>
      <c r="O158" s="66">
        <v>0</v>
      </c>
      <c r="P158" s="30">
        <v>0</v>
      </c>
      <c r="Q158" s="30">
        <v>0</v>
      </c>
      <c r="R158" s="30">
        <v>11</v>
      </c>
      <c r="S158" s="30">
        <v>3.1</v>
      </c>
      <c r="T158" s="30">
        <v>0.35</v>
      </c>
      <c r="U158" s="31">
        <v>0</v>
      </c>
      <c r="V158" s="67">
        <v>0</v>
      </c>
      <c r="W158" s="67">
        <f>11*3.1*2.5</f>
        <v>85.25</v>
      </c>
      <c r="X158" s="67">
        <f>11+MAX($X$2,0.35)*11*$X$1</f>
        <v>63.8</v>
      </c>
      <c r="Y158" s="67" t="s">
        <v>1898</v>
      </c>
      <c r="Z158" s="67" t="s">
        <v>1883</v>
      </c>
      <c r="AB158" s="69" t="s">
        <v>2105</v>
      </c>
    </row>
    <row r="159" ht="39.6" spans="1:28">
      <c r="A159" s="29">
        <v>10015621</v>
      </c>
      <c r="B159" s="30">
        <v>4</v>
      </c>
      <c r="C159" s="63" t="s">
        <v>501</v>
      </c>
      <c r="D159" s="64" t="s">
        <v>1805</v>
      </c>
      <c r="E159" s="65">
        <v>0</v>
      </c>
      <c r="F159" s="65">
        <v>2</v>
      </c>
      <c r="G159" s="30">
        <v>0</v>
      </c>
      <c r="H159" s="30">
        <v>0</v>
      </c>
      <c r="I159" s="30">
        <v>0</v>
      </c>
      <c r="J159" s="30">
        <v>0</v>
      </c>
      <c r="K159" s="30">
        <v>1</v>
      </c>
      <c r="L159" s="30" t="s">
        <v>115</v>
      </c>
      <c r="M159" s="30">
        <v>0</v>
      </c>
      <c r="N159" s="30">
        <v>0</v>
      </c>
      <c r="O159" s="66">
        <v>0</v>
      </c>
      <c r="P159" s="30">
        <v>0</v>
      </c>
      <c r="Q159" s="30">
        <v>0</v>
      </c>
      <c r="R159" s="30">
        <v>4</v>
      </c>
      <c r="S159" s="30">
        <v>1.9</v>
      </c>
      <c r="T159" s="30">
        <v>0</v>
      </c>
      <c r="U159" s="31">
        <v>0</v>
      </c>
      <c r="V159" s="67">
        <v>0</v>
      </c>
      <c r="W159" s="67">
        <f>4*1.9*2.5</f>
        <v>19</v>
      </c>
      <c r="X159" s="67">
        <v>4</v>
      </c>
      <c r="Y159" s="67" t="s">
        <v>2106</v>
      </c>
      <c r="Z159" s="67" t="s">
        <v>1807</v>
      </c>
      <c r="AB159" s="69" t="s">
        <v>2107</v>
      </c>
    </row>
    <row r="160" ht="39.6" spans="1:28">
      <c r="A160" s="29">
        <v>10015721</v>
      </c>
      <c r="B160" s="30">
        <v>5</v>
      </c>
      <c r="C160" s="63" t="s">
        <v>2108</v>
      </c>
      <c r="D160" s="64" t="s">
        <v>1960</v>
      </c>
      <c r="E160" s="65">
        <v>0</v>
      </c>
      <c r="F160" s="65">
        <v>0</v>
      </c>
      <c r="G160" s="30">
        <v>0</v>
      </c>
      <c r="H160" s="30">
        <v>0</v>
      </c>
      <c r="I160" s="30">
        <v>0</v>
      </c>
      <c r="J160" s="30">
        <v>6</v>
      </c>
      <c r="K160" s="30">
        <v>8</v>
      </c>
      <c r="L160" s="30" t="s">
        <v>1802</v>
      </c>
      <c r="M160" s="30">
        <v>0</v>
      </c>
      <c r="N160" s="30">
        <v>0</v>
      </c>
      <c r="O160" s="66">
        <v>0</v>
      </c>
      <c r="P160" s="30">
        <v>0</v>
      </c>
      <c r="Q160" s="30">
        <v>0</v>
      </c>
      <c r="R160" s="30">
        <v>0</v>
      </c>
      <c r="S160" s="30">
        <v>1</v>
      </c>
      <c r="T160" s="30">
        <v>0</v>
      </c>
      <c r="U160" s="31">
        <v>0</v>
      </c>
      <c r="V160" s="67">
        <v>0</v>
      </c>
      <c r="W160" s="67">
        <f>0*1*2.5</f>
        <v>0</v>
      </c>
      <c r="X160" s="67">
        <v>0</v>
      </c>
      <c r="Z160" s="67" t="s">
        <v>1883</v>
      </c>
      <c r="AB160" s="69" t="s">
        <v>350</v>
      </c>
    </row>
    <row r="161" ht="79.2" spans="1:28">
      <c r="A161" s="29">
        <v>10015821</v>
      </c>
      <c r="B161" s="30">
        <v>4</v>
      </c>
      <c r="C161" s="63" t="s">
        <v>1190</v>
      </c>
      <c r="D161" s="64" t="s">
        <v>1801</v>
      </c>
      <c r="E161" s="65">
        <v>0</v>
      </c>
      <c r="F161" s="65">
        <v>0</v>
      </c>
      <c r="G161" s="30">
        <v>0</v>
      </c>
      <c r="H161" s="30">
        <v>0</v>
      </c>
      <c r="I161" s="30">
        <v>0</v>
      </c>
      <c r="J161" s="30">
        <v>0</v>
      </c>
      <c r="K161" s="30">
        <v>0</v>
      </c>
      <c r="L161" s="30" t="s">
        <v>1802</v>
      </c>
      <c r="M161" s="30">
        <v>5</v>
      </c>
      <c r="N161" s="30">
        <v>3</v>
      </c>
      <c r="O161" s="66">
        <v>0</v>
      </c>
      <c r="P161" s="30">
        <v>0</v>
      </c>
      <c r="Q161" s="30">
        <v>0</v>
      </c>
      <c r="R161" s="30">
        <v>0</v>
      </c>
      <c r="S161" s="30">
        <v>1</v>
      </c>
      <c r="T161" s="30">
        <v>0</v>
      </c>
      <c r="U161" s="31">
        <v>0</v>
      </c>
      <c r="V161" s="67">
        <v>0</v>
      </c>
      <c r="W161" s="67">
        <f>0*1*2.5</f>
        <v>0</v>
      </c>
      <c r="X161" s="67">
        <v>0</v>
      </c>
      <c r="Z161" s="67" t="s">
        <v>1803</v>
      </c>
      <c r="AB161" s="69" t="s">
        <v>2109</v>
      </c>
    </row>
    <row r="162" ht="39.6" spans="1:28">
      <c r="A162" s="29">
        <v>10015921</v>
      </c>
      <c r="B162" s="30">
        <v>5</v>
      </c>
      <c r="C162" s="63" t="s">
        <v>2110</v>
      </c>
      <c r="D162" s="64" t="s">
        <v>1952</v>
      </c>
      <c r="E162" s="65">
        <v>0</v>
      </c>
      <c r="F162" s="65">
        <v>0</v>
      </c>
      <c r="G162" s="30">
        <v>0</v>
      </c>
      <c r="H162" s="30">
        <v>0</v>
      </c>
      <c r="I162" s="30">
        <v>0</v>
      </c>
      <c r="J162" s="30">
        <v>5</v>
      </c>
      <c r="K162" s="30">
        <v>0</v>
      </c>
      <c r="L162" s="30" t="s">
        <v>1802</v>
      </c>
      <c r="M162" s="30">
        <v>0</v>
      </c>
      <c r="N162" s="30">
        <v>3</v>
      </c>
      <c r="O162" s="66">
        <v>0</v>
      </c>
      <c r="P162" s="30">
        <v>0</v>
      </c>
      <c r="Q162" s="30">
        <v>0</v>
      </c>
      <c r="R162" s="30">
        <v>0</v>
      </c>
      <c r="S162" s="30">
        <v>1</v>
      </c>
      <c r="T162" s="30">
        <v>0</v>
      </c>
      <c r="U162" s="31">
        <v>0</v>
      </c>
      <c r="V162" s="67">
        <v>5</v>
      </c>
      <c r="W162" s="67">
        <f>0*1*2.5</f>
        <v>0</v>
      </c>
      <c r="X162" s="67">
        <v>0</v>
      </c>
      <c r="Y162" s="67" t="s">
        <v>1913</v>
      </c>
      <c r="Z162" s="67" t="s">
        <v>1953</v>
      </c>
      <c r="AB162" s="69" t="s">
        <v>1390</v>
      </c>
    </row>
    <row r="163" ht="39.6" spans="1:28">
      <c r="A163" s="29">
        <v>10016021</v>
      </c>
      <c r="B163" s="30">
        <v>5</v>
      </c>
      <c r="C163" s="63" t="s">
        <v>2111</v>
      </c>
      <c r="D163" s="64" t="s">
        <v>1960</v>
      </c>
      <c r="E163" s="65">
        <v>0</v>
      </c>
      <c r="F163" s="65">
        <v>0</v>
      </c>
      <c r="G163" s="30">
        <v>0</v>
      </c>
      <c r="H163" s="30">
        <v>0</v>
      </c>
      <c r="I163" s="30">
        <v>0</v>
      </c>
      <c r="J163" s="30">
        <v>0</v>
      </c>
      <c r="K163" s="30">
        <v>5</v>
      </c>
      <c r="L163" s="30" t="s">
        <v>1802</v>
      </c>
      <c r="M163" s="30">
        <v>0</v>
      </c>
      <c r="N163" s="30">
        <v>3</v>
      </c>
      <c r="O163" s="66">
        <v>0</v>
      </c>
      <c r="P163" s="30">
        <v>0</v>
      </c>
      <c r="Q163" s="30">
        <v>0</v>
      </c>
      <c r="R163" s="30">
        <v>0</v>
      </c>
      <c r="S163" s="30">
        <v>1</v>
      </c>
      <c r="T163" s="30">
        <v>0</v>
      </c>
      <c r="U163" s="31">
        <v>0</v>
      </c>
      <c r="V163" s="67">
        <v>0</v>
      </c>
      <c r="W163" s="67">
        <f>0*1*2.5</f>
        <v>0</v>
      </c>
      <c r="X163" s="67">
        <v>0</v>
      </c>
      <c r="Z163" s="67" t="s">
        <v>1883</v>
      </c>
      <c r="AB163" s="69" t="s">
        <v>1393</v>
      </c>
    </row>
    <row r="164" ht="39.6" spans="1:28">
      <c r="A164" s="29">
        <v>10016121</v>
      </c>
      <c r="B164" s="30">
        <v>2</v>
      </c>
      <c r="C164" s="63" t="s">
        <v>494</v>
      </c>
      <c r="D164" s="64" t="s">
        <v>1805</v>
      </c>
      <c r="E164" s="65">
        <v>0</v>
      </c>
      <c r="F164" s="65">
        <v>3</v>
      </c>
      <c r="G164" s="30">
        <v>0</v>
      </c>
      <c r="H164" s="30">
        <v>0</v>
      </c>
      <c r="I164" s="30">
        <v>0</v>
      </c>
      <c r="J164" s="30">
        <v>0</v>
      </c>
      <c r="K164" s="30">
        <v>0</v>
      </c>
      <c r="L164" s="30" t="s">
        <v>158</v>
      </c>
      <c r="M164" s="30">
        <v>0</v>
      </c>
      <c r="N164" s="30">
        <v>0</v>
      </c>
      <c r="O164" s="66">
        <v>0</v>
      </c>
      <c r="P164" s="30">
        <v>0</v>
      </c>
      <c r="Q164" s="30">
        <v>0</v>
      </c>
      <c r="R164" s="30">
        <v>1</v>
      </c>
      <c r="S164" s="30">
        <v>1.2</v>
      </c>
      <c r="T164" s="30">
        <v>0</v>
      </c>
      <c r="U164" s="31">
        <v>0</v>
      </c>
      <c r="V164" s="67">
        <v>0</v>
      </c>
      <c r="W164" s="67">
        <f>1*1.2*2.5</f>
        <v>3</v>
      </c>
      <c r="X164" s="67">
        <v>1</v>
      </c>
      <c r="Y164" s="67" t="s">
        <v>2112</v>
      </c>
      <c r="Z164" s="67" t="s">
        <v>1807</v>
      </c>
      <c r="AB164" s="69" t="s">
        <v>2113</v>
      </c>
    </row>
    <row r="165" ht="52.8" spans="1:28">
      <c r="A165" s="29">
        <v>10016221</v>
      </c>
      <c r="B165" s="30">
        <v>5</v>
      </c>
      <c r="C165" s="63" t="s">
        <v>2114</v>
      </c>
      <c r="D165" s="64" t="s">
        <v>1801</v>
      </c>
      <c r="E165" s="65">
        <v>0</v>
      </c>
      <c r="F165" s="65">
        <v>0</v>
      </c>
      <c r="G165" s="30">
        <v>0</v>
      </c>
      <c r="H165" s="30">
        <v>0</v>
      </c>
      <c r="I165" s="30">
        <v>0</v>
      </c>
      <c r="J165" s="30">
        <v>0</v>
      </c>
      <c r="K165" s="30">
        <v>0</v>
      </c>
      <c r="L165" s="30" t="s">
        <v>1802</v>
      </c>
      <c r="M165" s="30">
        <v>0</v>
      </c>
      <c r="N165" s="30">
        <v>-1</v>
      </c>
      <c r="O165" s="66">
        <v>0</v>
      </c>
      <c r="P165" s="30">
        <v>0</v>
      </c>
      <c r="Q165" s="30">
        <v>0</v>
      </c>
      <c r="R165" s="30">
        <v>0</v>
      </c>
      <c r="S165" s="30">
        <v>1</v>
      </c>
      <c r="T165" s="30">
        <v>0</v>
      </c>
      <c r="U165" s="31">
        <v>0</v>
      </c>
      <c r="V165" s="67">
        <v>0</v>
      </c>
      <c r="W165" s="67">
        <f>0*1*2.5</f>
        <v>0</v>
      </c>
      <c r="X165" s="67">
        <v>0</v>
      </c>
      <c r="Z165" s="67" t="s">
        <v>1803</v>
      </c>
      <c r="AB165" s="69" t="s">
        <v>2115</v>
      </c>
    </row>
    <row r="166" ht="39.6" spans="1:28">
      <c r="A166" s="29">
        <v>10016321</v>
      </c>
      <c r="B166" s="30">
        <v>3</v>
      </c>
      <c r="C166" s="63" t="s">
        <v>2116</v>
      </c>
      <c r="D166" s="64" t="s">
        <v>1805</v>
      </c>
      <c r="E166" s="65">
        <v>0</v>
      </c>
      <c r="F166" s="65">
        <v>4</v>
      </c>
      <c r="G166" s="30">
        <v>0</v>
      </c>
      <c r="H166" s="30">
        <v>0</v>
      </c>
      <c r="I166" s="30">
        <v>0</v>
      </c>
      <c r="J166" s="30">
        <v>0</v>
      </c>
      <c r="K166" s="30">
        <v>0</v>
      </c>
      <c r="L166" s="30" t="s">
        <v>115</v>
      </c>
      <c r="M166" s="30">
        <v>0</v>
      </c>
      <c r="N166" s="30">
        <v>0</v>
      </c>
      <c r="O166" s="66">
        <v>0</v>
      </c>
      <c r="P166" s="30">
        <v>0</v>
      </c>
      <c r="Q166" s="30">
        <v>0</v>
      </c>
      <c r="R166" s="30">
        <v>1</v>
      </c>
      <c r="S166" s="30">
        <v>1.2</v>
      </c>
      <c r="T166" s="30">
        <v>0.2</v>
      </c>
      <c r="U166" s="31">
        <v>0</v>
      </c>
      <c r="V166" s="67">
        <v>0</v>
      </c>
      <c r="W166" s="67">
        <f>1*1.2*2.5</f>
        <v>3</v>
      </c>
      <c r="X166" s="67">
        <f>1+MAX($X$2,0.2)*1*$X$1</f>
        <v>5.8</v>
      </c>
      <c r="Y166" s="67" t="s">
        <v>1811</v>
      </c>
      <c r="Z166" s="67" t="s">
        <v>1807</v>
      </c>
      <c r="AB166" s="69" t="s">
        <v>2117</v>
      </c>
    </row>
    <row r="167" ht="26.4" spans="1:28">
      <c r="A167" s="29">
        <v>10016421</v>
      </c>
      <c r="B167" s="30">
        <v>5</v>
      </c>
      <c r="C167" s="63" t="s">
        <v>1739</v>
      </c>
      <c r="D167" s="64" t="s">
        <v>1976</v>
      </c>
      <c r="E167" s="65">
        <v>0</v>
      </c>
      <c r="F167" s="65">
        <v>0</v>
      </c>
      <c r="G167" s="30">
        <v>0</v>
      </c>
      <c r="H167" s="30">
        <v>0</v>
      </c>
      <c r="I167" s="30">
        <v>8</v>
      </c>
      <c r="J167" s="30">
        <v>0</v>
      </c>
      <c r="K167" s="30">
        <v>2</v>
      </c>
      <c r="L167" s="30" t="s">
        <v>115</v>
      </c>
      <c r="M167" s="30">
        <v>0</v>
      </c>
      <c r="N167" s="30">
        <v>0</v>
      </c>
      <c r="O167" s="66">
        <v>0</v>
      </c>
      <c r="P167" s="30">
        <v>0</v>
      </c>
      <c r="Q167" s="30">
        <v>0</v>
      </c>
      <c r="R167" s="30">
        <v>0</v>
      </c>
      <c r="S167" s="30">
        <v>1</v>
      </c>
      <c r="T167" s="30">
        <v>0</v>
      </c>
      <c r="U167" s="31">
        <v>0</v>
      </c>
      <c r="V167" s="67">
        <v>0</v>
      </c>
      <c r="W167" s="67">
        <f>0*1*2.5</f>
        <v>0</v>
      </c>
      <c r="X167" s="67">
        <v>0</v>
      </c>
      <c r="Z167" s="67" t="s">
        <v>1977</v>
      </c>
      <c r="AB167" s="69" t="s">
        <v>2118</v>
      </c>
    </row>
    <row r="168" ht="26.4" spans="1:28">
      <c r="A168" s="29">
        <v>10016521</v>
      </c>
      <c r="B168" s="30">
        <v>4</v>
      </c>
      <c r="C168" s="63" t="s">
        <v>2119</v>
      </c>
      <c r="D168" s="64" t="s">
        <v>1801</v>
      </c>
      <c r="E168" s="65">
        <v>0</v>
      </c>
      <c r="F168" s="65">
        <v>0</v>
      </c>
      <c r="G168" s="30">
        <v>5</v>
      </c>
      <c r="H168" s="30">
        <v>0</v>
      </c>
      <c r="I168" s="30">
        <v>0</v>
      </c>
      <c r="J168" s="30">
        <v>0</v>
      </c>
      <c r="K168" s="30">
        <v>0</v>
      </c>
      <c r="L168" s="30" t="s">
        <v>1802</v>
      </c>
      <c r="M168" s="30">
        <v>-3</v>
      </c>
      <c r="N168" s="30">
        <v>3</v>
      </c>
      <c r="O168" s="66">
        <v>0</v>
      </c>
      <c r="P168" s="30">
        <v>0</v>
      </c>
      <c r="Q168" s="30">
        <v>0</v>
      </c>
      <c r="R168" s="30">
        <v>0</v>
      </c>
      <c r="S168" s="30">
        <v>1</v>
      </c>
      <c r="T168" s="30">
        <v>0</v>
      </c>
      <c r="U168" s="31">
        <v>0</v>
      </c>
      <c r="V168" s="67">
        <v>0</v>
      </c>
      <c r="W168" s="67">
        <f>0*1*2.5</f>
        <v>0</v>
      </c>
      <c r="X168" s="67">
        <v>0</v>
      </c>
      <c r="Z168" s="67" t="s">
        <v>1994</v>
      </c>
      <c r="AB168" s="69" t="s">
        <v>1331</v>
      </c>
    </row>
    <row r="169" ht="26.4" spans="1:28">
      <c r="A169" s="29">
        <v>10016621</v>
      </c>
      <c r="B169" s="30">
        <v>5</v>
      </c>
      <c r="C169" s="63" t="s">
        <v>2120</v>
      </c>
      <c r="D169" s="64" t="s">
        <v>1845</v>
      </c>
      <c r="E169" s="65">
        <v>0</v>
      </c>
      <c r="F169" s="65">
        <v>24</v>
      </c>
      <c r="G169" s="30">
        <v>0</v>
      </c>
      <c r="H169" s="30">
        <v>0</v>
      </c>
      <c r="I169" s="30">
        <v>0</v>
      </c>
      <c r="J169" s="30">
        <v>0</v>
      </c>
      <c r="K169" s="30">
        <v>-1</v>
      </c>
      <c r="L169" s="30" t="s">
        <v>1022</v>
      </c>
      <c r="M169" s="30">
        <v>0</v>
      </c>
      <c r="N169" s="30">
        <v>0</v>
      </c>
      <c r="O169" s="66">
        <v>0</v>
      </c>
      <c r="P169" s="30">
        <v>0</v>
      </c>
      <c r="Q169" s="30">
        <v>0</v>
      </c>
      <c r="R169" s="30">
        <v>2</v>
      </c>
      <c r="S169" s="30">
        <v>1.1</v>
      </c>
      <c r="T169" s="30">
        <v>0</v>
      </c>
      <c r="U169" s="31">
        <v>0</v>
      </c>
      <c r="V169" s="67">
        <v>0</v>
      </c>
      <c r="W169" s="67">
        <f>2*1.1*2.5</f>
        <v>5.5</v>
      </c>
      <c r="X169" s="67">
        <v>2</v>
      </c>
      <c r="Y169" s="67" t="s">
        <v>2121</v>
      </c>
      <c r="Z169" s="67" t="s">
        <v>1846</v>
      </c>
      <c r="AB169" s="69" t="s">
        <v>2122</v>
      </c>
    </row>
    <row r="170" ht="26.4" spans="1:28">
      <c r="A170" s="29">
        <v>10016721</v>
      </c>
      <c r="B170" s="30">
        <v>4</v>
      </c>
      <c r="C170" s="63" t="s">
        <v>2123</v>
      </c>
      <c r="D170" s="64" t="s">
        <v>1845</v>
      </c>
      <c r="E170" s="65">
        <v>0</v>
      </c>
      <c r="F170" s="65">
        <v>15</v>
      </c>
      <c r="G170" s="30">
        <v>0</v>
      </c>
      <c r="H170" s="30">
        <v>0</v>
      </c>
      <c r="I170" s="30">
        <v>0</v>
      </c>
      <c r="J170" s="30">
        <v>0</v>
      </c>
      <c r="K170" s="30">
        <v>3</v>
      </c>
      <c r="L170" s="30" t="s">
        <v>52</v>
      </c>
      <c r="M170" s="30">
        <v>0</v>
      </c>
      <c r="N170" s="30">
        <v>0</v>
      </c>
      <c r="O170" s="66">
        <v>0</v>
      </c>
      <c r="P170" s="30">
        <v>0</v>
      </c>
      <c r="Q170" s="30">
        <v>0</v>
      </c>
      <c r="R170" s="30">
        <v>0</v>
      </c>
      <c r="S170" s="30">
        <v>1</v>
      </c>
      <c r="T170" s="30">
        <v>0</v>
      </c>
      <c r="U170" s="31">
        <v>0</v>
      </c>
      <c r="V170" s="67">
        <v>0</v>
      </c>
      <c r="W170" s="67">
        <f>0*1*2.5</f>
        <v>0</v>
      </c>
      <c r="X170" s="67">
        <v>0</v>
      </c>
      <c r="Z170" s="67" t="s">
        <v>1846</v>
      </c>
      <c r="AB170" s="69" t="s">
        <v>2124</v>
      </c>
    </row>
    <row r="171" ht="39.6" spans="1:28">
      <c r="A171" s="29">
        <v>10016821</v>
      </c>
      <c r="B171" s="30">
        <v>2</v>
      </c>
      <c r="C171" s="63" t="s">
        <v>547</v>
      </c>
      <c r="D171" s="64" t="s">
        <v>1805</v>
      </c>
      <c r="E171" s="65">
        <v>0</v>
      </c>
      <c r="F171" s="65">
        <v>2</v>
      </c>
      <c r="G171" s="30">
        <v>0</v>
      </c>
      <c r="H171" s="30">
        <v>0</v>
      </c>
      <c r="I171" s="30">
        <v>0</v>
      </c>
      <c r="J171" s="30">
        <v>0</v>
      </c>
      <c r="K171" s="30">
        <v>1</v>
      </c>
      <c r="L171" s="30" t="s">
        <v>115</v>
      </c>
      <c r="M171" s="30">
        <v>0</v>
      </c>
      <c r="N171" s="30">
        <v>0</v>
      </c>
      <c r="O171" s="66">
        <v>0</v>
      </c>
      <c r="P171" s="30">
        <v>0</v>
      </c>
      <c r="Q171" s="30">
        <v>0</v>
      </c>
      <c r="R171" s="30">
        <v>0</v>
      </c>
      <c r="S171" s="30">
        <v>1</v>
      </c>
      <c r="T171" s="30">
        <v>0</v>
      </c>
      <c r="U171" s="31">
        <v>0</v>
      </c>
      <c r="V171" s="67">
        <v>0</v>
      </c>
      <c r="W171" s="67">
        <f>0*1*2.5</f>
        <v>0</v>
      </c>
      <c r="X171" s="67">
        <v>0</v>
      </c>
      <c r="Z171" s="67" t="s">
        <v>1807</v>
      </c>
      <c r="AB171" s="69" t="s">
        <v>2125</v>
      </c>
    </row>
    <row r="172" ht="52.8" spans="1:28">
      <c r="A172" s="29">
        <v>10016921</v>
      </c>
      <c r="B172" s="30">
        <v>5</v>
      </c>
      <c r="C172" s="63" t="s">
        <v>2126</v>
      </c>
      <c r="D172" s="64" t="s">
        <v>1801</v>
      </c>
      <c r="E172" s="65">
        <v>0</v>
      </c>
      <c r="F172" s="65">
        <v>0</v>
      </c>
      <c r="G172" s="30">
        <v>8</v>
      </c>
      <c r="H172" s="30">
        <v>0</v>
      </c>
      <c r="I172" s="30">
        <v>0</v>
      </c>
      <c r="J172" s="30">
        <v>0</v>
      </c>
      <c r="K172" s="30">
        <v>0</v>
      </c>
      <c r="L172" s="30" t="s">
        <v>1802</v>
      </c>
      <c r="M172" s="30">
        <v>1</v>
      </c>
      <c r="N172" s="30">
        <v>0</v>
      </c>
      <c r="O172" s="66">
        <v>0</v>
      </c>
      <c r="P172" s="30">
        <v>0</v>
      </c>
      <c r="Q172" s="30">
        <v>0</v>
      </c>
      <c r="R172" s="30">
        <v>0</v>
      </c>
      <c r="S172" s="30">
        <v>1</v>
      </c>
      <c r="T172" s="30">
        <v>0</v>
      </c>
      <c r="U172" s="31">
        <v>0</v>
      </c>
      <c r="V172" s="67">
        <v>0</v>
      </c>
      <c r="W172" s="67">
        <f>0*1*2.5</f>
        <v>0</v>
      </c>
      <c r="X172" s="67">
        <v>0</v>
      </c>
      <c r="Z172" s="67" t="s">
        <v>1996</v>
      </c>
      <c r="AB172" s="69" t="s">
        <v>2127</v>
      </c>
    </row>
    <row r="173" ht="52.8" spans="1:28">
      <c r="A173" s="29">
        <v>10017021</v>
      </c>
      <c r="B173" s="30">
        <v>4</v>
      </c>
      <c r="C173" s="63" t="s">
        <v>2128</v>
      </c>
      <c r="D173" s="64" t="s">
        <v>1801</v>
      </c>
      <c r="E173" s="65">
        <v>0</v>
      </c>
      <c r="F173" s="65">
        <v>0</v>
      </c>
      <c r="G173" s="30">
        <v>0</v>
      </c>
      <c r="H173" s="30">
        <v>0</v>
      </c>
      <c r="I173" s="30">
        <v>0</v>
      </c>
      <c r="J173" s="30">
        <v>-3</v>
      </c>
      <c r="K173" s="30">
        <v>3</v>
      </c>
      <c r="L173" s="30" t="s">
        <v>1802</v>
      </c>
      <c r="M173" s="30">
        <v>0</v>
      </c>
      <c r="N173" s="30">
        <v>3</v>
      </c>
      <c r="O173" s="66">
        <v>0</v>
      </c>
      <c r="P173" s="30">
        <v>0</v>
      </c>
      <c r="Q173" s="30">
        <v>0</v>
      </c>
      <c r="R173" s="30">
        <v>0</v>
      </c>
      <c r="S173" s="30">
        <v>1</v>
      </c>
      <c r="T173" s="30">
        <v>0</v>
      </c>
      <c r="U173" s="31">
        <v>0</v>
      </c>
      <c r="V173" s="67">
        <v>0</v>
      </c>
      <c r="W173" s="67">
        <f>0*1*2.5</f>
        <v>0</v>
      </c>
      <c r="X173" s="67">
        <v>0</v>
      </c>
      <c r="Z173" s="67" t="s">
        <v>1803</v>
      </c>
      <c r="AB173" s="69" t="s">
        <v>367</v>
      </c>
    </row>
    <row r="174" ht="26.4" spans="1:28">
      <c r="A174" s="29">
        <v>10017121</v>
      </c>
      <c r="B174" s="30">
        <v>5</v>
      </c>
      <c r="C174" s="63" t="s">
        <v>295</v>
      </c>
      <c r="D174" s="64" t="s">
        <v>1927</v>
      </c>
      <c r="E174" s="65">
        <v>0</v>
      </c>
      <c r="F174" s="65">
        <v>0</v>
      </c>
      <c r="G174" s="30">
        <v>0</v>
      </c>
      <c r="H174" s="30">
        <v>0</v>
      </c>
      <c r="I174" s="30">
        <v>3</v>
      </c>
      <c r="J174" s="30">
        <v>0</v>
      </c>
      <c r="K174" s="30">
        <v>0</v>
      </c>
      <c r="L174" s="30" t="s">
        <v>1802</v>
      </c>
      <c r="M174" s="30">
        <v>0</v>
      </c>
      <c r="N174" s="30">
        <v>0</v>
      </c>
      <c r="O174" s="66">
        <v>7</v>
      </c>
      <c r="P174" s="30">
        <v>0</v>
      </c>
      <c r="Q174" s="30">
        <v>0</v>
      </c>
      <c r="R174" s="30">
        <v>6</v>
      </c>
      <c r="S174" s="30">
        <v>1</v>
      </c>
      <c r="T174" s="30">
        <v>0</v>
      </c>
      <c r="U174" s="31">
        <v>0</v>
      </c>
      <c r="V174" s="67">
        <v>5</v>
      </c>
      <c r="W174" s="67">
        <f>6*1*2.5</f>
        <v>15</v>
      </c>
      <c r="X174" s="67">
        <v>6</v>
      </c>
      <c r="Y174" s="67" t="s">
        <v>1913</v>
      </c>
      <c r="Z174" s="67" t="s">
        <v>1909</v>
      </c>
      <c r="AB174" s="69" t="s">
        <v>2129</v>
      </c>
    </row>
    <row r="175" ht="39.6" spans="1:28">
      <c r="A175" s="29">
        <v>10017221</v>
      </c>
      <c r="B175" s="30">
        <v>1</v>
      </c>
      <c r="C175" s="63" t="s">
        <v>886</v>
      </c>
      <c r="D175" s="64" t="s">
        <v>1828</v>
      </c>
      <c r="E175" s="65">
        <v>0</v>
      </c>
      <c r="F175" s="65">
        <v>3</v>
      </c>
      <c r="G175" s="30">
        <v>0</v>
      </c>
      <c r="H175" s="30">
        <v>0</v>
      </c>
      <c r="I175" s="30">
        <v>0</v>
      </c>
      <c r="J175" s="30">
        <v>0</v>
      </c>
      <c r="K175" s="30">
        <v>0</v>
      </c>
      <c r="L175" s="30" t="s">
        <v>158</v>
      </c>
      <c r="M175" s="30">
        <v>0</v>
      </c>
      <c r="N175" s="30">
        <v>0</v>
      </c>
      <c r="O175" s="66">
        <v>0</v>
      </c>
      <c r="P175" s="30">
        <v>0</v>
      </c>
      <c r="Q175" s="30">
        <v>0</v>
      </c>
      <c r="R175" s="30">
        <v>0</v>
      </c>
      <c r="S175" s="30">
        <v>1</v>
      </c>
      <c r="T175" s="30">
        <v>0</v>
      </c>
      <c r="U175" s="31">
        <v>0</v>
      </c>
      <c r="V175" s="67">
        <v>0</v>
      </c>
      <c r="W175" s="67">
        <f>0*1*2.5</f>
        <v>0</v>
      </c>
      <c r="X175" s="67">
        <v>0</v>
      </c>
      <c r="Z175" s="67" t="s">
        <v>1829</v>
      </c>
      <c r="AB175" s="69" t="s">
        <v>2130</v>
      </c>
    </row>
    <row r="176" spans="1:28">
      <c r="A176" s="29">
        <v>10017321</v>
      </c>
      <c r="B176" s="30">
        <v>4</v>
      </c>
      <c r="C176" s="63" t="s">
        <v>2131</v>
      </c>
      <c r="D176" s="64" t="s">
        <v>1845</v>
      </c>
      <c r="E176" s="65">
        <v>0</v>
      </c>
      <c r="F176" s="65">
        <v>7</v>
      </c>
      <c r="G176" s="30">
        <v>0</v>
      </c>
      <c r="H176" s="30">
        <v>0</v>
      </c>
      <c r="I176" s="30">
        <v>0</v>
      </c>
      <c r="J176" s="30">
        <v>0</v>
      </c>
      <c r="K176" s="30">
        <v>0</v>
      </c>
      <c r="L176" s="30" t="s">
        <v>158</v>
      </c>
      <c r="M176" s="30">
        <v>2</v>
      </c>
      <c r="N176" s="30">
        <v>0</v>
      </c>
      <c r="O176" s="66">
        <v>0</v>
      </c>
      <c r="P176" s="30">
        <v>0</v>
      </c>
      <c r="Q176" s="30">
        <v>0</v>
      </c>
      <c r="R176" s="30">
        <v>0</v>
      </c>
      <c r="S176" s="30">
        <v>1</v>
      </c>
      <c r="T176" s="30">
        <v>0</v>
      </c>
      <c r="U176" s="31">
        <v>0</v>
      </c>
      <c r="V176" s="67">
        <v>0</v>
      </c>
      <c r="W176" s="67">
        <f>0*1*2.5</f>
        <v>0</v>
      </c>
      <c r="X176" s="67">
        <v>0</v>
      </c>
      <c r="Z176" s="67" t="s">
        <v>2132</v>
      </c>
      <c r="AB176" s="69" t="s">
        <v>573</v>
      </c>
    </row>
    <row r="177" ht="26.4" spans="1:28">
      <c r="A177" s="29">
        <v>10017421</v>
      </c>
      <c r="B177" s="30">
        <v>4</v>
      </c>
      <c r="C177" s="63" t="s">
        <v>1639</v>
      </c>
      <c r="D177" s="64" t="s">
        <v>14</v>
      </c>
      <c r="E177" s="65">
        <v>0</v>
      </c>
      <c r="F177" s="65">
        <v>0</v>
      </c>
      <c r="G177" s="30">
        <v>0</v>
      </c>
      <c r="H177" s="30">
        <v>5</v>
      </c>
      <c r="I177" s="30">
        <v>0</v>
      </c>
      <c r="J177" s="30">
        <v>0</v>
      </c>
      <c r="K177" s="30">
        <v>0</v>
      </c>
      <c r="L177" s="30" t="s">
        <v>1802</v>
      </c>
      <c r="M177" s="30">
        <v>3</v>
      </c>
      <c r="N177" s="30">
        <v>0</v>
      </c>
      <c r="O177" s="66">
        <v>0</v>
      </c>
      <c r="P177" s="30">
        <v>0</v>
      </c>
      <c r="Q177" s="30">
        <v>0</v>
      </c>
      <c r="R177" s="30">
        <v>0</v>
      </c>
      <c r="S177" s="30">
        <v>1</v>
      </c>
      <c r="T177" s="30">
        <v>0</v>
      </c>
      <c r="U177" s="31">
        <v>0</v>
      </c>
      <c r="V177" s="67">
        <v>0</v>
      </c>
      <c r="W177" s="67">
        <f>0*1*2.5</f>
        <v>0</v>
      </c>
      <c r="X177" s="67">
        <v>0</v>
      </c>
      <c r="Z177" s="67" t="s">
        <v>2101</v>
      </c>
      <c r="AB177" s="69" t="s">
        <v>2133</v>
      </c>
    </row>
    <row r="178" ht="39.6" spans="1:28">
      <c r="A178" s="29">
        <v>10017521</v>
      </c>
      <c r="B178" s="30">
        <v>4</v>
      </c>
      <c r="C178" s="63" t="s">
        <v>2134</v>
      </c>
      <c r="D178" s="64" t="s">
        <v>1881</v>
      </c>
      <c r="E178" s="65">
        <v>0</v>
      </c>
      <c r="F178" s="65">
        <v>0</v>
      </c>
      <c r="G178" s="30">
        <v>0</v>
      </c>
      <c r="H178" s="30">
        <v>0</v>
      </c>
      <c r="I178" s="30">
        <v>0</v>
      </c>
      <c r="J178" s="30">
        <v>0</v>
      </c>
      <c r="K178" s="30">
        <v>0</v>
      </c>
      <c r="L178" s="30" t="s">
        <v>115</v>
      </c>
      <c r="M178" s="30">
        <v>3</v>
      </c>
      <c r="N178" s="30">
        <v>0</v>
      </c>
      <c r="O178" s="66">
        <v>0</v>
      </c>
      <c r="P178" s="30">
        <v>0</v>
      </c>
      <c r="Q178" s="30">
        <v>0</v>
      </c>
      <c r="R178" s="30">
        <v>5</v>
      </c>
      <c r="S178" s="30">
        <v>2.5</v>
      </c>
      <c r="T178" s="30">
        <v>0.3</v>
      </c>
      <c r="U178" s="31">
        <v>0</v>
      </c>
      <c r="V178" s="67">
        <v>0</v>
      </c>
      <c r="W178" s="67">
        <f>5*2.5*2.5</f>
        <v>31.25</v>
      </c>
      <c r="X178" s="67">
        <f>5+MAX($X$2,0.3)*5*$X$1</f>
        <v>29</v>
      </c>
      <c r="Y178" s="67" t="s">
        <v>2135</v>
      </c>
      <c r="Z178" s="67" t="s">
        <v>1883</v>
      </c>
      <c r="AB178" s="69" t="s">
        <v>2136</v>
      </c>
    </row>
    <row r="179" ht="26.4" spans="1:28">
      <c r="A179" s="29">
        <v>10017621</v>
      </c>
      <c r="B179" s="30">
        <v>5</v>
      </c>
      <c r="C179" s="63" t="s">
        <v>2137</v>
      </c>
      <c r="D179" s="64" t="s">
        <v>1907</v>
      </c>
      <c r="E179" s="65">
        <v>0</v>
      </c>
      <c r="F179" s="65">
        <v>0</v>
      </c>
      <c r="G179" s="30">
        <v>0</v>
      </c>
      <c r="H179" s="30">
        <v>0</v>
      </c>
      <c r="I179" s="30">
        <v>0</v>
      </c>
      <c r="J179" s="30">
        <v>0</v>
      </c>
      <c r="K179" s="30">
        <v>1</v>
      </c>
      <c r="L179" s="30" t="s">
        <v>1802</v>
      </c>
      <c r="M179" s="30">
        <v>2</v>
      </c>
      <c r="N179" s="30">
        <v>0</v>
      </c>
      <c r="O179" s="66">
        <v>0</v>
      </c>
      <c r="P179" s="30">
        <v>0</v>
      </c>
      <c r="Q179" s="30">
        <v>0</v>
      </c>
      <c r="R179" s="30">
        <v>9</v>
      </c>
      <c r="S179" s="30">
        <v>1</v>
      </c>
      <c r="T179" s="30">
        <v>0</v>
      </c>
      <c r="U179" s="31">
        <v>0</v>
      </c>
      <c r="V179" s="67">
        <v>5</v>
      </c>
      <c r="W179" s="67">
        <f>9*1*2.5</f>
        <v>22.5</v>
      </c>
      <c r="X179" s="67">
        <v>9</v>
      </c>
      <c r="Y179" s="67" t="s">
        <v>1913</v>
      </c>
      <c r="Z179" s="67" t="s">
        <v>1909</v>
      </c>
      <c r="AB179" s="69" t="s">
        <v>415</v>
      </c>
    </row>
    <row r="180" ht="39.6" spans="1:28">
      <c r="A180" s="29">
        <v>10017721</v>
      </c>
      <c r="B180" s="30">
        <v>4</v>
      </c>
      <c r="C180" s="63" t="s">
        <v>2138</v>
      </c>
      <c r="D180" s="64" t="s">
        <v>1828</v>
      </c>
      <c r="E180" s="65">
        <v>0</v>
      </c>
      <c r="F180" s="65">
        <v>8</v>
      </c>
      <c r="G180" s="30">
        <v>0</v>
      </c>
      <c r="H180" s="30">
        <v>0</v>
      </c>
      <c r="I180" s="30">
        <v>0</v>
      </c>
      <c r="J180" s="30">
        <v>0</v>
      </c>
      <c r="K180" s="30">
        <v>0</v>
      </c>
      <c r="L180" s="30" t="s">
        <v>52</v>
      </c>
      <c r="M180" s="30">
        <v>0</v>
      </c>
      <c r="N180" s="30">
        <v>0</v>
      </c>
      <c r="O180" s="66">
        <v>0</v>
      </c>
      <c r="P180" s="30">
        <v>0</v>
      </c>
      <c r="Q180" s="30">
        <v>0</v>
      </c>
      <c r="R180" s="30">
        <v>0</v>
      </c>
      <c r="S180" s="30">
        <v>1</v>
      </c>
      <c r="T180" s="30">
        <v>0</v>
      </c>
      <c r="U180" s="31">
        <v>0</v>
      </c>
      <c r="V180" s="67">
        <v>0</v>
      </c>
      <c r="W180" s="67">
        <f>0*1*2.5</f>
        <v>0</v>
      </c>
      <c r="X180" s="67">
        <v>0</v>
      </c>
      <c r="Z180" s="67" t="s">
        <v>1829</v>
      </c>
      <c r="AB180" s="69" t="s">
        <v>456</v>
      </c>
    </row>
    <row r="181" ht="66" spans="1:28">
      <c r="A181" s="29">
        <v>10017821</v>
      </c>
      <c r="B181" s="30">
        <v>4</v>
      </c>
      <c r="C181" s="63" t="s">
        <v>2139</v>
      </c>
      <c r="D181" s="64" t="s">
        <v>1801</v>
      </c>
      <c r="E181" s="65">
        <v>0</v>
      </c>
      <c r="F181" s="65">
        <v>0</v>
      </c>
      <c r="G181" s="30">
        <v>0</v>
      </c>
      <c r="H181" s="30">
        <v>0</v>
      </c>
      <c r="I181" s="30">
        <v>0</v>
      </c>
      <c r="J181" s="30">
        <v>2</v>
      </c>
      <c r="K181" s="30">
        <v>0</v>
      </c>
      <c r="L181" s="30" t="s">
        <v>1802</v>
      </c>
      <c r="M181" s="30">
        <v>5</v>
      </c>
      <c r="N181" s="30">
        <v>1</v>
      </c>
      <c r="O181" s="66">
        <v>0</v>
      </c>
      <c r="P181" s="30">
        <v>0</v>
      </c>
      <c r="Q181" s="30">
        <v>0</v>
      </c>
      <c r="R181" s="30">
        <v>0</v>
      </c>
      <c r="S181" s="30">
        <v>1</v>
      </c>
      <c r="T181" s="30">
        <v>0</v>
      </c>
      <c r="U181" s="31">
        <v>0</v>
      </c>
      <c r="V181" s="67">
        <v>0</v>
      </c>
      <c r="W181" s="67">
        <f>0*1*2.5</f>
        <v>0</v>
      </c>
      <c r="X181" s="67">
        <v>0</v>
      </c>
      <c r="Z181" s="67" t="s">
        <v>1803</v>
      </c>
      <c r="AB181" s="69" t="s">
        <v>2140</v>
      </c>
    </row>
    <row r="182" ht="52.8" spans="1:28">
      <c r="A182" s="29">
        <v>10017921</v>
      </c>
      <c r="B182" s="30">
        <v>5</v>
      </c>
      <c r="C182" s="63" t="s">
        <v>2141</v>
      </c>
      <c r="D182" s="64" t="s">
        <v>1801</v>
      </c>
      <c r="E182" s="65">
        <v>0</v>
      </c>
      <c r="F182" s="65">
        <v>0</v>
      </c>
      <c r="G182" s="30">
        <v>0</v>
      </c>
      <c r="H182" s="30">
        <v>0</v>
      </c>
      <c r="I182" s="30">
        <v>0</v>
      </c>
      <c r="J182" s="30">
        <v>0</v>
      </c>
      <c r="K182" s="30">
        <v>0</v>
      </c>
      <c r="L182" s="30" t="s">
        <v>1802</v>
      </c>
      <c r="M182" s="30">
        <v>-3</v>
      </c>
      <c r="N182" s="30">
        <v>-1</v>
      </c>
      <c r="O182" s="66">
        <v>0</v>
      </c>
      <c r="P182" s="30">
        <v>0</v>
      </c>
      <c r="Q182" s="30">
        <v>0</v>
      </c>
      <c r="R182" s="30">
        <v>0</v>
      </c>
      <c r="S182" s="30">
        <v>1</v>
      </c>
      <c r="T182" s="30">
        <v>0</v>
      </c>
      <c r="U182" s="31">
        <v>0</v>
      </c>
      <c r="V182" s="67">
        <v>0</v>
      </c>
      <c r="W182" s="67">
        <f>0*1*2.5</f>
        <v>0</v>
      </c>
      <c r="X182" s="67">
        <v>0</v>
      </c>
      <c r="Z182" s="67" t="s">
        <v>1803</v>
      </c>
      <c r="AB182" s="69" t="s">
        <v>444</v>
      </c>
    </row>
    <row r="183" ht="39.6" spans="1:28">
      <c r="A183" s="29">
        <v>10018021</v>
      </c>
      <c r="B183" s="30">
        <v>3</v>
      </c>
      <c r="C183" s="63" t="s">
        <v>2142</v>
      </c>
      <c r="D183" s="64" t="s">
        <v>1952</v>
      </c>
      <c r="E183" s="65">
        <v>0</v>
      </c>
      <c r="F183" s="65">
        <v>0</v>
      </c>
      <c r="G183" s="30">
        <v>0</v>
      </c>
      <c r="H183" s="30">
        <v>0</v>
      </c>
      <c r="I183" s="30">
        <v>3</v>
      </c>
      <c r="J183" s="30">
        <v>5</v>
      </c>
      <c r="K183" s="30">
        <v>1</v>
      </c>
      <c r="L183" s="30" t="s">
        <v>1802</v>
      </c>
      <c r="M183" s="30">
        <v>0</v>
      </c>
      <c r="N183" s="30">
        <v>0</v>
      </c>
      <c r="O183" s="66">
        <v>2</v>
      </c>
      <c r="P183" s="30">
        <v>0</v>
      </c>
      <c r="Q183" s="30">
        <v>0</v>
      </c>
      <c r="R183" s="30">
        <v>1</v>
      </c>
      <c r="S183" s="30">
        <v>1</v>
      </c>
      <c r="T183" s="30">
        <v>0</v>
      </c>
      <c r="U183" s="31">
        <v>0</v>
      </c>
      <c r="V183" s="67">
        <v>5</v>
      </c>
      <c r="W183" s="67">
        <f>1*1*2.5</f>
        <v>2.5</v>
      </c>
      <c r="X183" s="67">
        <v>1</v>
      </c>
      <c r="Y183" s="67" t="s">
        <v>1913</v>
      </c>
      <c r="Z183" s="67" t="s">
        <v>1953</v>
      </c>
      <c r="AB183" s="69" t="s">
        <v>456</v>
      </c>
    </row>
    <row r="184" ht="52.8" spans="1:28">
      <c r="A184" s="29">
        <v>10018121</v>
      </c>
      <c r="B184" s="30">
        <v>5</v>
      </c>
      <c r="C184" s="63" t="s">
        <v>2143</v>
      </c>
      <c r="D184" s="64" t="s">
        <v>1801</v>
      </c>
      <c r="E184" s="65">
        <v>0</v>
      </c>
      <c r="F184" s="65">
        <v>3</v>
      </c>
      <c r="G184" s="30">
        <v>0</v>
      </c>
      <c r="H184" s="30">
        <v>0</v>
      </c>
      <c r="I184" s="30">
        <v>0</v>
      </c>
      <c r="J184" s="30">
        <v>0</v>
      </c>
      <c r="K184" s="30">
        <v>0</v>
      </c>
      <c r="L184" s="30" t="s">
        <v>1802</v>
      </c>
      <c r="M184" s="30">
        <v>0</v>
      </c>
      <c r="N184" s="30">
        <v>3</v>
      </c>
      <c r="O184" s="66">
        <v>0</v>
      </c>
      <c r="P184" s="30">
        <v>0</v>
      </c>
      <c r="Q184" s="30">
        <v>0</v>
      </c>
      <c r="R184" s="30">
        <v>0</v>
      </c>
      <c r="S184" s="30">
        <v>1</v>
      </c>
      <c r="T184" s="30">
        <v>0</v>
      </c>
      <c r="U184" s="31">
        <v>0</v>
      </c>
      <c r="V184" s="67">
        <v>0</v>
      </c>
      <c r="W184" s="67">
        <f>0*1*2.5</f>
        <v>0</v>
      </c>
      <c r="X184" s="67">
        <v>0</v>
      </c>
      <c r="Z184" s="67" t="s">
        <v>1803</v>
      </c>
      <c r="AB184" s="69" t="s">
        <v>1554</v>
      </c>
    </row>
    <row r="185" ht="52.8" spans="1:28">
      <c r="A185" s="29">
        <v>10018221</v>
      </c>
      <c r="B185" s="30">
        <v>4</v>
      </c>
      <c r="C185" s="63" t="s">
        <v>2144</v>
      </c>
      <c r="D185" s="64" t="s">
        <v>1801</v>
      </c>
      <c r="E185" s="65">
        <v>0</v>
      </c>
      <c r="F185" s="65">
        <v>0</v>
      </c>
      <c r="G185" s="30">
        <v>0</v>
      </c>
      <c r="H185" s="30">
        <v>0</v>
      </c>
      <c r="I185" s="30">
        <v>0</v>
      </c>
      <c r="J185" s="30">
        <v>3</v>
      </c>
      <c r="K185" s="30">
        <v>5</v>
      </c>
      <c r="L185" s="30" t="s">
        <v>1802</v>
      </c>
      <c r="M185" s="30">
        <v>0</v>
      </c>
      <c r="N185" s="30">
        <v>-1</v>
      </c>
      <c r="O185" s="66">
        <v>0</v>
      </c>
      <c r="P185" s="30">
        <v>0</v>
      </c>
      <c r="Q185" s="30">
        <v>0</v>
      </c>
      <c r="R185" s="30">
        <v>0</v>
      </c>
      <c r="S185" s="30">
        <v>1</v>
      </c>
      <c r="T185" s="30">
        <v>0</v>
      </c>
      <c r="U185" s="31">
        <v>0</v>
      </c>
      <c r="V185" s="67">
        <v>0</v>
      </c>
      <c r="W185" s="67">
        <f>0*1*2.5</f>
        <v>0</v>
      </c>
      <c r="X185" s="67">
        <v>0</v>
      </c>
      <c r="Z185" s="67" t="s">
        <v>1803</v>
      </c>
      <c r="AB185" s="69" t="s">
        <v>1232</v>
      </c>
    </row>
    <row r="186" ht="52.8" spans="1:28">
      <c r="A186" s="29">
        <v>10018321</v>
      </c>
      <c r="B186" s="30">
        <v>4</v>
      </c>
      <c r="C186" s="63" t="s">
        <v>2145</v>
      </c>
      <c r="D186" s="64" t="s">
        <v>1801</v>
      </c>
      <c r="E186" s="65">
        <v>0</v>
      </c>
      <c r="F186" s="65">
        <v>0</v>
      </c>
      <c r="G186" s="30">
        <v>3</v>
      </c>
      <c r="H186" s="30">
        <v>0</v>
      </c>
      <c r="I186" s="30">
        <v>0</v>
      </c>
      <c r="J186" s="30">
        <v>0</v>
      </c>
      <c r="K186" s="30">
        <v>0</v>
      </c>
      <c r="L186" s="30" t="s">
        <v>1802</v>
      </c>
      <c r="M186" s="30">
        <v>0</v>
      </c>
      <c r="N186" s="30">
        <v>3</v>
      </c>
      <c r="O186" s="66">
        <v>0</v>
      </c>
      <c r="P186" s="30">
        <v>0</v>
      </c>
      <c r="Q186" s="30">
        <v>0</v>
      </c>
      <c r="R186" s="30">
        <v>0</v>
      </c>
      <c r="S186" s="30">
        <v>1</v>
      </c>
      <c r="T186" s="30">
        <v>0</v>
      </c>
      <c r="U186" s="31">
        <v>0</v>
      </c>
      <c r="V186" s="67">
        <v>0</v>
      </c>
      <c r="W186" s="67">
        <f>0*1*2.5</f>
        <v>0</v>
      </c>
      <c r="X186" s="67">
        <v>0</v>
      </c>
      <c r="Y186" s="67" t="s">
        <v>2146</v>
      </c>
      <c r="Z186" s="67" t="s">
        <v>1803</v>
      </c>
      <c r="AB186" s="69" t="s">
        <v>1211</v>
      </c>
    </row>
    <row r="187" ht="39.6" spans="1:29">
      <c r="A187" s="29">
        <v>10018421</v>
      </c>
      <c r="B187" s="30">
        <v>5</v>
      </c>
      <c r="C187" s="63" t="s">
        <v>2147</v>
      </c>
      <c r="D187" s="64" t="s">
        <v>1927</v>
      </c>
      <c r="E187" s="65">
        <v>0</v>
      </c>
      <c r="F187" s="65">
        <v>0</v>
      </c>
      <c r="G187" s="30">
        <v>0</v>
      </c>
      <c r="H187" s="30">
        <v>0</v>
      </c>
      <c r="I187" s="30">
        <v>3</v>
      </c>
      <c r="J187" s="30">
        <v>5</v>
      </c>
      <c r="K187" s="30">
        <v>2</v>
      </c>
      <c r="L187" s="30" t="s">
        <v>1802</v>
      </c>
      <c r="M187" s="30">
        <v>0</v>
      </c>
      <c r="N187" s="30">
        <v>0</v>
      </c>
      <c r="O187" s="66">
        <v>12</v>
      </c>
      <c r="P187" s="30">
        <v>0</v>
      </c>
      <c r="Q187" s="30">
        <v>0</v>
      </c>
      <c r="R187" s="30">
        <v>0</v>
      </c>
      <c r="S187" s="30">
        <v>1</v>
      </c>
      <c r="T187" s="30">
        <v>0</v>
      </c>
      <c r="U187" s="31">
        <v>0</v>
      </c>
      <c r="V187" s="67">
        <v>5</v>
      </c>
      <c r="W187" s="67">
        <f>0*1*2.5</f>
        <v>0</v>
      </c>
      <c r="X187" s="67">
        <v>0</v>
      </c>
      <c r="Y187" s="67" t="s">
        <v>1913</v>
      </c>
      <c r="Z187" s="67" t="s">
        <v>1909</v>
      </c>
      <c r="AC187" s="69" t="s">
        <v>2148</v>
      </c>
    </row>
    <row r="188" ht="39.6" spans="1:29">
      <c r="A188" s="29">
        <v>10018521</v>
      </c>
      <c r="B188" s="30">
        <v>5</v>
      </c>
      <c r="C188" s="63" t="s">
        <v>2149</v>
      </c>
      <c r="D188" s="64" t="s">
        <v>1907</v>
      </c>
      <c r="E188" s="65">
        <v>0</v>
      </c>
      <c r="F188" s="65">
        <v>0</v>
      </c>
      <c r="G188" s="30">
        <v>0</v>
      </c>
      <c r="H188" s="30">
        <v>0</v>
      </c>
      <c r="I188" s="30">
        <v>0</v>
      </c>
      <c r="J188" s="30">
        <v>0</v>
      </c>
      <c r="K188" s="30">
        <v>2</v>
      </c>
      <c r="L188" s="30" t="s">
        <v>1802</v>
      </c>
      <c r="M188" s="30">
        <v>6</v>
      </c>
      <c r="N188" s="30">
        <v>0</v>
      </c>
      <c r="O188" s="66">
        <v>0</v>
      </c>
      <c r="P188" s="30">
        <v>0</v>
      </c>
      <c r="Q188" s="30">
        <v>0</v>
      </c>
      <c r="R188" s="30">
        <v>10</v>
      </c>
      <c r="S188" s="30">
        <v>1</v>
      </c>
      <c r="T188" s="30">
        <v>0</v>
      </c>
      <c r="U188" s="31">
        <v>0</v>
      </c>
      <c r="V188" s="67">
        <v>5</v>
      </c>
      <c r="W188" s="67">
        <f>10*1*2.5</f>
        <v>25</v>
      </c>
      <c r="X188" s="67">
        <v>10</v>
      </c>
      <c r="Y188" s="67" t="s">
        <v>1913</v>
      </c>
      <c r="Z188" s="67" t="s">
        <v>1909</v>
      </c>
      <c r="AC188" s="69" t="s">
        <v>2150</v>
      </c>
    </row>
    <row r="189" ht="26.4" spans="1:28">
      <c r="A189" s="29">
        <v>10018621</v>
      </c>
      <c r="B189" s="30">
        <v>4</v>
      </c>
      <c r="C189" s="63" t="s">
        <v>2151</v>
      </c>
      <c r="D189" s="64" t="s">
        <v>1976</v>
      </c>
      <c r="E189" s="65">
        <v>0</v>
      </c>
      <c r="F189" s="65">
        <v>0</v>
      </c>
      <c r="G189" s="30">
        <v>0</v>
      </c>
      <c r="H189" s="30">
        <v>0</v>
      </c>
      <c r="I189" s="30">
        <v>3</v>
      </c>
      <c r="J189" s="30">
        <v>0</v>
      </c>
      <c r="K189" s="30">
        <v>0</v>
      </c>
      <c r="L189" s="30" t="s">
        <v>1802</v>
      </c>
      <c r="M189" s="30">
        <v>0</v>
      </c>
      <c r="N189" s="30">
        <v>3</v>
      </c>
      <c r="O189" s="66">
        <v>0</v>
      </c>
      <c r="P189" s="30">
        <v>0</v>
      </c>
      <c r="Q189" s="30">
        <v>0</v>
      </c>
      <c r="R189" s="30">
        <v>0</v>
      </c>
      <c r="S189" s="30">
        <v>1</v>
      </c>
      <c r="T189" s="30">
        <v>0</v>
      </c>
      <c r="U189" s="31">
        <v>0</v>
      </c>
      <c r="V189" s="67">
        <v>0</v>
      </c>
      <c r="W189" s="67">
        <f>0*1*2.5</f>
        <v>0</v>
      </c>
      <c r="X189" s="67">
        <v>0</v>
      </c>
      <c r="Z189" s="67" t="s">
        <v>1977</v>
      </c>
      <c r="AB189" s="69" t="s">
        <v>534</v>
      </c>
    </row>
    <row r="190" ht="26.4" spans="1:29">
      <c r="A190" s="29">
        <v>10018721</v>
      </c>
      <c r="B190" s="30">
        <v>5</v>
      </c>
      <c r="C190" s="63" t="s">
        <v>2152</v>
      </c>
      <c r="D190" s="64" t="s">
        <v>1907</v>
      </c>
      <c r="E190" s="65">
        <v>0</v>
      </c>
      <c r="F190" s="65">
        <v>0</v>
      </c>
      <c r="G190" s="30">
        <v>0</v>
      </c>
      <c r="H190" s="30">
        <v>0</v>
      </c>
      <c r="I190" s="30">
        <v>0</v>
      </c>
      <c r="J190" s="30">
        <v>0</v>
      </c>
      <c r="K190" s="30">
        <v>2</v>
      </c>
      <c r="L190" s="30" t="s">
        <v>1802</v>
      </c>
      <c r="M190" s="30">
        <v>0</v>
      </c>
      <c r="N190" s="30">
        <v>3</v>
      </c>
      <c r="O190" s="66">
        <v>0</v>
      </c>
      <c r="P190" s="30">
        <v>0</v>
      </c>
      <c r="Q190" s="30">
        <v>0</v>
      </c>
      <c r="R190" s="30">
        <v>12</v>
      </c>
      <c r="S190" s="30">
        <v>1</v>
      </c>
      <c r="T190" s="30">
        <v>0</v>
      </c>
      <c r="U190" s="31">
        <v>0</v>
      </c>
      <c r="V190" s="67">
        <v>5</v>
      </c>
      <c r="W190" s="67">
        <f>12*1*2.5</f>
        <v>30</v>
      </c>
      <c r="X190" s="67">
        <v>12</v>
      </c>
      <c r="Y190" s="67" t="s">
        <v>1913</v>
      </c>
      <c r="Z190" s="67" t="s">
        <v>1909</v>
      </c>
      <c r="AC190" s="69" t="s">
        <v>2153</v>
      </c>
    </row>
    <row r="191" ht="26.4" spans="1:29">
      <c r="A191" s="29">
        <v>10018821</v>
      </c>
      <c r="B191" s="30">
        <v>5</v>
      </c>
      <c r="C191" s="63" t="s">
        <v>2154</v>
      </c>
      <c r="D191" s="64" t="s">
        <v>1907</v>
      </c>
      <c r="E191" s="65">
        <v>0</v>
      </c>
      <c r="F191" s="65">
        <v>0</v>
      </c>
      <c r="G191" s="30">
        <v>0</v>
      </c>
      <c r="H191" s="30">
        <v>0</v>
      </c>
      <c r="I191" s="30">
        <v>0</v>
      </c>
      <c r="J191" s="30">
        <v>0</v>
      </c>
      <c r="K191" s="30">
        <v>2</v>
      </c>
      <c r="L191" s="30" t="s">
        <v>1802</v>
      </c>
      <c r="M191" s="30">
        <v>3</v>
      </c>
      <c r="N191" s="30">
        <v>2</v>
      </c>
      <c r="O191" s="66">
        <v>0</v>
      </c>
      <c r="P191" s="30">
        <v>0</v>
      </c>
      <c r="Q191" s="30">
        <v>0</v>
      </c>
      <c r="R191" s="30">
        <v>10</v>
      </c>
      <c r="S191" s="30">
        <v>1</v>
      </c>
      <c r="T191" s="30">
        <v>0</v>
      </c>
      <c r="U191" s="31">
        <v>0</v>
      </c>
      <c r="V191" s="67">
        <v>4</v>
      </c>
      <c r="W191" s="67">
        <f>10*1*2.5</f>
        <v>25</v>
      </c>
      <c r="X191" s="67">
        <v>10</v>
      </c>
      <c r="Y191" s="67" t="s">
        <v>1908</v>
      </c>
      <c r="Z191" s="67" t="s">
        <v>1909</v>
      </c>
      <c r="AC191" s="69" t="s">
        <v>2155</v>
      </c>
    </row>
    <row r="192" ht="26.4" spans="1:29">
      <c r="A192" s="29">
        <v>10018921</v>
      </c>
      <c r="B192" s="30">
        <v>5</v>
      </c>
      <c r="C192" s="63" t="s">
        <v>2156</v>
      </c>
      <c r="D192" s="64" t="s">
        <v>1907</v>
      </c>
      <c r="E192" s="65">
        <v>0</v>
      </c>
      <c r="F192" s="65">
        <v>0</v>
      </c>
      <c r="G192" s="30">
        <v>0</v>
      </c>
      <c r="H192" s="30">
        <v>0</v>
      </c>
      <c r="I192" s="30">
        <v>0</v>
      </c>
      <c r="J192" s="30">
        <v>0</v>
      </c>
      <c r="K192" s="30">
        <v>3</v>
      </c>
      <c r="L192" s="30" t="s">
        <v>1802</v>
      </c>
      <c r="M192" s="30">
        <v>2</v>
      </c>
      <c r="N192" s="30">
        <v>1</v>
      </c>
      <c r="O192" s="66">
        <v>0</v>
      </c>
      <c r="P192" s="30">
        <v>0</v>
      </c>
      <c r="Q192" s="30">
        <v>0</v>
      </c>
      <c r="R192" s="30">
        <v>9</v>
      </c>
      <c r="S192" s="30">
        <v>1</v>
      </c>
      <c r="T192" s="30">
        <v>0</v>
      </c>
      <c r="U192" s="31">
        <v>0</v>
      </c>
      <c r="V192" s="67">
        <v>4</v>
      </c>
      <c r="W192" s="67">
        <f>9*1*2.5</f>
        <v>22.5</v>
      </c>
      <c r="X192" s="67">
        <v>9</v>
      </c>
      <c r="Y192" s="67" t="s">
        <v>1908</v>
      </c>
      <c r="Z192" s="67" t="s">
        <v>1909</v>
      </c>
      <c r="AC192" s="69" t="s">
        <v>2153</v>
      </c>
    </row>
    <row r="193" ht="39.6" spans="1:29">
      <c r="A193" s="29">
        <v>10019021</v>
      </c>
      <c r="B193" s="30">
        <v>5</v>
      </c>
      <c r="C193" s="63" t="s">
        <v>2157</v>
      </c>
      <c r="D193" s="64" t="s">
        <v>1927</v>
      </c>
      <c r="E193" s="65">
        <v>0</v>
      </c>
      <c r="F193" s="65">
        <v>0</v>
      </c>
      <c r="G193" s="30">
        <v>0</v>
      </c>
      <c r="H193" s="30">
        <v>0</v>
      </c>
      <c r="I193" s="30">
        <v>3</v>
      </c>
      <c r="J193" s="30">
        <v>0</v>
      </c>
      <c r="K193" s="30">
        <v>5</v>
      </c>
      <c r="L193" s="30" t="s">
        <v>1802</v>
      </c>
      <c r="M193" s="30">
        <v>0</v>
      </c>
      <c r="N193" s="30">
        <v>1</v>
      </c>
      <c r="O193" s="66">
        <v>10</v>
      </c>
      <c r="P193" s="30">
        <v>0</v>
      </c>
      <c r="Q193" s="30">
        <v>0</v>
      </c>
      <c r="R193" s="30">
        <v>0</v>
      </c>
      <c r="S193" s="30">
        <v>1</v>
      </c>
      <c r="T193" s="30">
        <v>0</v>
      </c>
      <c r="U193" s="31">
        <v>0</v>
      </c>
      <c r="V193" s="67">
        <v>5</v>
      </c>
      <c r="W193" s="67">
        <f t="shared" ref="W193:W201" si="5">0*1*2.5</f>
        <v>0</v>
      </c>
      <c r="X193" s="67">
        <v>0</v>
      </c>
      <c r="Y193" s="67" t="s">
        <v>1913</v>
      </c>
      <c r="Z193" s="67" t="s">
        <v>1909</v>
      </c>
      <c r="AC193" s="69" t="s">
        <v>2158</v>
      </c>
    </row>
    <row r="194" ht="39.6" spans="1:28">
      <c r="A194" s="29">
        <v>10019121</v>
      </c>
      <c r="B194" s="30">
        <v>5</v>
      </c>
      <c r="C194" s="63" t="s">
        <v>1105</v>
      </c>
      <c r="D194" s="64" t="s">
        <v>1832</v>
      </c>
      <c r="E194" s="65">
        <v>0</v>
      </c>
      <c r="F194" s="65">
        <v>10</v>
      </c>
      <c r="G194" s="30">
        <v>0</v>
      </c>
      <c r="H194" s="30">
        <v>0</v>
      </c>
      <c r="I194" s="30">
        <v>0</v>
      </c>
      <c r="J194" s="30">
        <v>0</v>
      </c>
      <c r="K194" s="30">
        <v>2</v>
      </c>
      <c r="L194" s="30" t="s">
        <v>158</v>
      </c>
      <c r="M194" s="30">
        <v>0</v>
      </c>
      <c r="N194" s="30">
        <v>0</v>
      </c>
      <c r="O194" s="66">
        <v>0</v>
      </c>
      <c r="P194" s="30">
        <v>0</v>
      </c>
      <c r="Q194" s="30">
        <v>0</v>
      </c>
      <c r="R194" s="30">
        <v>0</v>
      </c>
      <c r="S194" s="30">
        <v>1</v>
      </c>
      <c r="T194" s="30">
        <v>0</v>
      </c>
      <c r="U194" s="31">
        <v>0</v>
      </c>
      <c r="V194" s="67">
        <v>0</v>
      </c>
      <c r="W194" s="67">
        <f t="shared" si="5"/>
        <v>0</v>
      </c>
      <c r="X194" s="67">
        <v>0</v>
      </c>
      <c r="Z194" s="67" t="s">
        <v>1834</v>
      </c>
      <c r="AB194" s="69" t="s">
        <v>2159</v>
      </c>
    </row>
    <row r="195" ht="26.4" spans="1:28">
      <c r="A195" s="29">
        <v>10019221</v>
      </c>
      <c r="B195" s="30">
        <v>4</v>
      </c>
      <c r="C195" s="63" t="s">
        <v>2160</v>
      </c>
      <c r="D195" s="64" t="s">
        <v>1845</v>
      </c>
      <c r="E195" s="65">
        <v>0</v>
      </c>
      <c r="F195" s="65">
        <v>24</v>
      </c>
      <c r="G195" s="30">
        <v>0</v>
      </c>
      <c r="H195" s="30">
        <v>0</v>
      </c>
      <c r="I195" s="30">
        <v>0</v>
      </c>
      <c r="J195" s="30">
        <v>0</v>
      </c>
      <c r="K195" s="30">
        <v>1</v>
      </c>
      <c r="L195" s="30" t="s">
        <v>52</v>
      </c>
      <c r="M195" s="30">
        <v>0</v>
      </c>
      <c r="N195" s="30">
        <v>0</v>
      </c>
      <c r="O195" s="66">
        <v>0</v>
      </c>
      <c r="P195" s="30">
        <v>0</v>
      </c>
      <c r="Q195" s="30">
        <v>0</v>
      </c>
      <c r="R195" s="30">
        <v>0</v>
      </c>
      <c r="S195" s="30">
        <v>1</v>
      </c>
      <c r="T195" s="30">
        <v>0</v>
      </c>
      <c r="U195" s="31">
        <v>0</v>
      </c>
      <c r="V195" s="67">
        <v>0</v>
      </c>
      <c r="W195" s="67">
        <f t="shared" si="5"/>
        <v>0</v>
      </c>
      <c r="X195" s="67">
        <v>0</v>
      </c>
      <c r="Z195" s="67" t="s">
        <v>1846</v>
      </c>
      <c r="AB195" s="69" t="s">
        <v>2161</v>
      </c>
    </row>
    <row r="196" spans="1:28">
      <c r="A196" s="29">
        <v>10019321</v>
      </c>
      <c r="B196" s="30">
        <v>4</v>
      </c>
      <c r="C196" s="63" t="s">
        <v>567</v>
      </c>
      <c r="D196" s="64" t="s">
        <v>1845</v>
      </c>
      <c r="E196" s="65">
        <v>0</v>
      </c>
      <c r="F196" s="65">
        <v>9</v>
      </c>
      <c r="G196" s="30">
        <v>0</v>
      </c>
      <c r="H196" s="30">
        <v>0</v>
      </c>
      <c r="I196" s="30">
        <v>0</v>
      </c>
      <c r="J196" s="30">
        <v>0</v>
      </c>
      <c r="K196" s="30">
        <v>0</v>
      </c>
      <c r="L196" s="30" t="s">
        <v>158</v>
      </c>
      <c r="M196" s="30">
        <v>2</v>
      </c>
      <c r="N196" s="30">
        <v>0</v>
      </c>
      <c r="O196" s="66">
        <v>0</v>
      </c>
      <c r="P196" s="30">
        <v>0</v>
      </c>
      <c r="Q196" s="30">
        <v>0</v>
      </c>
      <c r="R196" s="30">
        <v>0</v>
      </c>
      <c r="S196" s="30">
        <v>1</v>
      </c>
      <c r="T196" s="30">
        <v>0</v>
      </c>
      <c r="U196" s="31">
        <v>0</v>
      </c>
      <c r="V196" s="67">
        <v>0</v>
      </c>
      <c r="W196" s="67">
        <f t="shared" si="5"/>
        <v>0</v>
      </c>
      <c r="X196" s="67">
        <v>0</v>
      </c>
      <c r="Z196" s="67" t="s">
        <v>2132</v>
      </c>
      <c r="AB196" s="69" t="s">
        <v>2162</v>
      </c>
    </row>
    <row r="197" ht="66" spans="1:28">
      <c r="A197" s="29">
        <v>10019421</v>
      </c>
      <c r="B197" s="30">
        <v>4</v>
      </c>
      <c r="C197" s="63" t="s">
        <v>896</v>
      </c>
      <c r="D197" s="64" t="s">
        <v>14</v>
      </c>
      <c r="E197" s="65">
        <v>0</v>
      </c>
      <c r="F197" s="65">
        <v>0</v>
      </c>
      <c r="G197" s="30">
        <v>0</v>
      </c>
      <c r="H197" s="30">
        <v>8</v>
      </c>
      <c r="I197" s="30">
        <v>0</v>
      </c>
      <c r="J197" s="30">
        <v>0</v>
      </c>
      <c r="K197" s="30">
        <v>2</v>
      </c>
      <c r="L197" s="30" t="s">
        <v>1802</v>
      </c>
      <c r="M197" s="30">
        <v>0</v>
      </c>
      <c r="N197" s="30">
        <v>0</v>
      </c>
      <c r="O197" s="66">
        <v>0</v>
      </c>
      <c r="P197" s="30">
        <v>0</v>
      </c>
      <c r="Q197" s="30">
        <v>0</v>
      </c>
      <c r="R197" s="30">
        <v>0</v>
      </c>
      <c r="S197" s="30">
        <v>1</v>
      </c>
      <c r="T197" s="30">
        <v>0</v>
      </c>
      <c r="U197" s="31">
        <v>0</v>
      </c>
      <c r="V197" s="67">
        <v>0</v>
      </c>
      <c r="W197" s="67">
        <f t="shared" si="5"/>
        <v>0</v>
      </c>
      <c r="X197" s="67">
        <v>0</v>
      </c>
      <c r="Z197" s="67" t="s">
        <v>1980</v>
      </c>
      <c r="AB197" s="69" t="s">
        <v>2163</v>
      </c>
    </row>
    <row r="198" ht="26.4" spans="1:28">
      <c r="A198" s="29">
        <v>10019521</v>
      </c>
      <c r="B198" s="30">
        <v>4</v>
      </c>
      <c r="C198" s="63" t="s">
        <v>2164</v>
      </c>
      <c r="D198" s="64" t="s">
        <v>1845</v>
      </c>
      <c r="E198" s="65">
        <v>0</v>
      </c>
      <c r="F198" s="65">
        <v>22</v>
      </c>
      <c r="G198" s="30">
        <v>0</v>
      </c>
      <c r="H198" s="30">
        <v>0</v>
      </c>
      <c r="I198" s="30">
        <v>0</v>
      </c>
      <c r="J198" s="30">
        <v>0</v>
      </c>
      <c r="K198" s="30">
        <v>1</v>
      </c>
      <c r="L198" s="30" t="s">
        <v>52</v>
      </c>
      <c r="M198" s="30">
        <v>0</v>
      </c>
      <c r="N198" s="30">
        <v>0</v>
      </c>
      <c r="O198" s="66">
        <v>0</v>
      </c>
      <c r="P198" s="30">
        <v>0</v>
      </c>
      <c r="Q198" s="30">
        <v>0</v>
      </c>
      <c r="R198" s="30">
        <v>0</v>
      </c>
      <c r="S198" s="30">
        <v>1</v>
      </c>
      <c r="T198" s="30">
        <v>0</v>
      </c>
      <c r="U198" s="31">
        <v>0</v>
      </c>
      <c r="V198" s="67">
        <v>0</v>
      </c>
      <c r="W198" s="67">
        <f t="shared" si="5"/>
        <v>0</v>
      </c>
      <c r="X198" s="67">
        <v>0</v>
      </c>
      <c r="Z198" s="67" t="s">
        <v>1846</v>
      </c>
      <c r="AB198" s="69" t="s">
        <v>2165</v>
      </c>
    </row>
    <row r="199" ht="26.4" spans="1:29">
      <c r="A199" s="29">
        <v>10019621</v>
      </c>
      <c r="B199" s="30">
        <v>5</v>
      </c>
      <c r="C199" s="63" t="s">
        <v>2166</v>
      </c>
      <c r="D199" s="64" t="s">
        <v>1940</v>
      </c>
      <c r="E199" s="65">
        <v>0</v>
      </c>
      <c r="F199" s="65">
        <v>0</v>
      </c>
      <c r="G199" s="30">
        <v>0</v>
      </c>
      <c r="H199" s="30">
        <v>10</v>
      </c>
      <c r="I199" s="30">
        <v>5</v>
      </c>
      <c r="J199" s="30">
        <v>0</v>
      </c>
      <c r="K199" s="30">
        <v>5</v>
      </c>
      <c r="L199" s="30" t="s">
        <v>1802</v>
      </c>
      <c r="M199" s="30">
        <v>0</v>
      </c>
      <c r="N199" s="30">
        <v>0</v>
      </c>
      <c r="O199" s="66">
        <v>0</v>
      </c>
      <c r="P199" s="30">
        <v>0</v>
      </c>
      <c r="Q199" s="30">
        <v>0</v>
      </c>
      <c r="R199" s="30">
        <v>0</v>
      </c>
      <c r="S199" s="30">
        <v>1</v>
      </c>
      <c r="T199" s="30">
        <v>0</v>
      </c>
      <c r="U199" s="31">
        <v>0</v>
      </c>
      <c r="V199" s="67">
        <v>5</v>
      </c>
      <c r="W199" s="67">
        <f t="shared" si="5"/>
        <v>0</v>
      </c>
      <c r="X199" s="67">
        <v>0</v>
      </c>
      <c r="Y199" s="67" t="s">
        <v>1913</v>
      </c>
      <c r="Z199" s="67" t="s">
        <v>1909</v>
      </c>
      <c r="AC199" s="69" t="s">
        <v>2167</v>
      </c>
    </row>
    <row r="200" ht="39.6" spans="1:28">
      <c r="A200" s="29">
        <v>10019721</v>
      </c>
      <c r="B200" s="30">
        <v>4</v>
      </c>
      <c r="C200" s="63" t="s">
        <v>2168</v>
      </c>
      <c r="D200" s="64" t="s">
        <v>1952</v>
      </c>
      <c r="E200" s="65">
        <v>0</v>
      </c>
      <c r="F200" s="65">
        <v>0</v>
      </c>
      <c r="G200" s="30">
        <v>0</v>
      </c>
      <c r="H200" s="30">
        <v>0</v>
      </c>
      <c r="I200" s="30">
        <v>3</v>
      </c>
      <c r="J200" s="30">
        <v>2</v>
      </c>
      <c r="K200" s="30">
        <v>0</v>
      </c>
      <c r="L200" s="30" t="s">
        <v>1802</v>
      </c>
      <c r="M200" s="30">
        <v>0</v>
      </c>
      <c r="N200" s="30">
        <v>1</v>
      </c>
      <c r="O200" s="66">
        <v>0</v>
      </c>
      <c r="P200" s="30">
        <v>0</v>
      </c>
      <c r="Q200" s="30">
        <v>0</v>
      </c>
      <c r="R200" s="30">
        <v>0</v>
      </c>
      <c r="S200" s="30">
        <v>1</v>
      </c>
      <c r="T200" s="30">
        <v>0</v>
      </c>
      <c r="U200" s="31">
        <v>0</v>
      </c>
      <c r="V200" s="67">
        <v>5</v>
      </c>
      <c r="W200" s="67">
        <f t="shared" si="5"/>
        <v>0</v>
      </c>
      <c r="X200" s="67">
        <v>0</v>
      </c>
      <c r="Y200" s="67" t="s">
        <v>1913</v>
      </c>
      <c r="Z200" s="67" t="s">
        <v>1953</v>
      </c>
      <c r="AB200" s="69" t="s">
        <v>1484</v>
      </c>
    </row>
    <row r="201" ht="39.6" spans="1:28">
      <c r="A201" s="29">
        <v>10019821</v>
      </c>
      <c r="B201" s="30">
        <v>4</v>
      </c>
      <c r="C201" s="63" t="s">
        <v>2169</v>
      </c>
      <c r="D201" s="64" t="s">
        <v>1952</v>
      </c>
      <c r="E201" s="65">
        <v>0</v>
      </c>
      <c r="F201" s="65">
        <v>0</v>
      </c>
      <c r="G201" s="30">
        <v>0</v>
      </c>
      <c r="H201" s="30">
        <v>0</v>
      </c>
      <c r="I201" s="30">
        <v>5</v>
      </c>
      <c r="J201" s="30">
        <v>1</v>
      </c>
      <c r="K201" s="30">
        <v>0</v>
      </c>
      <c r="L201" s="30" t="s">
        <v>1802</v>
      </c>
      <c r="M201" s="30">
        <v>0</v>
      </c>
      <c r="N201" s="30">
        <v>1</v>
      </c>
      <c r="O201" s="66">
        <v>0</v>
      </c>
      <c r="P201" s="30">
        <v>0</v>
      </c>
      <c r="Q201" s="30">
        <v>0</v>
      </c>
      <c r="R201" s="30">
        <v>0</v>
      </c>
      <c r="S201" s="30">
        <v>1</v>
      </c>
      <c r="T201" s="30">
        <v>0</v>
      </c>
      <c r="U201" s="31">
        <v>0</v>
      </c>
      <c r="V201" s="67">
        <v>5</v>
      </c>
      <c r="W201" s="67">
        <f t="shared" si="5"/>
        <v>0</v>
      </c>
      <c r="X201" s="67">
        <v>0</v>
      </c>
      <c r="Y201" s="67" t="s">
        <v>1913</v>
      </c>
      <c r="Z201" s="67" t="s">
        <v>1953</v>
      </c>
      <c r="AB201" s="69" t="s">
        <v>1369</v>
      </c>
    </row>
    <row r="202" ht="39.6" spans="1:28">
      <c r="A202" s="29">
        <v>10019921</v>
      </c>
      <c r="B202" s="30">
        <v>6</v>
      </c>
      <c r="C202" s="63" t="s">
        <v>1372</v>
      </c>
      <c r="D202" s="64" t="s">
        <v>1960</v>
      </c>
      <c r="E202" s="65">
        <v>0</v>
      </c>
      <c r="F202" s="65">
        <v>0</v>
      </c>
      <c r="G202" s="30">
        <v>0</v>
      </c>
      <c r="H202" s="30">
        <v>0</v>
      </c>
      <c r="I202" s="30">
        <v>0</v>
      </c>
      <c r="J202" s="30">
        <v>0</v>
      </c>
      <c r="K202" s="30">
        <v>6</v>
      </c>
      <c r="L202" s="30" t="s">
        <v>1802</v>
      </c>
      <c r="M202" s="30">
        <v>0</v>
      </c>
      <c r="N202" s="30">
        <v>0</v>
      </c>
      <c r="O202" s="66">
        <v>0</v>
      </c>
      <c r="P202" s="30">
        <v>0</v>
      </c>
      <c r="Q202" s="30">
        <v>0</v>
      </c>
      <c r="R202" s="30">
        <v>9</v>
      </c>
      <c r="S202" s="30">
        <v>3.5</v>
      </c>
      <c r="T202" s="30">
        <v>0.6</v>
      </c>
      <c r="U202" s="31">
        <v>0</v>
      </c>
      <c r="V202" s="67">
        <v>0</v>
      </c>
      <c r="W202" s="67">
        <f>9*3.5*2.5</f>
        <v>78.75</v>
      </c>
      <c r="X202" s="67">
        <f>9+MAX($X$2,0.6)*9*$X$1</f>
        <v>52.2</v>
      </c>
      <c r="Y202" s="67" t="s">
        <v>2170</v>
      </c>
      <c r="Z202" s="67" t="s">
        <v>1883</v>
      </c>
      <c r="AB202" s="69" t="s">
        <v>2171</v>
      </c>
    </row>
    <row r="203" ht="52.8" spans="1:28">
      <c r="A203" s="29">
        <v>10020021</v>
      </c>
      <c r="B203" s="30">
        <v>4</v>
      </c>
      <c r="C203" s="63" t="s">
        <v>2172</v>
      </c>
      <c r="D203" s="64" t="s">
        <v>1801</v>
      </c>
      <c r="E203" s="65">
        <v>0</v>
      </c>
      <c r="F203" s="65">
        <v>0</v>
      </c>
      <c r="G203" s="30">
        <v>0</v>
      </c>
      <c r="H203" s="30">
        <v>0</v>
      </c>
      <c r="I203" s="30">
        <v>0</v>
      </c>
      <c r="J203" s="30">
        <v>-1</v>
      </c>
      <c r="K203" s="30">
        <v>0</v>
      </c>
      <c r="L203" s="30" t="s">
        <v>1802</v>
      </c>
      <c r="M203" s="30">
        <v>0</v>
      </c>
      <c r="N203" s="30">
        <v>0</v>
      </c>
      <c r="O203" s="66">
        <v>0</v>
      </c>
      <c r="P203" s="30">
        <v>0</v>
      </c>
      <c r="Q203" s="30">
        <v>0</v>
      </c>
      <c r="R203" s="30">
        <v>5</v>
      </c>
      <c r="S203" s="30">
        <v>1.2</v>
      </c>
      <c r="T203" s="30">
        <v>0.75</v>
      </c>
      <c r="U203" s="31">
        <v>0</v>
      </c>
      <c r="V203" s="67">
        <v>0</v>
      </c>
      <c r="W203" s="67">
        <f>5*1.2*2.5</f>
        <v>15</v>
      </c>
      <c r="X203" s="67">
        <f>5+MAX($X$2,0.75)*5*$X$1</f>
        <v>29</v>
      </c>
      <c r="Y203" s="67" t="s">
        <v>2173</v>
      </c>
      <c r="Z203" s="67" t="s">
        <v>1803</v>
      </c>
      <c r="AB203" s="69" t="s">
        <v>1236</v>
      </c>
    </row>
    <row r="204" ht="52.8" spans="1:28">
      <c r="A204" s="29">
        <v>10020121</v>
      </c>
      <c r="B204" s="30">
        <v>5</v>
      </c>
      <c r="C204" s="63" t="s">
        <v>2174</v>
      </c>
      <c r="D204" s="64" t="s">
        <v>1801</v>
      </c>
      <c r="E204" s="65">
        <v>0</v>
      </c>
      <c r="F204" s="65">
        <v>0</v>
      </c>
      <c r="G204" s="30">
        <v>3</v>
      </c>
      <c r="H204" s="30">
        <v>0</v>
      </c>
      <c r="I204" s="30">
        <v>0</v>
      </c>
      <c r="J204" s="30">
        <v>0</v>
      </c>
      <c r="K204" s="30">
        <v>3</v>
      </c>
      <c r="L204" s="30" t="s">
        <v>1802</v>
      </c>
      <c r="M204" s="30">
        <v>0</v>
      </c>
      <c r="N204" s="30">
        <v>0</v>
      </c>
      <c r="O204" s="66">
        <v>0</v>
      </c>
      <c r="P204" s="30">
        <v>0</v>
      </c>
      <c r="Q204" s="30">
        <v>0</v>
      </c>
      <c r="R204" s="30">
        <v>0</v>
      </c>
      <c r="S204" s="30">
        <v>1</v>
      </c>
      <c r="T204" s="30">
        <v>0</v>
      </c>
      <c r="U204" s="31">
        <v>0</v>
      </c>
      <c r="V204" s="67">
        <v>0</v>
      </c>
      <c r="W204" s="67">
        <f>0*1*2.5</f>
        <v>0</v>
      </c>
      <c r="X204" s="67">
        <v>0</v>
      </c>
      <c r="Z204" s="67" t="s">
        <v>1803</v>
      </c>
      <c r="AB204" s="69" t="s">
        <v>1484</v>
      </c>
    </row>
    <row r="205" ht="52.8" spans="1:28">
      <c r="A205" s="29">
        <v>10020221</v>
      </c>
      <c r="B205" s="30">
        <v>4</v>
      </c>
      <c r="C205" s="63" t="s">
        <v>792</v>
      </c>
      <c r="D205" s="64" t="s">
        <v>1801</v>
      </c>
      <c r="E205" s="65">
        <v>0</v>
      </c>
      <c r="F205" s="65">
        <v>3</v>
      </c>
      <c r="G205" s="30">
        <v>3</v>
      </c>
      <c r="H205" s="30">
        <v>0</v>
      </c>
      <c r="I205" s="30">
        <v>0</v>
      </c>
      <c r="J205" s="30">
        <v>0</v>
      </c>
      <c r="K205" s="30">
        <v>0</v>
      </c>
      <c r="L205" s="30" t="s">
        <v>1802</v>
      </c>
      <c r="M205" s="30">
        <v>-3</v>
      </c>
      <c r="N205" s="30">
        <v>3</v>
      </c>
      <c r="O205" s="66">
        <v>0</v>
      </c>
      <c r="P205" s="30">
        <v>0</v>
      </c>
      <c r="Q205" s="30">
        <v>0</v>
      </c>
      <c r="R205" s="30">
        <v>0</v>
      </c>
      <c r="S205" s="30">
        <v>1</v>
      </c>
      <c r="T205" s="30">
        <v>0</v>
      </c>
      <c r="U205" s="31">
        <v>0</v>
      </c>
      <c r="V205" s="67">
        <v>0</v>
      </c>
      <c r="W205" s="67">
        <f>0*1*2.5</f>
        <v>0</v>
      </c>
      <c r="X205" s="67">
        <v>0</v>
      </c>
      <c r="Z205" s="67" t="s">
        <v>1803</v>
      </c>
      <c r="AB205" s="69" t="s">
        <v>789</v>
      </c>
    </row>
    <row r="206" ht="26.4" spans="1:29">
      <c r="A206" s="29">
        <v>10020321</v>
      </c>
      <c r="B206" s="30">
        <v>6</v>
      </c>
      <c r="C206" s="63" t="s">
        <v>2175</v>
      </c>
      <c r="D206" s="64" t="s">
        <v>1801</v>
      </c>
      <c r="E206" s="65">
        <v>0</v>
      </c>
      <c r="F206" s="65">
        <v>0</v>
      </c>
      <c r="G206" s="30">
        <v>0</v>
      </c>
      <c r="H206" s="30">
        <v>0</v>
      </c>
      <c r="I206" s="30">
        <v>0</v>
      </c>
      <c r="J206" s="30">
        <v>0</v>
      </c>
      <c r="K206" s="30">
        <v>-3</v>
      </c>
      <c r="L206" s="30" t="s">
        <v>1802</v>
      </c>
      <c r="M206" s="30">
        <v>-3</v>
      </c>
      <c r="N206" s="30">
        <v>0</v>
      </c>
      <c r="O206" s="66">
        <v>0</v>
      </c>
      <c r="P206" s="30">
        <v>0</v>
      </c>
      <c r="Q206" s="30">
        <v>0</v>
      </c>
      <c r="R206" s="30">
        <v>0</v>
      </c>
      <c r="S206" s="30">
        <v>1</v>
      </c>
      <c r="T206" s="30">
        <v>0</v>
      </c>
      <c r="U206" s="31">
        <v>0</v>
      </c>
      <c r="V206" s="67">
        <v>0</v>
      </c>
      <c r="W206" s="67">
        <f>0*1*2.5</f>
        <v>0</v>
      </c>
      <c r="X206" s="67">
        <v>0</v>
      </c>
      <c r="Y206" s="67" t="s">
        <v>2176</v>
      </c>
      <c r="Z206" s="67" t="s">
        <v>2177</v>
      </c>
      <c r="AB206" s="69" t="s">
        <v>2178</v>
      </c>
      <c r="AC206" s="69" t="s">
        <v>2179</v>
      </c>
    </row>
    <row r="207" ht="52.8" spans="1:28">
      <c r="A207" s="29">
        <v>10020421</v>
      </c>
      <c r="B207" s="30">
        <v>5</v>
      </c>
      <c r="C207" s="63" t="s">
        <v>2180</v>
      </c>
      <c r="D207" s="64" t="s">
        <v>1832</v>
      </c>
      <c r="E207" s="65">
        <v>0</v>
      </c>
      <c r="F207" s="65">
        <v>9</v>
      </c>
      <c r="G207" s="30">
        <v>0</v>
      </c>
      <c r="H207" s="30">
        <v>0</v>
      </c>
      <c r="I207" s="30">
        <v>0</v>
      </c>
      <c r="J207" s="30">
        <v>0</v>
      </c>
      <c r="K207" s="30">
        <v>2</v>
      </c>
      <c r="L207" s="30" t="s">
        <v>158</v>
      </c>
      <c r="M207" s="30">
        <v>0</v>
      </c>
      <c r="N207" s="30">
        <v>0</v>
      </c>
      <c r="O207" s="66">
        <v>0</v>
      </c>
      <c r="P207" s="30">
        <v>0</v>
      </c>
      <c r="Q207" s="30">
        <v>0</v>
      </c>
      <c r="R207" s="30">
        <v>3</v>
      </c>
      <c r="S207" s="30">
        <v>1.2</v>
      </c>
      <c r="T207" s="30">
        <v>0</v>
      </c>
      <c r="U207" s="31">
        <v>0</v>
      </c>
      <c r="V207" s="67">
        <v>0</v>
      </c>
      <c r="W207" s="67">
        <f>3*1.2*2.5</f>
        <v>9</v>
      </c>
      <c r="X207" s="67">
        <v>3</v>
      </c>
      <c r="Y207" s="67" t="s">
        <v>2112</v>
      </c>
      <c r="Z207" s="67" t="s">
        <v>1834</v>
      </c>
      <c r="AB207" s="69" t="s">
        <v>2181</v>
      </c>
    </row>
    <row r="208" ht="39.6" spans="1:28">
      <c r="A208" s="29">
        <v>10020521</v>
      </c>
      <c r="B208" s="30">
        <v>5</v>
      </c>
      <c r="C208" s="63" t="s">
        <v>2182</v>
      </c>
      <c r="D208" s="64" t="s">
        <v>1805</v>
      </c>
      <c r="E208" s="65">
        <v>0</v>
      </c>
      <c r="F208" s="65">
        <v>3</v>
      </c>
      <c r="G208" s="30">
        <v>0</v>
      </c>
      <c r="H208" s="30">
        <v>0</v>
      </c>
      <c r="I208" s="30">
        <v>0</v>
      </c>
      <c r="J208" s="30">
        <v>0</v>
      </c>
      <c r="K208" s="30">
        <v>0</v>
      </c>
      <c r="L208" s="30" t="s">
        <v>115</v>
      </c>
      <c r="M208" s="30">
        <v>0</v>
      </c>
      <c r="N208" s="30">
        <v>0</v>
      </c>
      <c r="O208" s="66">
        <v>0</v>
      </c>
      <c r="P208" s="30">
        <v>0</v>
      </c>
      <c r="Q208" s="30">
        <v>0</v>
      </c>
      <c r="R208" s="30">
        <v>6</v>
      </c>
      <c r="S208" s="30">
        <v>2.3</v>
      </c>
      <c r="T208" s="30">
        <v>0</v>
      </c>
      <c r="U208" s="31">
        <v>0</v>
      </c>
      <c r="V208" s="67">
        <v>0</v>
      </c>
      <c r="W208" s="67">
        <f>6*2.3*2.5</f>
        <v>34.5</v>
      </c>
      <c r="X208" s="67">
        <v>6</v>
      </c>
      <c r="Y208" s="67" t="s">
        <v>2183</v>
      </c>
      <c r="Z208" s="67" t="s">
        <v>1807</v>
      </c>
      <c r="AB208" s="69" t="s">
        <v>800</v>
      </c>
    </row>
    <row r="209" ht="39.6" spans="1:28">
      <c r="A209" s="29">
        <v>10020621</v>
      </c>
      <c r="B209" s="30">
        <v>2</v>
      </c>
      <c r="C209" s="63" t="s">
        <v>796</v>
      </c>
      <c r="D209" s="64" t="s">
        <v>1828</v>
      </c>
      <c r="E209" s="65">
        <v>0</v>
      </c>
      <c r="F209" s="65">
        <v>5</v>
      </c>
      <c r="G209" s="30">
        <v>0</v>
      </c>
      <c r="H209" s="30">
        <v>0</v>
      </c>
      <c r="I209" s="30">
        <v>0</v>
      </c>
      <c r="J209" s="30">
        <v>0</v>
      </c>
      <c r="K209" s="30">
        <v>1</v>
      </c>
      <c r="L209" s="30" t="s">
        <v>158</v>
      </c>
      <c r="M209" s="30">
        <v>0</v>
      </c>
      <c r="N209" s="30">
        <v>0</v>
      </c>
      <c r="O209" s="66">
        <v>0</v>
      </c>
      <c r="P209" s="30">
        <v>0</v>
      </c>
      <c r="Q209" s="30">
        <v>0</v>
      </c>
      <c r="R209" s="30">
        <v>0</v>
      </c>
      <c r="S209" s="30">
        <v>1</v>
      </c>
      <c r="T209" s="30">
        <v>0</v>
      </c>
      <c r="U209" s="31">
        <v>0</v>
      </c>
      <c r="V209" s="67">
        <v>0</v>
      </c>
      <c r="W209" s="67">
        <f>0*1*2.5</f>
        <v>0</v>
      </c>
      <c r="X209" s="67">
        <v>0</v>
      </c>
      <c r="Z209" s="67" t="s">
        <v>1829</v>
      </c>
      <c r="AB209" s="69" t="s">
        <v>795</v>
      </c>
    </row>
    <row r="210" ht="26.4" spans="1:28">
      <c r="A210" s="29">
        <v>10020721</v>
      </c>
      <c r="B210" s="30">
        <v>4</v>
      </c>
      <c r="C210" s="63" t="s">
        <v>2184</v>
      </c>
      <c r="D210" s="64" t="s">
        <v>1907</v>
      </c>
      <c r="E210" s="65">
        <v>0</v>
      </c>
      <c r="F210" s="65">
        <v>0</v>
      </c>
      <c r="G210" s="30">
        <v>0</v>
      </c>
      <c r="H210" s="30">
        <v>0</v>
      </c>
      <c r="I210" s="30">
        <v>4</v>
      </c>
      <c r="J210" s="30">
        <v>0</v>
      </c>
      <c r="K210" s="30">
        <v>0</v>
      </c>
      <c r="L210" s="30" t="s">
        <v>1802</v>
      </c>
      <c r="M210" s="30">
        <v>0</v>
      </c>
      <c r="N210" s="30">
        <v>0</v>
      </c>
      <c r="O210" s="66">
        <v>2</v>
      </c>
      <c r="P210" s="30">
        <v>0</v>
      </c>
      <c r="Q210" s="30">
        <v>0</v>
      </c>
      <c r="R210" s="30">
        <v>6</v>
      </c>
      <c r="S210" s="30">
        <v>1</v>
      </c>
      <c r="T210" s="30">
        <v>0</v>
      </c>
      <c r="U210" s="31">
        <v>0</v>
      </c>
      <c r="V210" s="67">
        <v>5</v>
      </c>
      <c r="W210" s="67">
        <f>6*1*2.5</f>
        <v>15</v>
      </c>
      <c r="X210" s="67">
        <v>6</v>
      </c>
      <c r="Y210" s="67" t="s">
        <v>1913</v>
      </c>
      <c r="Z210" s="67" t="s">
        <v>1909</v>
      </c>
      <c r="AA210" s="97">
        <v>0.021412037037037</v>
      </c>
      <c r="AB210" s="98" t="s">
        <v>2185</v>
      </c>
    </row>
    <row r="211" ht="39.6" spans="1:28">
      <c r="A211" s="29">
        <v>10020821</v>
      </c>
      <c r="B211" s="30">
        <v>5</v>
      </c>
      <c r="C211" s="63" t="s">
        <v>558</v>
      </c>
      <c r="D211" s="64" t="s">
        <v>1805</v>
      </c>
      <c r="E211" s="65">
        <v>0</v>
      </c>
      <c r="F211" s="65">
        <v>10</v>
      </c>
      <c r="G211" s="30">
        <v>0</v>
      </c>
      <c r="H211" s="30">
        <v>0</v>
      </c>
      <c r="I211" s="30">
        <v>0</v>
      </c>
      <c r="J211" s="30">
        <v>0</v>
      </c>
      <c r="K211" s="30">
        <v>-3</v>
      </c>
      <c r="L211" s="30" t="s">
        <v>158</v>
      </c>
      <c r="M211" s="30">
        <v>-3</v>
      </c>
      <c r="N211" s="30">
        <v>-3</v>
      </c>
      <c r="O211" s="66">
        <v>0</v>
      </c>
      <c r="P211" s="30">
        <v>0</v>
      </c>
      <c r="Q211" s="30">
        <v>0</v>
      </c>
      <c r="R211" s="30">
        <v>0</v>
      </c>
      <c r="S211" s="30">
        <v>1</v>
      </c>
      <c r="T211" s="30">
        <v>0</v>
      </c>
      <c r="U211" s="31">
        <v>0</v>
      </c>
      <c r="V211" s="67">
        <v>0</v>
      </c>
      <c r="W211" s="67">
        <f>0*1*2.5</f>
        <v>0</v>
      </c>
      <c r="X211" s="67">
        <v>0</v>
      </c>
      <c r="Z211" s="67" t="s">
        <v>1807</v>
      </c>
      <c r="AB211" s="69" t="s">
        <v>557</v>
      </c>
    </row>
    <row r="212" ht="39.6" spans="1:28">
      <c r="A212" s="29">
        <v>10020921</v>
      </c>
      <c r="B212" s="30">
        <v>4</v>
      </c>
      <c r="C212" s="63" t="s">
        <v>2186</v>
      </c>
      <c r="D212" s="64" t="s">
        <v>1952</v>
      </c>
      <c r="E212" s="65">
        <v>0</v>
      </c>
      <c r="F212" s="65">
        <v>0</v>
      </c>
      <c r="G212" s="30">
        <v>0</v>
      </c>
      <c r="H212" s="30">
        <v>0</v>
      </c>
      <c r="I212" s="30">
        <v>3</v>
      </c>
      <c r="J212" s="30">
        <v>8</v>
      </c>
      <c r="K212" s="30">
        <v>0</v>
      </c>
      <c r="L212" s="30" t="s">
        <v>1802</v>
      </c>
      <c r="M212" s="30">
        <v>2</v>
      </c>
      <c r="N212" s="30">
        <v>0</v>
      </c>
      <c r="O212" s="66">
        <v>0</v>
      </c>
      <c r="P212" s="30">
        <v>0</v>
      </c>
      <c r="Q212" s="30">
        <v>0</v>
      </c>
      <c r="R212" s="30">
        <v>0</v>
      </c>
      <c r="S212" s="30">
        <v>1</v>
      </c>
      <c r="T212" s="30">
        <v>0</v>
      </c>
      <c r="U212" s="31">
        <v>0</v>
      </c>
      <c r="V212" s="67">
        <v>5</v>
      </c>
      <c r="W212" s="67">
        <f>0*1*2.5</f>
        <v>0</v>
      </c>
      <c r="X212" s="67">
        <v>0</v>
      </c>
      <c r="Y212" s="67" t="s">
        <v>1913</v>
      </c>
      <c r="Z212" s="67" t="s">
        <v>1953</v>
      </c>
      <c r="AB212" s="69" t="s">
        <v>2187</v>
      </c>
    </row>
    <row r="213" ht="39.6" spans="1:28">
      <c r="A213" s="29">
        <v>10021021</v>
      </c>
      <c r="B213" s="30">
        <v>4</v>
      </c>
      <c r="C213" s="63" t="s">
        <v>2188</v>
      </c>
      <c r="D213" s="64" t="s">
        <v>1828</v>
      </c>
      <c r="E213" s="65">
        <v>0</v>
      </c>
      <c r="F213" s="65">
        <v>6</v>
      </c>
      <c r="G213" s="30">
        <v>0</v>
      </c>
      <c r="H213" s="30">
        <v>0</v>
      </c>
      <c r="I213" s="30">
        <v>0</v>
      </c>
      <c r="J213" s="30">
        <v>0</v>
      </c>
      <c r="K213" s="30">
        <v>1</v>
      </c>
      <c r="L213" s="30" t="s">
        <v>158</v>
      </c>
      <c r="M213" s="30">
        <v>0</v>
      </c>
      <c r="N213" s="30">
        <v>0</v>
      </c>
      <c r="O213" s="66">
        <v>0</v>
      </c>
      <c r="P213" s="30">
        <v>0</v>
      </c>
      <c r="Q213" s="30">
        <v>0</v>
      </c>
      <c r="R213" s="30">
        <v>3</v>
      </c>
      <c r="S213" s="30">
        <v>1.1</v>
      </c>
      <c r="T213" s="30">
        <v>0</v>
      </c>
      <c r="U213" s="31">
        <v>0</v>
      </c>
      <c r="V213" s="67">
        <v>0</v>
      </c>
      <c r="W213" s="67">
        <f>3*1.1*2.5</f>
        <v>8.25</v>
      </c>
      <c r="X213" s="67">
        <v>3</v>
      </c>
      <c r="Y213" s="67" t="s">
        <v>2121</v>
      </c>
      <c r="Z213" s="67" t="s">
        <v>1829</v>
      </c>
      <c r="AB213" s="69" t="s">
        <v>2187</v>
      </c>
    </row>
    <row r="214" ht="26.4" spans="1:28">
      <c r="A214" s="29">
        <v>10021121</v>
      </c>
      <c r="B214" s="30">
        <v>5</v>
      </c>
      <c r="C214" s="63" t="s">
        <v>2189</v>
      </c>
      <c r="D214" s="64" t="s">
        <v>1927</v>
      </c>
      <c r="E214" s="65">
        <v>0</v>
      </c>
      <c r="F214" s="65">
        <v>0</v>
      </c>
      <c r="G214" s="30">
        <v>0</v>
      </c>
      <c r="H214" s="30">
        <v>0</v>
      </c>
      <c r="I214" s="30">
        <v>0</v>
      </c>
      <c r="J214" s="30">
        <v>0</v>
      </c>
      <c r="K214" s="30">
        <v>0</v>
      </c>
      <c r="L214" s="30" t="s">
        <v>1802</v>
      </c>
      <c r="M214" s="30">
        <v>0</v>
      </c>
      <c r="N214" s="30">
        <v>0</v>
      </c>
      <c r="O214" s="66">
        <v>13</v>
      </c>
      <c r="P214" s="30">
        <v>0</v>
      </c>
      <c r="Q214" s="30">
        <v>0</v>
      </c>
      <c r="R214" s="30">
        <v>2</v>
      </c>
      <c r="S214" s="30">
        <v>1</v>
      </c>
      <c r="T214" s="30">
        <v>0</v>
      </c>
      <c r="U214" s="31">
        <v>0</v>
      </c>
      <c r="V214" s="67">
        <v>6</v>
      </c>
      <c r="W214" s="67">
        <f>2*1*2.5</f>
        <v>5</v>
      </c>
      <c r="X214" s="67">
        <v>2</v>
      </c>
      <c r="Y214" s="67" t="s">
        <v>1920</v>
      </c>
      <c r="Z214" s="67" t="s">
        <v>1909</v>
      </c>
      <c r="AB214" s="69" t="s">
        <v>2190</v>
      </c>
    </row>
    <row r="215" ht="26.4" spans="1:28">
      <c r="A215" s="29">
        <v>10021221</v>
      </c>
      <c r="B215" s="30">
        <v>5</v>
      </c>
      <c r="C215" s="63" t="s">
        <v>2191</v>
      </c>
      <c r="D215" s="64" t="s">
        <v>1940</v>
      </c>
      <c r="E215" s="65">
        <v>0</v>
      </c>
      <c r="F215" s="65">
        <v>0</v>
      </c>
      <c r="G215" s="30">
        <v>0</v>
      </c>
      <c r="H215" s="30">
        <v>10</v>
      </c>
      <c r="I215" s="30">
        <v>5</v>
      </c>
      <c r="J215" s="30">
        <v>0</v>
      </c>
      <c r="K215" s="30">
        <v>0</v>
      </c>
      <c r="L215" s="30" t="s">
        <v>1802</v>
      </c>
      <c r="M215" s="30">
        <v>0</v>
      </c>
      <c r="N215" s="30">
        <v>0</v>
      </c>
      <c r="O215" s="66">
        <v>0</v>
      </c>
      <c r="P215" s="30">
        <v>0</v>
      </c>
      <c r="Q215" s="30">
        <v>0</v>
      </c>
      <c r="R215" s="30">
        <v>1</v>
      </c>
      <c r="S215" s="30">
        <v>1</v>
      </c>
      <c r="T215" s="30">
        <v>0</v>
      </c>
      <c r="U215" s="31">
        <v>0</v>
      </c>
      <c r="V215" s="67">
        <v>5</v>
      </c>
      <c r="W215" s="67">
        <f>1*1*2.5</f>
        <v>2.5</v>
      </c>
      <c r="X215" s="67">
        <v>1</v>
      </c>
      <c r="Y215" s="67" t="s">
        <v>1913</v>
      </c>
      <c r="Z215" s="67" t="s">
        <v>1909</v>
      </c>
      <c r="AB215" s="69" t="s">
        <v>2192</v>
      </c>
    </row>
    <row r="216" ht="26.4" spans="1:28">
      <c r="A216" s="29">
        <v>10021321</v>
      </c>
      <c r="B216" s="30">
        <v>5</v>
      </c>
      <c r="C216" s="63" t="s">
        <v>1630</v>
      </c>
      <c r="D216" s="64" t="s">
        <v>14</v>
      </c>
      <c r="E216" s="65">
        <v>0</v>
      </c>
      <c r="F216" s="65">
        <v>0</v>
      </c>
      <c r="G216" s="30">
        <v>0</v>
      </c>
      <c r="H216" s="30">
        <v>15</v>
      </c>
      <c r="I216" s="30">
        <v>0</v>
      </c>
      <c r="J216" s="30">
        <v>0</v>
      </c>
      <c r="K216" s="30">
        <v>3</v>
      </c>
      <c r="L216" s="30" t="s">
        <v>1802</v>
      </c>
      <c r="M216" s="30">
        <v>0</v>
      </c>
      <c r="N216" s="30">
        <v>0</v>
      </c>
      <c r="O216" s="66">
        <v>0</v>
      </c>
      <c r="P216" s="30">
        <v>0</v>
      </c>
      <c r="Q216" s="30">
        <v>0</v>
      </c>
      <c r="R216" s="30">
        <v>0</v>
      </c>
      <c r="S216" s="30">
        <v>1</v>
      </c>
      <c r="T216" s="30">
        <v>0</v>
      </c>
      <c r="U216" s="31">
        <v>0</v>
      </c>
      <c r="V216" s="67">
        <v>0</v>
      </c>
      <c r="W216" s="67">
        <f>0*1*2.5</f>
        <v>0</v>
      </c>
      <c r="X216" s="67">
        <v>0</v>
      </c>
      <c r="Z216" s="67" t="s">
        <v>2101</v>
      </c>
      <c r="AB216" s="69" t="s">
        <v>2193</v>
      </c>
    </row>
    <row r="217" ht="26.4" spans="1:28">
      <c r="A217" s="29">
        <v>10021421</v>
      </c>
      <c r="B217" s="30">
        <v>5</v>
      </c>
      <c r="C217" s="63" t="s">
        <v>628</v>
      </c>
      <c r="D217" s="64" t="s">
        <v>1927</v>
      </c>
      <c r="E217" s="65">
        <v>0</v>
      </c>
      <c r="F217" s="65">
        <v>0</v>
      </c>
      <c r="G217" s="30">
        <v>0</v>
      </c>
      <c r="H217" s="30">
        <v>0</v>
      </c>
      <c r="I217" s="30">
        <v>1</v>
      </c>
      <c r="J217" s="30">
        <v>0</v>
      </c>
      <c r="K217" s="30">
        <v>0</v>
      </c>
      <c r="L217" s="30" t="s">
        <v>1802</v>
      </c>
      <c r="M217" s="30">
        <v>0</v>
      </c>
      <c r="N217" s="30">
        <v>0</v>
      </c>
      <c r="O217" s="66">
        <v>12</v>
      </c>
      <c r="P217" s="30">
        <v>0</v>
      </c>
      <c r="Q217" s="30">
        <v>0</v>
      </c>
      <c r="R217" s="30">
        <v>3</v>
      </c>
      <c r="S217" s="30">
        <v>1</v>
      </c>
      <c r="T217" s="30">
        <v>0</v>
      </c>
      <c r="U217" s="31">
        <v>0</v>
      </c>
      <c r="V217" s="67">
        <v>7</v>
      </c>
      <c r="W217" s="67">
        <f>3*1*2.5</f>
        <v>7.5</v>
      </c>
      <c r="X217" s="67">
        <v>3</v>
      </c>
      <c r="Y217" s="67" t="s">
        <v>2194</v>
      </c>
      <c r="Z217" s="67" t="s">
        <v>1909</v>
      </c>
      <c r="AA217" s="97">
        <v>0.0364583333333333</v>
      </c>
      <c r="AB217" s="98" t="s">
        <v>2195</v>
      </c>
    </row>
    <row r="218" ht="52.8" spans="1:29">
      <c r="A218" s="29">
        <v>10021521</v>
      </c>
      <c r="B218" s="30">
        <v>6</v>
      </c>
      <c r="C218" s="63" t="s">
        <v>2196</v>
      </c>
      <c r="D218" s="64" t="s">
        <v>1801</v>
      </c>
      <c r="E218" s="65">
        <v>1</v>
      </c>
      <c r="F218" s="65">
        <v>0</v>
      </c>
      <c r="G218" s="30">
        <v>0</v>
      </c>
      <c r="H218" s="30">
        <v>0</v>
      </c>
      <c r="I218" s="30">
        <v>0</v>
      </c>
      <c r="J218" s="30">
        <v>0</v>
      </c>
      <c r="K218" s="30">
        <v>0</v>
      </c>
      <c r="L218" s="30" t="s">
        <v>1802</v>
      </c>
      <c r="M218" s="30">
        <v>0</v>
      </c>
      <c r="N218" s="30">
        <v>-3</v>
      </c>
      <c r="O218" s="66">
        <v>0</v>
      </c>
      <c r="P218" s="30">
        <v>0</v>
      </c>
      <c r="Q218" s="30">
        <v>0</v>
      </c>
      <c r="R218" s="30">
        <v>0</v>
      </c>
      <c r="S218" s="30">
        <v>1</v>
      </c>
      <c r="T218" s="30">
        <v>0</v>
      </c>
      <c r="U218" s="31">
        <v>0</v>
      </c>
      <c r="V218" s="67">
        <v>0</v>
      </c>
      <c r="W218" s="67">
        <f>0*1*2.5</f>
        <v>0</v>
      </c>
      <c r="X218" s="67">
        <v>0</v>
      </c>
      <c r="Y218" s="67" t="s">
        <v>2197</v>
      </c>
      <c r="Z218" s="67" t="s">
        <v>1803</v>
      </c>
      <c r="AC218" s="69" t="s">
        <v>2198</v>
      </c>
    </row>
    <row r="219" ht="52.8" spans="1:29">
      <c r="A219" s="29">
        <v>10021621</v>
      </c>
      <c r="B219" s="30">
        <v>6</v>
      </c>
      <c r="C219" s="63" t="s">
        <v>2199</v>
      </c>
      <c r="D219" s="64" t="s">
        <v>1801</v>
      </c>
      <c r="E219" s="65">
        <v>-1</v>
      </c>
      <c r="F219" s="65">
        <v>0</v>
      </c>
      <c r="G219" s="30">
        <v>0</v>
      </c>
      <c r="H219" s="30">
        <v>0</v>
      </c>
      <c r="I219" s="30">
        <v>0</v>
      </c>
      <c r="J219" s="30">
        <v>0</v>
      </c>
      <c r="K219" s="30">
        <v>0</v>
      </c>
      <c r="L219" s="30" t="s">
        <v>1802</v>
      </c>
      <c r="M219" s="30">
        <v>0</v>
      </c>
      <c r="N219" s="30">
        <v>3</v>
      </c>
      <c r="O219" s="66">
        <v>0</v>
      </c>
      <c r="P219" s="30">
        <v>0</v>
      </c>
      <c r="Q219" s="30">
        <v>0</v>
      </c>
      <c r="R219" s="30">
        <v>0</v>
      </c>
      <c r="S219" s="30">
        <v>1</v>
      </c>
      <c r="T219" s="30">
        <v>0</v>
      </c>
      <c r="U219" s="31">
        <v>0</v>
      </c>
      <c r="V219" s="67">
        <v>0</v>
      </c>
      <c r="W219" s="67">
        <f>0*1*2.5</f>
        <v>0</v>
      </c>
      <c r="X219" s="67">
        <v>0</v>
      </c>
      <c r="Y219" s="67" t="s">
        <v>2200</v>
      </c>
      <c r="Z219" s="67" t="s">
        <v>1803</v>
      </c>
      <c r="AC219" s="69" t="s">
        <v>2201</v>
      </c>
    </row>
    <row r="220" ht="26.4" spans="1:29">
      <c r="A220" s="29">
        <v>10021721</v>
      </c>
      <c r="B220" s="30">
        <v>5</v>
      </c>
      <c r="C220" s="63" t="s">
        <v>2202</v>
      </c>
      <c r="D220" s="64" t="s">
        <v>1907</v>
      </c>
      <c r="E220" s="65">
        <v>0</v>
      </c>
      <c r="F220" s="65">
        <v>2</v>
      </c>
      <c r="G220" s="30">
        <v>0</v>
      </c>
      <c r="H220" s="30">
        <v>0</v>
      </c>
      <c r="I220" s="30">
        <v>0</v>
      </c>
      <c r="J220" s="30">
        <v>0</v>
      </c>
      <c r="K220" s="30">
        <v>5</v>
      </c>
      <c r="L220" s="30" t="s">
        <v>1802</v>
      </c>
      <c r="M220" s="30">
        <v>0</v>
      </c>
      <c r="N220" s="30">
        <v>0</v>
      </c>
      <c r="O220" s="66">
        <v>0</v>
      </c>
      <c r="P220" s="30">
        <v>0</v>
      </c>
      <c r="Q220" s="30">
        <v>0</v>
      </c>
      <c r="R220" s="30">
        <v>13</v>
      </c>
      <c r="S220" s="30">
        <v>1</v>
      </c>
      <c r="T220" s="30">
        <v>0</v>
      </c>
      <c r="U220" s="31">
        <v>0</v>
      </c>
      <c r="V220" s="67">
        <v>5</v>
      </c>
      <c r="W220" s="67">
        <f>13*1*2.5</f>
        <v>32.5</v>
      </c>
      <c r="X220" s="67">
        <v>13</v>
      </c>
      <c r="Y220" s="67" t="s">
        <v>1913</v>
      </c>
      <c r="Z220" s="67" t="s">
        <v>1909</v>
      </c>
      <c r="AC220" s="69" t="s">
        <v>2203</v>
      </c>
    </row>
    <row r="221" ht="26.4" spans="1:29">
      <c r="A221" s="29">
        <v>10021821</v>
      </c>
      <c r="B221" s="30">
        <v>5</v>
      </c>
      <c r="C221" s="63" t="s">
        <v>2204</v>
      </c>
      <c r="D221" s="64" t="s">
        <v>1907</v>
      </c>
      <c r="E221" s="65">
        <v>0</v>
      </c>
      <c r="F221" s="65">
        <v>0</v>
      </c>
      <c r="G221" s="30">
        <v>0</v>
      </c>
      <c r="H221" s="30">
        <v>0</v>
      </c>
      <c r="I221" s="30">
        <v>0</v>
      </c>
      <c r="J221" s="30">
        <v>0</v>
      </c>
      <c r="K221" s="30">
        <v>3</v>
      </c>
      <c r="L221" s="30" t="s">
        <v>1802</v>
      </c>
      <c r="M221" s="30">
        <v>3</v>
      </c>
      <c r="N221" s="30">
        <v>0</v>
      </c>
      <c r="O221" s="66">
        <v>0</v>
      </c>
      <c r="P221" s="30">
        <v>0</v>
      </c>
      <c r="Q221" s="30">
        <v>0</v>
      </c>
      <c r="R221" s="30">
        <v>12</v>
      </c>
      <c r="S221" s="30">
        <v>1</v>
      </c>
      <c r="T221" s="30">
        <v>0</v>
      </c>
      <c r="U221" s="31">
        <v>0</v>
      </c>
      <c r="V221" s="67">
        <v>5</v>
      </c>
      <c r="W221" s="67">
        <f>12*1*2.5</f>
        <v>30</v>
      </c>
      <c r="X221" s="67">
        <v>12</v>
      </c>
      <c r="Y221" s="67" t="s">
        <v>1913</v>
      </c>
      <c r="Z221" s="67" t="s">
        <v>1909</v>
      </c>
      <c r="AC221" s="69" t="s">
        <v>2205</v>
      </c>
    </row>
    <row r="222" ht="26.4" spans="1:29">
      <c r="A222" s="29">
        <v>10021921</v>
      </c>
      <c r="B222" s="30">
        <v>5</v>
      </c>
      <c r="C222" s="63" t="s">
        <v>2206</v>
      </c>
      <c r="D222" s="64" t="s">
        <v>1927</v>
      </c>
      <c r="E222" s="65">
        <v>0</v>
      </c>
      <c r="F222" s="65">
        <v>0</v>
      </c>
      <c r="G222" s="30">
        <v>0</v>
      </c>
      <c r="H222" s="30">
        <v>0</v>
      </c>
      <c r="I222" s="30">
        <v>3</v>
      </c>
      <c r="J222" s="30">
        <v>0</v>
      </c>
      <c r="K222" s="30">
        <v>2</v>
      </c>
      <c r="L222" s="30" t="s">
        <v>1802</v>
      </c>
      <c r="M222" s="30">
        <v>3</v>
      </c>
      <c r="N222" s="30">
        <v>1</v>
      </c>
      <c r="O222" s="66">
        <v>10</v>
      </c>
      <c r="P222" s="30">
        <v>0</v>
      </c>
      <c r="Q222" s="30">
        <v>0</v>
      </c>
      <c r="R222" s="30">
        <v>0</v>
      </c>
      <c r="S222" s="30">
        <v>1</v>
      </c>
      <c r="T222" s="30">
        <v>0</v>
      </c>
      <c r="U222" s="31">
        <v>0</v>
      </c>
      <c r="V222" s="67">
        <v>5</v>
      </c>
      <c r="W222" s="67">
        <f>0*1*2.5</f>
        <v>0</v>
      </c>
      <c r="X222" s="67">
        <v>0</v>
      </c>
      <c r="Y222" s="67" t="s">
        <v>1913</v>
      </c>
      <c r="Z222" s="67" t="s">
        <v>1909</v>
      </c>
      <c r="AC222" s="69" t="s">
        <v>2207</v>
      </c>
    </row>
    <row r="223" ht="26.4" spans="1:29">
      <c r="A223" s="29">
        <v>10022021</v>
      </c>
      <c r="B223" s="30">
        <v>5</v>
      </c>
      <c r="C223" s="63" t="s">
        <v>2208</v>
      </c>
      <c r="D223" s="64" t="s">
        <v>1907</v>
      </c>
      <c r="E223" s="65">
        <v>0</v>
      </c>
      <c r="F223" s="65">
        <v>0</v>
      </c>
      <c r="G223" s="30">
        <v>0</v>
      </c>
      <c r="H223" s="30">
        <v>0</v>
      </c>
      <c r="I223" s="30">
        <v>0</v>
      </c>
      <c r="J223" s="30">
        <v>0</v>
      </c>
      <c r="K223" s="30">
        <v>3</v>
      </c>
      <c r="L223" s="30" t="s">
        <v>1802</v>
      </c>
      <c r="M223" s="30">
        <v>0</v>
      </c>
      <c r="N223" s="30">
        <v>3</v>
      </c>
      <c r="O223" s="66">
        <v>0</v>
      </c>
      <c r="P223" s="30">
        <v>0</v>
      </c>
      <c r="Q223" s="30">
        <v>0</v>
      </c>
      <c r="R223" s="30">
        <v>12</v>
      </c>
      <c r="S223" s="30">
        <v>1</v>
      </c>
      <c r="T223" s="30">
        <v>0</v>
      </c>
      <c r="U223" s="31">
        <v>0</v>
      </c>
      <c r="V223" s="67">
        <v>5</v>
      </c>
      <c r="W223" s="67">
        <f>12*1*2.5</f>
        <v>30</v>
      </c>
      <c r="X223" s="67">
        <v>12</v>
      </c>
      <c r="Y223" s="67" t="s">
        <v>1913</v>
      </c>
      <c r="Z223" s="67" t="s">
        <v>1909</v>
      </c>
      <c r="AC223" s="69" t="s">
        <v>2207</v>
      </c>
    </row>
    <row r="224" ht="26.4" spans="1:29">
      <c r="A224" s="29">
        <v>10022121</v>
      </c>
      <c r="B224" s="30">
        <v>5</v>
      </c>
      <c r="C224" s="63" t="s">
        <v>2209</v>
      </c>
      <c r="D224" s="64" t="s">
        <v>1907</v>
      </c>
      <c r="E224" s="65">
        <v>0</v>
      </c>
      <c r="F224" s="65">
        <v>0</v>
      </c>
      <c r="G224" s="30">
        <v>0</v>
      </c>
      <c r="H224" s="30">
        <v>0</v>
      </c>
      <c r="I224" s="30">
        <v>0</v>
      </c>
      <c r="J224" s="30">
        <v>0</v>
      </c>
      <c r="K224" s="30">
        <v>0</v>
      </c>
      <c r="L224" s="30" t="s">
        <v>1802</v>
      </c>
      <c r="M224" s="30">
        <v>2</v>
      </c>
      <c r="N224" s="30">
        <v>3</v>
      </c>
      <c r="O224" s="66">
        <v>0</v>
      </c>
      <c r="P224" s="30">
        <v>0</v>
      </c>
      <c r="Q224" s="30">
        <v>0</v>
      </c>
      <c r="R224" s="30">
        <v>13</v>
      </c>
      <c r="S224" s="30">
        <v>1</v>
      </c>
      <c r="T224" s="30">
        <v>0</v>
      </c>
      <c r="U224" s="31">
        <v>0</v>
      </c>
      <c r="V224" s="67">
        <v>5</v>
      </c>
      <c r="W224" s="67">
        <f>13*1*2.5</f>
        <v>32.5</v>
      </c>
      <c r="X224" s="67">
        <v>13</v>
      </c>
      <c r="Y224" s="67" t="s">
        <v>1913</v>
      </c>
      <c r="Z224" s="67" t="s">
        <v>1909</v>
      </c>
      <c r="AC224" s="69" t="s">
        <v>2207</v>
      </c>
    </row>
    <row r="225" ht="26.4" spans="1:29">
      <c r="A225" s="29">
        <v>10022221</v>
      </c>
      <c r="B225" s="30">
        <v>6</v>
      </c>
      <c r="C225" s="63" t="s">
        <v>2210</v>
      </c>
      <c r="D225" s="64" t="s">
        <v>1845</v>
      </c>
      <c r="E225" s="65">
        <v>0</v>
      </c>
      <c r="F225" s="65">
        <v>32</v>
      </c>
      <c r="G225" s="30">
        <v>0</v>
      </c>
      <c r="H225" s="30">
        <v>0</v>
      </c>
      <c r="I225" s="30">
        <v>0</v>
      </c>
      <c r="J225" s="30">
        <v>0</v>
      </c>
      <c r="K225" s="30">
        <v>0</v>
      </c>
      <c r="L225" s="30" t="s">
        <v>1022</v>
      </c>
      <c r="M225" s="30">
        <v>-3</v>
      </c>
      <c r="N225" s="30">
        <v>0</v>
      </c>
      <c r="O225" s="66">
        <v>0</v>
      </c>
      <c r="P225" s="30">
        <v>0</v>
      </c>
      <c r="Q225" s="30">
        <v>0</v>
      </c>
      <c r="R225" s="30">
        <v>0</v>
      </c>
      <c r="S225" s="30">
        <v>1</v>
      </c>
      <c r="T225" s="30">
        <v>0</v>
      </c>
      <c r="U225" s="31">
        <v>0</v>
      </c>
      <c r="V225" s="67">
        <v>0</v>
      </c>
      <c r="W225" s="67">
        <f>0*1*2.5</f>
        <v>0</v>
      </c>
      <c r="X225" s="67">
        <v>0</v>
      </c>
      <c r="Z225" s="67" t="s">
        <v>1846</v>
      </c>
      <c r="AC225" s="69" t="s">
        <v>2211</v>
      </c>
    </row>
    <row r="226" ht="39.6" spans="1:29">
      <c r="A226" s="29">
        <v>10022321</v>
      </c>
      <c r="B226" s="30">
        <v>5</v>
      </c>
      <c r="C226" s="63" t="s">
        <v>2212</v>
      </c>
      <c r="D226" s="64" t="s">
        <v>1881</v>
      </c>
      <c r="E226" s="65">
        <v>0</v>
      </c>
      <c r="F226" s="65">
        <v>2</v>
      </c>
      <c r="G226" s="30">
        <v>0</v>
      </c>
      <c r="H226" s="30">
        <v>0</v>
      </c>
      <c r="I226" s="30">
        <v>0</v>
      </c>
      <c r="J226" s="30">
        <v>0</v>
      </c>
      <c r="K226" s="30">
        <v>3</v>
      </c>
      <c r="L226" s="30" t="s">
        <v>115</v>
      </c>
      <c r="M226" s="30">
        <v>0</v>
      </c>
      <c r="N226" s="30">
        <v>0</v>
      </c>
      <c r="O226" s="66">
        <v>0</v>
      </c>
      <c r="P226" s="30">
        <v>0</v>
      </c>
      <c r="Q226" s="30">
        <v>0</v>
      </c>
      <c r="R226" s="30">
        <v>9</v>
      </c>
      <c r="S226" s="30">
        <v>2.9</v>
      </c>
      <c r="T226" s="30">
        <v>0.45</v>
      </c>
      <c r="U226" s="31">
        <v>0</v>
      </c>
      <c r="V226" s="67">
        <v>0</v>
      </c>
      <c r="W226" s="67">
        <f>9*2.9*2.5</f>
        <v>65.25</v>
      </c>
      <c r="X226" s="67">
        <f>9+MAX($X$2,0.45)*9*$X$1</f>
        <v>52.2</v>
      </c>
      <c r="Y226" s="67" t="s">
        <v>2213</v>
      </c>
      <c r="Z226" s="67" t="s">
        <v>1883</v>
      </c>
      <c r="AC226" s="69" t="s">
        <v>2203</v>
      </c>
    </row>
    <row r="227" ht="26.4" spans="1:29">
      <c r="A227" s="29">
        <v>10022421</v>
      </c>
      <c r="B227" s="30">
        <v>6</v>
      </c>
      <c r="C227" s="63" t="s">
        <v>2214</v>
      </c>
      <c r="D227" s="64" t="s">
        <v>1845</v>
      </c>
      <c r="E227" s="65">
        <v>0</v>
      </c>
      <c r="F227" s="65">
        <v>28</v>
      </c>
      <c r="G227" s="30">
        <v>0</v>
      </c>
      <c r="H227" s="30">
        <v>0</v>
      </c>
      <c r="I227" s="30">
        <v>0</v>
      </c>
      <c r="J227" s="30">
        <v>0</v>
      </c>
      <c r="K227" s="30">
        <v>1</v>
      </c>
      <c r="L227" s="30" t="s">
        <v>1022</v>
      </c>
      <c r="M227" s="30">
        <v>0</v>
      </c>
      <c r="N227" s="30">
        <v>0</v>
      </c>
      <c r="O227" s="66">
        <v>0</v>
      </c>
      <c r="P227" s="30">
        <v>0</v>
      </c>
      <c r="Q227" s="30">
        <v>0</v>
      </c>
      <c r="R227" s="30">
        <v>0</v>
      </c>
      <c r="S227" s="30">
        <v>1</v>
      </c>
      <c r="T227" s="30">
        <v>0</v>
      </c>
      <c r="U227" s="31">
        <v>0</v>
      </c>
      <c r="V227" s="67">
        <v>0</v>
      </c>
      <c r="W227" s="67">
        <f>0*1*2.5</f>
        <v>0</v>
      </c>
      <c r="X227" s="67">
        <v>0</v>
      </c>
      <c r="Z227" s="67" t="s">
        <v>1846</v>
      </c>
      <c r="AB227" s="69" t="s">
        <v>2215</v>
      </c>
      <c r="AC227" s="69" t="s">
        <v>2216</v>
      </c>
    </row>
    <row r="228" ht="39.6" spans="1:29">
      <c r="A228" s="29">
        <v>10022521</v>
      </c>
      <c r="B228" s="30">
        <v>6</v>
      </c>
      <c r="C228" s="63" t="s">
        <v>2217</v>
      </c>
      <c r="D228" s="64" t="s">
        <v>14</v>
      </c>
      <c r="E228" s="65">
        <v>0</v>
      </c>
      <c r="F228" s="65">
        <v>0</v>
      </c>
      <c r="G228" s="30">
        <v>0</v>
      </c>
      <c r="H228" s="30">
        <v>15</v>
      </c>
      <c r="I228" s="30">
        <v>0</v>
      </c>
      <c r="J228" s="30">
        <v>0</v>
      </c>
      <c r="K228" s="30">
        <v>0</v>
      </c>
      <c r="L228" s="30" t="s">
        <v>1802</v>
      </c>
      <c r="M228" s="30">
        <v>0</v>
      </c>
      <c r="N228" s="30">
        <v>0</v>
      </c>
      <c r="O228" s="66">
        <v>0</v>
      </c>
      <c r="P228" s="30">
        <v>0</v>
      </c>
      <c r="Q228" s="30">
        <v>0</v>
      </c>
      <c r="R228" s="30">
        <v>0</v>
      </c>
      <c r="S228" s="30">
        <v>1</v>
      </c>
      <c r="T228" s="30">
        <v>0</v>
      </c>
      <c r="U228" s="31">
        <v>0</v>
      </c>
      <c r="V228" s="67">
        <v>0</v>
      </c>
      <c r="W228" s="67">
        <f>0*1*2.5</f>
        <v>0</v>
      </c>
      <c r="X228" s="67">
        <v>0</v>
      </c>
      <c r="Z228" s="67" t="s">
        <v>1980</v>
      </c>
      <c r="AB228" s="69" t="s">
        <v>2218</v>
      </c>
      <c r="AC228" s="69" t="s">
        <v>2203</v>
      </c>
    </row>
    <row r="229" ht="26.4" spans="1:29">
      <c r="A229" s="29">
        <v>10022621</v>
      </c>
      <c r="B229" s="30">
        <v>5</v>
      </c>
      <c r="C229" s="63" t="s">
        <v>2219</v>
      </c>
      <c r="D229" s="64" t="s">
        <v>1845</v>
      </c>
      <c r="E229" s="65">
        <v>0</v>
      </c>
      <c r="F229" s="65">
        <v>27</v>
      </c>
      <c r="G229" s="30">
        <v>0</v>
      </c>
      <c r="H229" s="30">
        <v>0</v>
      </c>
      <c r="I229" s="30">
        <v>0</v>
      </c>
      <c r="J229" s="30">
        <v>0</v>
      </c>
      <c r="K229" s="30">
        <v>0</v>
      </c>
      <c r="L229" s="30" t="s">
        <v>1022</v>
      </c>
      <c r="M229" s="30">
        <v>0</v>
      </c>
      <c r="N229" s="30">
        <v>0</v>
      </c>
      <c r="O229" s="66">
        <v>0</v>
      </c>
      <c r="P229" s="30">
        <v>0</v>
      </c>
      <c r="Q229" s="30">
        <v>0</v>
      </c>
      <c r="R229" s="30">
        <v>5</v>
      </c>
      <c r="S229" s="30">
        <v>1</v>
      </c>
      <c r="T229" s="30">
        <v>0.25</v>
      </c>
      <c r="U229" s="31">
        <v>0</v>
      </c>
      <c r="V229" s="67">
        <v>0</v>
      </c>
      <c r="W229" s="67">
        <f>5*1*2.5</f>
        <v>12.5</v>
      </c>
      <c r="X229" s="67">
        <f>5+MAX($X$2,0.25)*5*$X$1</f>
        <v>29</v>
      </c>
      <c r="Y229" s="67" t="s">
        <v>1851</v>
      </c>
      <c r="Z229" s="67" t="s">
        <v>1846</v>
      </c>
      <c r="AC229" s="69" t="s">
        <v>2203</v>
      </c>
    </row>
    <row r="230" ht="39.6" spans="1:28">
      <c r="A230" s="29">
        <v>10022721</v>
      </c>
      <c r="B230" s="30">
        <v>4</v>
      </c>
      <c r="C230" s="63" t="s">
        <v>2220</v>
      </c>
      <c r="D230" s="64" t="s">
        <v>14</v>
      </c>
      <c r="E230" s="65">
        <v>0</v>
      </c>
      <c r="F230" s="65">
        <v>0</v>
      </c>
      <c r="G230" s="30">
        <v>0</v>
      </c>
      <c r="H230" s="30">
        <v>8</v>
      </c>
      <c r="I230" s="30">
        <v>0</v>
      </c>
      <c r="J230" s="30">
        <v>0</v>
      </c>
      <c r="K230" s="30">
        <v>0</v>
      </c>
      <c r="L230" s="30" t="s">
        <v>1802</v>
      </c>
      <c r="M230" s="30">
        <v>0</v>
      </c>
      <c r="N230" s="30">
        <v>0</v>
      </c>
      <c r="O230" s="66">
        <v>0</v>
      </c>
      <c r="P230" s="30">
        <v>0</v>
      </c>
      <c r="Q230" s="30">
        <v>0</v>
      </c>
      <c r="R230" s="30">
        <v>0</v>
      </c>
      <c r="S230" s="30">
        <v>1</v>
      </c>
      <c r="T230" s="30">
        <v>0</v>
      </c>
      <c r="U230" s="31">
        <v>0</v>
      </c>
      <c r="V230" s="67">
        <v>0</v>
      </c>
      <c r="W230" s="67">
        <f>0*1*2.5</f>
        <v>0</v>
      </c>
      <c r="X230" s="67">
        <v>0</v>
      </c>
      <c r="Z230" s="67" t="s">
        <v>1980</v>
      </c>
      <c r="AB230" s="69" t="s">
        <v>2221</v>
      </c>
    </row>
    <row r="231" ht="52.8" spans="1:28">
      <c r="A231" s="29">
        <v>10022821</v>
      </c>
      <c r="B231" s="30">
        <v>5</v>
      </c>
      <c r="C231" s="63" t="s">
        <v>2222</v>
      </c>
      <c r="D231" s="64" t="s">
        <v>1801</v>
      </c>
      <c r="E231" s="65">
        <v>0</v>
      </c>
      <c r="F231" s="65">
        <v>0</v>
      </c>
      <c r="G231" s="30">
        <v>3</v>
      </c>
      <c r="H231" s="30">
        <v>0</v>
      </c>
      <c r="I231" s="30">
        <v>0</v>
      </c>
      <c r="J231" s="30">
        <v>0</v>
      </c>
      <c r="K231" s="30">
        <v>0</v>
      </c>
      <c r="L231" s="30" t="s">
        <v>1802</v>
      </c>
      <c r="M231" s="30">
        <v>-1</v>
      </c>
      <c r="N231" s="30">
        <v>3</v>
      </c>
      <c r="O231" s="66">
        <v>0</v>
      </c>
      <c r="P231" s="30">
        <v>0</v>
      </c>
      <c r="Q231" s="30">
        <v>0</v>
      </c>
      <c r="R231" s="30">
        <v>0</v>
      </c>
      <c r="S231" s="30">
        <v>1</v>
      </c>
      <c r="T231" s="30">
        <v>0</v>
      </c>
      <c r="U231" s="31">
        <v>0</v>
      </c>
      <c r="V231" s="67">
        <v>0</v>
      </c>
      <c r="W231" s="67">
        <f>0*1*2.5</f>
        <v>0</v>
      </c>
      <c r="X231" s="67">
        <v>0</v>
      </c>
      <c r="Z231" s="67" t="s">
        <v>1803</v>
      </c>
      <c r="AB231" s="69" t="s">
        <v>1583</v>
      </c>
    </row>
    <row r="232" ht="66" spans="1:28">
      <c r="A232" s="29">
        <v>10022921</v>
      </c>
      <c r="B232" s="30">
        <v>6</v>
      </c>
      <c r="C232" s="63" t="s">
        <v>1731</v>
      </c>
      <c r="D232" s="64" t="s">
        <v>14</v>
      </c>
      <c r="E232" s="65">
        <v>0</v>
      </c>
      <c r="F232" s="65">
        <v>0</v>
      </c>
      <c r="G232" s="30">
        <v>0</v>
      </c>
      <c r="H232" s="30">
        <v>12</v>
      </c>
      <c r="I232" s="30">
        <v>0</v>
      </c>
      <c r="J232" s="30">
        <v>0</v>
      </c>
      <c r="K232" s="30">
        <v>6</v>
      </c>
      <c r="L232" s="30" t="s">
        <v>1802</v>
      </c>
      <c r="M232" s="30">
        <v>3</v>
      </c>
      <c r="N232" s="30">
        <v>0</v>
      </c>
      <c r="O232" s="66">
        <v>0</v>
      </c>
      <c r="P232" s="30">
        <v>0</v>
      </c>
      <c r="Q232" s="30">
        <v>0</v>
      </c>
      <c r="R232" s="30">
        <v>0</v>
      </c>
      <c r="S232" s="30">
        <v>1</v>
      </c>
      <c r="T232" s="30">
        <v>0</v>
      </c>
      <c r="U232" s="31">
        <v>0</v>
      </c>
      <c r="V232" s="67">
        <v>0</v>
      </c>
      <c r="W232" s="67">
        <f>0*1*2.5</f>
        <v>0</v>
      </c>
      <c r="X232" s="67">
        <v>0</v>
      </c>
      <c r="Z232" s="67" t="s">
        <v>2101</v>
      </c>
      <c r="AB232" s="69" t="s">
        <v>2223</v>
      </c>
    </row>
    <row r="233" ht="52.8" spans="1:29">
      <c r="A233" s="29">
        <v>10023021</v>
      </c>
      <c r="B233" s="30">
        <v>6</v>
      </c>
      <c r="C233" s="63" t="s">
        <v>2224</v>
      </c>
      <c r="D233" s="64" t="s">
        <v>1927</v>
      </c>
      <c r="E233" s="65">
        <v>0</v>
      </c>
      <c r="F233" s="65">
        <v>0</v>
      </c>
      <c r="G233" s="30">
        <v>0</v>
      </c>
      <c r="H233" s="30">
        <v>0</v>
      </c>
      <c r="I233" s="30">
        <v>5</v>
      </c>
      <c r="J233" s="30">
        <v>0</v>
      </c>
      <c r="K233" s="30">
        <v>0</v>
      </c>
      <c r="L233" s="30" t="s">
        <v>1802</v>
      </c>
      <c r="M233" s="30">
        <v>0</v>
      </c>
      <c r="N233" s="30">
        <v>0</v>
      </c>
      <c r="O233" s="66">
        <v>21</v>
      </c>
      <c r="P233" s="30">
        <v>0</v>
      </c>
      <c r="Q233" s="30">
        <v>0</v>
      </c>
      <c r="R233" s="30">
        <v>0</v>
      </c>
      <c r="S233" s="30">
        <v>1</v>
      </c>
      <c r="T233" s="30">
        <v>0</v>
      </c>
      <c r="U233" s="31">
        <v>0</v>
      </c>
      <c r="V233" s="67">
        <v>15</v>
      </c>
      <c r="W233" s="67">
        <f>0*1*2.5</f>
        <v>0</v>
      </c>
      <c r="X233" s="67">
        <v>0</v>
      </c>
      <c r="Y233" s="67" t="s">
        <v>2049</v>
      </c>
      <c r="Z233" s="67" t="s">
        <v>1909</v>
      </c>
      <c r="AB233" s="69" t="s">
        <v>2225</v>
      </c>
      <c r="AC233" s="69" t="s">
        <v>2226</v>
      </c>
    </row>
    <row r="234" ht="52.8" spans="1:29">
      <c r="A234" s="29">
        <v>10023121</v>
      </c>
      <c r="B234" s="30">
        <v>6</v>
      </c>
      <c r="C234" s="63" t="s">
        <v>2227</v>
      </c>
      <c r="D234" s="64" t="s">
        <v>1801</v>
      </c>
      <c r="E234" s="65">
        <v>0</v>
      </c>
      <c r="F234" s="65">
        <v>3</v>
      </c>
      <c r="G234" s="30">
        <v>3</v>
      </c>
      <c r="H234" s="30">
        <v>0</v>
      </c>
      <c r="I234" s="30">
        <v>3</v>
      </c>
      <c r="J234" s="30">
        <v>3</v>
      </c>
      <c r="K234" s="30">
        <v>3</v>
      </c>
      <c r="L234" s="30" t="s">
        <v>1802</v>
      </c>
      <c r="M234" s="30">
        <v>3</v>
      </c>
      <c r="N234" s="30">
        <v>3</v>
      </c>
      <c r="O234" s="66">
        <v>3</v>
      </c>
      <c r="P234" s="30">
        <v>0</v>
      </c>
      <c r="Q234" s="30">
        <v>0</v>
      </c>
      <c r="R234" s="30">
        <v>3</v>
      </c>
      <c r="S234" s="30">
        <v>1</v>
      </c>
      <c r="T234" s="30">
        <v>0</v>
      </c>
      <c r="U234" s="31">
        <v>0</v>
      </c>
      <c r="V234" s="67">
        <v>0</v>
      </c>
      <c r="W234" s="67">
        <f>3*1*2.5</f>
        <v>7.5</v>
      </c>
      <c r="X234" s="67">
        <v>3</v>
      </c>
      <c r="Z234" s="67" t="s">
        <v>1803</v>
      </c>
      <c r="AC234" s="69" t="s">
        <v>2228</v>
      </c>
    </row>
    <row r="235" ht="26.4" spans="1:28">
      <c r="A235" s="29">
        <v>10023221</v>
      </c>
      <c r="B235" s="30">
        <v>6</v>
      </c>
      <c r="C235" s="63" t="s">
        <v>2229</v>
      </c>
      <c r="D235" s="64" t="s">
        <v>1845</v>
      </c>
      <c r="E235" s="65">
        <v>0</v>
      </c>
      <c r="F235" s="65">
        <v>25</v>
      </c>
      <c r="G235" s="30">
        <v>0</v>
      </c>
      <c r="H235" s="30">
        <v>0</v>
      </c>
      <c r="I235" s="30">
        <v>0</v>
      </c>
      <c r="J235" s="30">
        <v>0</v>
      </c>
      <c r="K235" s="30">
        <v>3</v>
      </c>
      <c r="L235" s="30" t="s">
        <v>1022</v>
      </c>
      <c r="M235" s="30">
        <v>0</v>
      </c>
      <c r="N235" s="30">
        <v>0</v>
      </c>
      <c r="O235" s="66">
        <v>0</v>
      </c>
      <c r="P235" s="30">
        <v>0</v>
      </c>
      <c r="Q235" s="30">
        <v>0</v>
      </c>
      <c r="R235" s="30">
        <v>0</v>
      </c>
      <c r="S235" s="30">
        <v>1</v>
      </c>
      <c r="T235" s="30">
        <v>0</v>
      </c>
      <c r="U235" s="31">
        <v>0</v>
      </c>
      <c r="V235" s="67">
        <v>0</v>
      </c>
      <c r="W235" s="67">
        <f>0*1*2.5</f>
        <v>0</v>
      </c>
      <c r="X235" s="67">
        <v>0</v>
      </c>
      <c r="Y235" s="67" t="s">
        <v>2230</v>
      </c>
      <c r="Z235" s="67" t="s">
        <v>2231</v>
      </c>
      <c r="AB235" s="69" t="s">
        <v>2232</v>
      </c>
    </row>
    <row r="236" ht="39.6" spans="1:28">
      <c r="A236" s="29">
        <v>10023321</v>
      </c>
      <c r="B236" s="30">
        <v>4</v>
      </c>
      <c r="C236" s="63" t="s">
        <v>2233</v>
      </c>
      <c r="D236" s="64" t="s">
        <v>1927</v>
      </c>
      <c r="E236" s="65">
        <v>0</v>
      </c>
      <c r="F236" s="65">
        <v>0</v>
      </c>
      <c r="G236" s="30">
        <v>0</v>
      </c>
      <c r="H236" s="30">
        <v>0</v>
      </c>
      <c r="I236" s="30">
        <v>0</v>
      </c>
      <c r="J236" s="30">
        <v>0</v>
      </c>
      <c r="K236" s="30">
        <v>0</v>
      </c>
      <c r="L236" s="30" t="s">
        <v>1802</v>
      </c>
      <c r="M236" s="30">
        <v>0</v>
      </c>
      <c r="N236" s="30">
        <v>0</v>
      </c>
      <c r="O236" s="66">
        <v>7</v>
      </c>
      <c r="P236" s="30">
        <v>0</v>
      </c>
      <c r="Q236" s="30">
        <v>0</v>
      </c>
      <c r="R236" s="30">
        <v>0</v>
      </c>
      <c r="S236" s="30">
        <v>1</v>
      </c>
      <c r="T236" s="30">
        <v>0</v>
      </c>
      <c r="U236" s="31">
        <v>0</v>
      </c>
      <c r="V236" s="67">
        <v>4</v>
      </c>
      <c r="W236" s="67">
        <f>0*1*2.5</f>
        <v>0</v>
      </c>
      <c r="X236" s="67">
        <v>0</v>
      </c>
      <c r="Y236" s="67" t="s">
        <v>2234</v>
      </c>
      <c r="Z236" s="67" t="s">
        <v>1909</v>
      </c>
      <c r="AB236" s="69" t="s">
        <v>2235</v>
      </c>
    </row>
    <row r="237" ht="39.6" spans="1:28">
      <c r="A237" s="29">
        <v>10023421</v>
      </c>
      <c r="B237" s="30">
        <v>4</v>
      </c>
      <c r="C237" s="63" t="s">
        <v>2236</v>
      </c>
      <c r="D237" s="64" t="s">
        <v>1805</v>
      </c>
      <c r="E237" s="65">
        <v>0</v>
      </c>
      <c r="F237" s="65">
        <v>3</v>
      </c>
      <c r="G237" s="30">
        <v>0</v>
      </c>
      <c r="H237" s="30">
        <v>0</v>
      </c>
      <c r="I237" s="30">
        <v>0</v>
      </c>
      <c r="J237" s="30">
        <v>0</v>
      </c>
      <c r="K237" s="30">
        <v>0</v>
      </c>
      <c r="L237" s="30" t="s">
        <v>158</v>
      </c>
      <c r="M237" s="30">
        <v>0</v>
      </c>
      <c r="N237" s="30">
        <v>0</v>
      </c>
      <c r="O237" s="66">
        <v>0</v>
      </c>
      <c r="P237" s="30">
        <v>0</v>
      </c>
      <c r="Q237" s="30">
        <v>0</v>
      </c>
      <c r="R237" s="30">
        <v>6</v>
      </c>
      <c r="S237" s="30">
        <v>1.6</v>
      </c>
      <c r="T237" s="30">
        <v>0.35</v>
      </c>
      <c r="U237" s="31">
        <v>0</v>
      </c>
      <c r="V237" s="67">
        <v>0</v>
      </c>
      <c r="W237" s="67">
        <f>6*1.6*2.5</f>
        <v>24</v>
      </c>
      <c r="X237" s="67">
        <f>6+MAX($X$2,0.35)*6*$X$1</f>
        <v>34.8</v>
      </c>
      <c r="Y237" s="67" t="s">
        <v>2237</v>
      </c>
      <c r="Z237" s="67" t="s">
        <v>1807</v>
      </c>
      <c r="AB237" s="69" t="s">
        <v>1586</v>
      </c>
    </row>
    <row r="238" ht="26.4" spans="1:28">
      <c r="A238" s="29">
        <v>10023521</v>
      </c>
      <c r="B238" s="30">
        <v>5</v>
      </c>
      <c r="C238" s="63" t="s">
        <v>1531</v>
      </c>
      <c r="D238" s="64" t="s">
        <v>1940</v>
      </c>
      <c r="E238" s="65">
        <v>0</v>
      </c>
      <c r="F238" s="65">
        <v>0</v>
      </c>
      <c r="G238" s="30">
        <v>0</v>
      </c>
      <c r="H238" s="30">
        <v>7</v>
      </c>
      <c r="I238" s="30">
        <v>10</v>
      </c>
      <c r="J238" s="30">
        <v>0</v>
      </c>
      <c r="K238" s="30">
        <v>0</v>
      </c>
      <c r="L238" s="30" t="s">
        <v>1802</v>
      </c>
      <c r="M238" s="30">
        <v>0</v>
      </c>
      <c r="N238" s="30">
        <v>0</v>
      </c>
      <c r="O238" s="66">
        <v>0</v>
      </c>
      <c r="P238" s="30">
        <v>0</v>
      </c>
      <c r="Q238" s="30">
        <v>0</v>
      </c>
      <c r="R238" s="30">
        <v>0</v>
      </c>
      <c r="S238" s="30">
        <v>1</v>
      </c>
      <c r="T238" s="30">
        <v>0</v>
      </c>
      <c r="U238" s="31">
        <v>0</v>
      </c>
      <c r="V238" s="67">
        <v>5</v>
      </c>
      <c r="W238" s="67">
        <f t="shared" ref="W238:W245" si="6">0*1*2.5</f>
        <v>0</v>
      </c>
      <c r="X238" s="67">
        <v>0</v>
      </c>
      <c r="Y238" s="67" t="s">
        <v>1913</v>
      </c>
      <c r="Z238" s="67" t="s">
        <v>1909</v>
      </c>
      <c r="AB238" s="69" t="s">
        <v>1530</v>
      </c>
    </row>
    <row r="239" ht="26.4" spans="1:28">
      <c r="A239" s="29">
        <v>10023621</v>
      </c>
      <c r="B239" s="30">
        <v>3</v>
      </c>
      <c r="C239" s="63" t="s">
        <v>620</v>
      </c>
      <c r="D239" s="64" t="s">
        <v>1845</v>
      </c>
      <c r="E239" s="65">
        <v>0</v>
      </c>
      <c r="F239" s="65">
        <v>9</v>
      </c>
      <c r="G239" s="30">
        <v>0</v>
      </c>
      <c r="H239" s="30">
        <v>0</v>
      </c>
      <c r="I239" s="30">
        <v>0</v>
      </c>
      <c r="J239" s="30">
        <v>0</v>
      </c>
      <c r="K239" s="30">
        <v>2</v>
      </c>
      <c r="L239" s="30" t="s">
        <v>52</v>
      </c>
      <c r="M239" s="30">
        <v>0</v>
      </c>
      <c r="N239" s="30">
        <v>0</v>
      </c>
      <c r="O239" s="66">
        <v>0</v>
      </c>
      <c r="P239" s="30">
        <v>0</v>
      </c>
      <c r="Q239" s="30">
        <v>0</v>
      </c>
      <c r="R239" s="30">
        <v>0</v>
      </c>
      <c r="S239" s="30">
        <v>1</v>
      </c>
      <c r="T239" s="30">
        <v>0</v>
      </c>
      <c r="U239" s="31">
        <v>0</v>
      </c>
      <c r="V239" s="67">
        <v>0</v>
      </c>
      <c r="W239" s="67">
        <f t="shared" si="6"/>
        <v>0</v>
      </c>
      <c r="X239" s="67">
        <v>0</v>
      </c>
      <c r="Z239" s="67" t="s">
        <v>1846</v>
      </c>
      <c r="AB239" s="69" t="s">
        <v>618</v>
      </c>
    </row>
    <row r="240" ht="26.4" spans="1:28">
      <c r="A240" s="29">
        <v>10023721</v>
      </c>
      <c r="B240" s="30">
        <v>3</v>
      </c>
      <c r="C240" s="63" t="s">
        <v>2238</v>
      </c>
      <c r="D240" s="64" t="s">
        <v>2089</v>
      </c>
      <c r="E240" s="65">
        <v>0</v>
      </c>
      <c r="F240" s="65">
        <v>0</v>
      </c>
      <c r="G240" s="30">
        <v>0</v>
      </c>
      <c r="H240" s="30">
        <v>0</v>
      </c>
      <c r="I240" s="30">
        <v>3</v>
      </c>
      <c r="J240" s="30">
        <v>3</v>
      </c>
      <c r="K240" s="30">
        <v>0</v>
      </c>
      <c r="L240" s="30" t="s">
        <v>1802</v>
      </c>
      <c r="M240" s="30">
        <v>0</v>
      </c>
      <c r="N240" s="30">
        <v>0</v>
      </c>
      <c r="O240" s="66">
        <v>7</v>
      </c>
      <c r="P240" s="30">
        <v>0</v>
      </c>
      <c r="Q240" s="30">
        <v>0</v>
      </c>
      <c r="R240" s="30">
        <v>0</v>
      </c>
      <c r="S240" s="30">
        <v>1</v>
      </c>
      <c r="T240" s="30">
        <v>0</v>
      </c>
      <c r="U240" s="31">
        <v>0</v>
      </c>
      <c r="V240" s="67">
        <v>5</v>
      </c>
      <c r="W240" s="67">
        <f t="shared" si="6"/>
        <v>0</v>
      </c>
      <c r="X240" s="67">
        <v>0</v>
      </c>
      <c r="Y240" s="67" t="s">
        <v>1913</v>
      </c>
      <c r="Z240" s="67" t="s">
        <v>2090</v>
      </c>
      <c r="AA240" s="97">
        <v>0.0179398148148148</v>
      </c>
      <c r="AB240" s="98" t="s">
        <v>806</v>
      </c>
    </row>
    <row r="241" spans="1:28">
      <c r="A241" s="29">
        <v>10023821</v>
      </c>
      <c r="B241" s="30">
        <v>5</v>
      </c>
      <c r="C241" s="63" t="s">
        <v>2239</v>
      </c>
      <c r="D241" s="64" t="s">
        <v>1940</v>
      </c>
      <c r="E241" s="65">
        <v>0</v>
      </c>
      <c r="F241" s="65">
        <v>0</v>
      </c>
      <c r="G241" s="30">
        <v>0</v>
      </c>
      <c r="H241" s="30">
        <v>12</v>
      </c>
      <c r="I241" s="30">
        <v>0</v>
      </c>
      <c r="J241" s="30">
        <v>1</v>
      </c>
      <c r="K241" s="30">
        <v>1</v>
      </c>
      <c r="L241" s="30" t="s">
        <v>1802</v>
      </c>
      <c r="M241" s="30">
        <v>1</v>
      </c>
      <c r="N241" s="30">
        <v>0</v>
      </c>
      <c r="O241" s="66">
        <v>0</v>
      </c>
      <c r="P241" s="30">
        <v>0</v>
      </c>
      <c r="Q241" s="30">
        <v>0</v>
      </c>
      <c r="R241" s="30">
        <v>0</v>
      </c>
      <c r="S241" s="30">
        <v>1</v>
      </c>
      <c r="T241" s="30">
        <v>0</v>
      </c>
      <c r="U241" s="31">
        <v>0</v>
      </c>
      <c r="V241" s="67">
        <v>6</v>
      </c>
      <c r="W241" s="67">
        <f t="shared" si="6"/>
        <v>0</v>
      </c>
      <c r="X241" s="67">
        <v>0</v>
      </c>
      <c r="Y241" s="67" t="s">
        <v>1920</v>
      </c>
      <c r="Z241" s="67" t="s">
        <v>2240</v>
      </c>
      <c r="AB241" s="69" t="s">
        <v>2241</v>
      </c>
    </row>
    <row r="242" ht="39.6" spans="1:28">
      <c r="A242" s="29">
        <v>10023921</v>
      </c>
      <c r="B242" s="30">
        <v>6</v>
      </c>
      <c r="C242" s="63" t="s">
        <v>2242</v>
      </c>
      <c r="D242" s="64" t="s">
        <v>1832</v>
      </c>
      <c r="E242" s="65">
        <v>0</v>
      </c>
      <c r="F242" s="65">
        <v>12</v>
      </c>
      <c r="G242" s="30">
        <v>0</v>
      </c>
      <c r="H242" s="30">
        <v>0</v>
      </c>
      <c r="I242" s="30">
        <v>0</v>
      </c>
      <c r="J242" s="30">
        <v>0</v>
      </c>
      <c r="K242" s="30">
        <v>2</v>
      </c>
      <c r="L242" s="30" t="s">
        <v>52</v>
      </c>
      <c r="M242" s="30">
        <v>0</v>
      </c>
      <c r="N242" s="30">
        <v>0</v>
      </c>
      <c r="O242" s="66">
        <v>0</v>
      </c>
      <c r="P242" s="30">
        <v>0</v>
      </c>
      <c r="Q242" s="30">
        <v>0</v>
      </c>
      <c r="R242" s="30">
        <v>0</v>
      </c>
      <c r="S242" s="30">
        <v>1</v>
      </c>
      <c r="T242" s="30">
        <v>0</v>
      </c>
      <c r="U242" s="31">
        <v>0</v>
      </c>
      <c r="V242" s="67">
        <v>0</v>
      </c>
      <c r="W242" s="67">
        <f t="shared" si="6"/>
        <v>0</v>
      </c>
      <c r="X242" s="67">
        <v>0</v>
      </c>
      <c r="Z242" s="67" t="s">
        <v>1834</v>
      </c>
      <c r="AB242" s="69" t="s">
        <v>2243</v>
      </c>
    </row>
    <row r="243" ht="39.6" spans="1:29">
      <c r="A243" s="29">
        <v>10024021</v>
      </c>
      <c r="B243" s="30">
        <v>5</v>
      </c>
      <c r="C243" s="63" t="s">
        <v>2244</v>
      </c>
      <c r="D243" s="64" t="s">
        <v>1801</v>
      </c>
      <c r="E243" s="65">
        <v>0</v>
      </c>
      <c r="F243" s="65">
        <v>0</v>
      </c>
      <c r="G243" s="30">
        <v>0</v>
      </c>
      <c r="H243" s="30">
        <v>0</v>
      </c>
      <c r="I243" s="30">
        <v>0</v>
      </c>
      <c r="J243" s="30">
        <v>0</v>
      </c>
      <c r="K243" s="30">
        <v>-6</v>
      </c>
      <c r="L243" s="30" t="s">
        <v>1802</v>
      </c>
      <c r="M243" s="30">
        <v>20</v>
      </c>
      <c r="N243" s="30">
        <v>0</v>
      </c>
      <c r="O243" s="66">
        <v>0</v>
      </c>
      <c r="P243" s="30">
        <v>0</v>
      </c>
      <c r="Q243" s="30">
        <v>0</v>
      </c>
      <c r="R243" s="30">
        <v>0</v>
      </c>
      <c r="S243" s="30">
        <v>1</v>
      </c>
      <c r="T243" s="30">
        <v>0</v>
      </c>
      <c r="U243" s="31">
        <v>0</v>
      </c>
      <c r="V243" s="67">
        <v>0</v>
      </c>
      <c r="W243" s="67">
        <f t="shared" si="6"/>
        <v>0</v>
      </c>
      <c r="X243" s="67">
        <v>0</v>
      </c>
      <c r="Z243" s="67" t="s">
        <v>2036</v>
      </c>
      <c r="AC243" s="69" t="s">
        <v>2245</v>
      </c>
    </row>
    <row r="244" ht="26.4" spans="1:29">
      <c r="A244" s="29">
        <v>10024121</v>
      </c>
      <c r="B244" s="30">
        <v>6</v>
      </c>
      <c r="C244" s="63" t="s">
        <v>2246</v>
      </c>
      <c r="D244" s="64" t="s">
        <v>1801</v>
      </c>
      <c r="E244" s="65">
        <v>0</v>
      </c>
      <c r="F244" s="65">
        <v>0</v>
      </c>
      <c r="G244" s="30">
        <v>0</v>
      </c>
      <c r="H244" s="30">
        <v>0</v>
      </c>
      <c r="I244" s="30">
        <v>0</v>
      </c>
      <c r="J244" s="30">
        <v>0</v>
      </c>
      <c r="K244" s="30">
        <v>0</v>
      </c>
      <c r="L244" s="30" t="s">
        <v>1802</v>
      </c>
      <c r="M244" s="30">
        <v>0</v>
      </c>
      <c r="N244" s="30">
        <v>0</v>
      </c>
      <c r="O244" s="66">
        <v>5</v>
      </c>
      <c r="P244" s="30">
        <v>0</v>
      </c>
      <c r="Q244" s="30">
        <v>0</v>
      </c>
      <c r="R244" s="30">
        <v>0</v>
      </c>
      <c r="S244" s="30">
        <v>1</v>
      </c>
      <c r="T244" s="30">
        <v>0</v>
      </c>
      <c r="U244" s="31">
        <v>0</v>
      </c>
      <c r="V244" s="67">
        <v>0</v>
      </c>
      <c r="W244" s="67">
        <f t="shared" si="6"/>
        <v>0</v>
      </c>
      <c r="X244" s="67">
        <v>0</v>
      </c>
      <c r="Y244" s="67" t="s">
        <v>2247</v>
      </c>
      <c r="Z244" s="67" t="s">
        <v>2248</v>
      </c>
      <c r="AC244" s="69" t="s">
        <v>2249</v>
      </c>
    </row>
    <row r="245" ht="26.4" spans="1:29">
      <c r="A245" s="29">
        <v>10024221</v>
      </c>
      <c r="B245" s="30">
        <v>5</v>
      </c>
      <c r="C245" s="63" t="s">
        <v>2250</v>
      </c>
      <c r="D245" s="64" t="s">
        <v>2089</v>
      </c>
      <c r="E245" s="65">
        <v>0</v>
      </c>
      <c r="F245" s="65">
        <v>0</v>
      </c>
      <c r="G245" s="30">
        <v>0</v>
      </c>
      <c r="H245" s="30">
        <v>0</v>
      </c>
      <c r="I245" s="30">
        <v>0</v>
      </c>
      <c r="J245" s="30">
        <v>3</v>
      </c>
      <c r="K245" s="30">
        <v>0</v>
      </c>
      <c r="L245" s="30" t="s">
        <v>1802</v>
      </c>
      <c r="M245" s="30">
        <v>0</v>
      </c>
      <c r="N245" s="30">
        <v>0</v>
      </c>
      <c r="O245" s="66">
        <v>10</v>
      </c>
      <c r="P245" s="30">
        <v>0</v>
      </c>
      <c r="Q245" s="30">
        <v>0</v>
      </c>
      <c r="R245" s="30">
        <v>0</v>
      </c>
      <c r="S245" s="30">
        <v>1</v>
      </c>
      <c r="T245" s="30">
        <v>0</v>
      </c>
      <c r="U245" s="31">
        <v>0</v>
      </c>
      <c r="V245" s="67">
        <v>6</v>
      </c>
      <c r="W245" s="67">
        <f t="shared" si="6"/>
        <v>0</v>
      </c>
      <c r="X245" s="67">
        <v>0</v>
      </c>
      <c r="Y245" s="67" t="s">
        <v>1920</v>
      </c>
      <c r="Z245" s="67" t="s">
        <v>2090</v>
      </c>
      <c r="AC245" s="69" t="s">
        <v>2251</v>
      </c>
    </row>
    <row r="246" ht="26.4" spans="1:29">
      <c r="A246" s="29">
        <v>10024321</v>
      </c>
      <c r="B246" s="30">
        <v>6</v>
      </c>
      <c r="C246" s="63" t="s">
        <v>2252</v>
      </c>
      <c r="D246" s="64" t="s">
        <v>1907</v>
      </c>
      <c r="E246" s="65">
        <v>0</v>
      </c>
      <c r="F246" s="65">
        <v>0</v>
      </c>
      <c r="G246" s="30">
        <v>0</v>
      </c>
      <c r="H246" s="30">
        <v>0</v>
      </c>
      <c r="I246" s="30">
        <v>0</v>
      </c>
      <c r="J246" s="30">
        <v>0</v>
      </c>
      <c r="K246" s="30">
        <v>0</v>
      </c>
      <c r="L246" s="30" t="s">
        <v>1802</v>
      </c>
      <c r="M246" s="30">
        <v>0</v>
      </c>
      <c r="N246" s="30">
        <v>0</v>
      </c>
      <c r="O246" s="66">
        <v>0</v>
      </c>
      <c r="P246" s="30">
        <v>0</v>
      </c>
      <c r="Q246" s="30">
        <v>0</v>
      </c>
      <c r="R246" s="30">
        <v>15</v>
      </c>
      <c r="S246" s="30">
        <v>1</v>
      </c>
      <c r="T246" s="30">
        <v>0</v>
      </c>
      <c r="U246" s="31">
        <v>0</v>
      </c>
      <c r="V246" s="67">
        <v>8</v>
      </c>
      <c r="W246" s="67">
        <f>15*1*2.5</f>
        <v>37.5</v>
      </c>
      <c r="X246" s="67">
        <v>15</v>
      </c>
      <c r="Y246" s="67" t="s">
        <v>2253</v>
      </c>
      <c r="Z246" s="67" t="s">
        <v>1909</v>
      </c>
      <c r="AB246" s="69" t="s">
        <v>2254</v>
      </c>
      <c r="AC246" s="69" t="s">
        <v>2255</v>
      </c>
    </row>
    <row r="247" ht="26.4" spans="1:29">
      <c r="A247" s="29">
        <v>10024421</v>
      </c>
      <c r="B247" s="30">
        <v>5</v>
      </c>
      <c r="C247" s="63" t="s">
        <v>2256</v>
      </c>
      <c r="D247" s="64" t="s">
        <v>1907</v>
      </c>
      <c r="E247" s="65">
        <v>0</v>
      </c>
      <c r="F247" s="65">
        <v>0</v>
      </c>
      <c r="G247" s="30">
        <v>0</v>
      </c>
      <c r="H247" s="30">
        <v>0</v>
      </c>
      <c r="I247" s="30">
        <v>0</v>
      </c>
      <c r="J247" s="30">
        <v>0</v>
      </c>
      <c r="K247" s="30">
        <v>0</v>
      </c>
      <c r="L247" s="30" t="s">
        <v>1802</v>
      </c>
      <c r="M247" s="30">
        <v>0</v>
      </c>
      <c r="N247" s="30">
        <v>0</v>
      </c>
      <c r="O247" s="66">
        <v>8</v>
      </c>
      <c r="P247" s="30">
        <v>0</v>
      </c>
      <c r="Q247" s="30">
        <v>0</v>
      </c>
      <c r="R247" s="30">
        <v>8</v>
      </c>
      <c r="S247" s="30">
        <v>1</v>
      </c>
      <c r="T247" s="30">
        <v>0</v>
      </c>
      <c r="U247" s="31">
        <v>0</v>
      </c>
      <c r="V247" s="67">
        <v>5</v>
      </c>
      <c r="W247" s="67">
        <f>8*1*2.5</f>
        <v>20</v>
      </c>
      <c r="X247" s="67">
        <v>8</v>
      </c>
      <c r="Y247" s="67" t="s">
        <v>1913</v>
      </c>
      <c r="Z247" s="67" t="s">
        <v>1909</v>
      </c>
      <c r="AC247" s="69" t="s">
        <v>2257</v>
      </c>
    </row>
    <row r="248" ht="26.4" spans="1:28">
      <c r="A248" s="29">
        <v>10024521</v>
      </c>
      <c r="B248" s="30">
        <v>4</v>
      </c>
      <c r="C248" s="63" t="s">
        <v>2258</v>
      </c>
      <c r="D248" s="64" t="s">
        <v>1845</v>
      </c>
      <c r="E248" s="65">
        <v>0</v>
      </c>
      <c r="F248" s="65">
        <v>19</v>
      </c>
      <c r="G248" s="30">
        <v>0</v>
      </c>
      <c r="H248" s="30">
        <v>0</v>
      </c>
      <c r="I248" s="30">
        <v>0</v>
      </c>
      <c r="J248" s="30">
        <v>0</v>
      </c>
      <c r="K248" s="30">
        <v>3</v>
      </c>
      <c r="L248" s="30" t="s">
        <v>52</v>
      </c>
      <c r="M248" s="30">
        <v>0</v>
      </c>
      <c r="N248" s="30">
        <v>0</v>
      </c>
      <c r="O248" s="66">
        <v>0</v>
      </c>
      <c r="P248" s="30">
        <v>0</v>
      </c>
      <c r="Q248" s="30">
        <v>0</v>
      </c>
      <c r="R248" s="30">
        <v>0</v>
      </c>
      <c r="S248" s="30">
        <v>1</v>
      </c>
      <c r="T248" s="30">
        <v>0</v>
      </c>
      <c r="U248" s="31">
        <v>0</v>
      </c>
      <c r="V248" s="67">
        <v>0</v>
      </c>
      <c r="W248" s="67">
        <f t="shared" ref="W248:W256" si="7">0*1*2.5</f>
        <v>0</v>
      </c>
      <c r="X248" s="67">
        <v>0</v>
      </c>
      <c r="Z248" s="67" t="s">
        <v>1846</v>
      </c>
      <c r="AB248" s="69" t="s">
        <v>1487</v>
      </c>
    </row>
    <row r="249" ht="26.4" spans="1:28">
      <c r="A249" s="29">
        <v>10024621</v>
      </c>
      <c r="B249" s="30">
        <v>5</v>
      </c>
      <c r="C249" s="63" t="s">
        <v>2259</v>
      </c>
      <c r="D249" s="64" t="s">
        <v>1845</v>
      </c>
      <c r="E249" s="65">
        <v>0</v>
      </c>
      <c r="F249" s="65">
        <v>24</v>
      </c>
      <c r="G249" s="30">
        <v>0</v>
      </c>
      <c r="H249" s="30">
        <v>0</v>
      </c>
      <c r="I249" s="30">
        <v>0</v>
      </c>
      <c r="J249" s="30">
        <v>0</v>
      </c>
      <c r="K249" s="30">
        <v>0</v>
      </c>
      <c r="L249" s="30" t="s">
        <v>1022</v>
      </c>
      <c r="M249" s="30">
        <v>0</v>
      </c>
      <c r="N249" s="30">
        <v>0</v>
      </c>
      <c r="O249" s="66">
        <v>0</v>
      </c>
      <c r="P249" s="30">
        <v>0</v>
      </c>
      <c r="Q249" s="30">
        <v>0</v>
      </c>
      <c r="R249" s="30">
        <v>0</v>
      </c>
      <c r="S249" s="30">
        <v>1</v>
      </c>
      <c r="T249" s="30">
        <v>0</v>
      </c>
      <c r="U249" s="31">
        <v>0</v>
      </c>
      <c r="V249" s="67">
        <v>0</v>
      </c>
      <c r="W249" s="67">
        <f t="shared" si="7"/>
        <v>0</v>
      </c>
      <c r="X249" s="67">
        <v>0</v>
      </c>
      <c r="Z249" s="67" t="s">
        <v>1846</v>
      </c>
      <c r="AB249" s="69" t="s">
        <v>609</v>
      </c>
    </row>
    <row r="250" ht="26.4" spans="1:28">
      <c r="A250" s="29">
        <v>10024721</v>
      </c>
      <c r="B250" s="30">
        <v>6</v>
      </c>
      <c r="C250" s="63" t="s">
        <v>2260</v>
      </c>
      <c r="D250" s="64" t="s">
        <v>1960</v>
      </c>
      <c r="E250" s="65">
        <v>0</v>
      </c>
      <c r="F250" s="65">
        <v>0</v>
      </c>
      <c r="G250" s="30">
        <v>0</v>
      </c>
      <c r="H250" s="30">
        <v>0</v>
      </c>
      <c r="I250" s="30">
        <v>0</v>
      </c>
      <c r="J250" s="30">
        <v>4</v>
      </c>
      <c r="K250" s="30">
        <v>8</v>
      </c>
      <c r="L250" s="30" t="s">
        <v>1802</v>
      </c>
      <c r="M250" s="30">
        <v>0</v>
      </c>
      <c r="N250" s="30">
        <v>0</v>
      </c>
      <c r="O250" s="66">
        <v>0</v>
      </c>
      <c r="P250" s="30">
        <v>0</v>
      </c>
      <c r="Q250" s="30">
        <v>0</v>
      </c>
      <c r="R250" s="30">
        <v>0</v>
      </c>
      <c r="S250" s="30">
        <v>1</v>
      </c>
      <c r="T250" s="30">
        <v>0</v>
      </c>
      <c r="U250" s="31">
        <v>0</v>
      </c>
      <c r="V250" s="67">
        <v>0</v>
      </c>
      <c r="W250" s="67">
        <f t="shared" si="7"/>
        <v>0</v>
      </c>
      <c r="X250" s="67">
        <v>0</v>
      </c>
      <c r="Z250" s="67" t="s">
        <v>2261</v>
      </c>
      <c r="AB250" s="69" t="s">
        <v>1507</v>
      </c>
    </row>
    <row r="251" ht="26.4" spans="1:29">
      <c r="A251" s="29">
        <v>10024821</v>
      </c>
      <c r="B251" s="30">
        <v>6</v>
      </c>
      <c r="C251" s="63" t="s">
        <v>2262</v>
      </c>
      <c r="D251" s="64" t="s">
        <v>1801</v>
      </c>
      <c r="E251" s="65">
        <v>0</v>
      </c>
      <c r="F251" s="65">
        <v>0</v>
      </c>
      <c r="G251" s="30">
        <v>0</v>
      </c>
      <c r="H251" s="30">
        <v>5</v>
      </c>
      <c r="I251" s="30">
        <v>0</v>
      </c>
      <c r="J251" s="30">
        <v>0</v>
      </c>
      <c r="K251" s="30">
        <v>0</v>
      </c>
      <c r="L251" s="30" t="s">
        <v>1802</v>
      </c>
      <c r="M251" s="30">
        <v>0</v>
      </c>
      <c r="N251" s="30">
        <v>0</v>
      </c>
      <c r="O251" s="66">
        <v>0</v>
      </c>
      <c r="P251" s="30">
        <v>0</v>
      </c>
      <c r="Q251" s="30">
        <v>0</v>
      </c>
      <c r="R251" s="30">
        <v>0</v>
      </c>
      <c r="S251" s="30">
        <v>1</v>
      </c>
      <c r="T251" s="30">
        <v>0</v>
      </c>
      <c r="U251" s="31">
        <v>0</v>
      </c>
      <c r="V251" s="67">
        <v>0</v>
      </c>
      <c r="W251" s="67">
        <f t="shared" si="7"/>
        <v>0</v>
      </c>
      <c r="X251" s="67">
        <v>0</v>
      </c>
      <c r="Y251" s="67" t="s">
        <v>2263</v>
      </c>
      <c r="Z251" s="67" t="s">
        <v>2248</v>
      </c>
      <c r="AC251" s="69" t="s">
        <v>2264</v>
      </c>
    </row>
    <row r="252" ht="26.4" spans="1:29">
      <c r="A252" s="29">
        <v>10024921</v>
      </c>
      <c r="B252" s="30">
        <v>6</v>
      </c>
      <c r="C252" s="63" t="s">
        <v>2265</v>
      </c>
      <c r="D252" s="64" t="s">
        <v>1940</v>
      </c>
      <c r="E252" s="65">
        <v>0</v>
      </c>
      <c r="F252" s="65">
        <v>0</v>
      </c>
      <c r="G252" s="30">
        <v>0</v>
      </c>
      <c r="H252" s="30">
        <v>15</v>
      </c>
      <c r="I252" s="30">
        <v>3</v>
      </c>
      <c r="J252" s="30">
        <v>0</v>
      </c>
      <c r="K252" s="30">
        <v>2</v>
      </c>
      <c r="L252" s="30" t="s">
        <v>1802</v>
      </c>
      <c r="M252" s="30">
        <v>0</v>
      </c>
      <c r="N252" s="30">
        <v>0</v>
      </c>
      <c r="O252" s="66">
        <v>0</v>
      </c>
      <c r="P252" s="30">
        <v>0</v>
      </c>
      <c r="Q252" s="30">
        <v>0</v>
      </c>
      <c r="R252" s="30">
        <v>0</v>
      </c>
      <c r="S252" s="30">
        <v>1</v>
      </c>
      <c r="T252" s="30">
        <v>0</v>
      </c>
      <c r="U252" s="31">
        <v>0</v>
      </c>
      <c r="V252" s="67">
        <v>8</v>
      </c>
      <c r="W252" s="67">
        <f t="shared" si="7"/>
        <v>0</v>
      </c>
      <c r="X252" s="67">
        <v>0</v>
      </c>
      <c r="Y252" s="67" t="s">
        <v>2253</v>
      </c>
      <c r="Z252" s="67" t="s">
        <v>1909</v>
      </c>
      <c r="AC252" s="69" t="s">
        <v>2266</v>
      </c>
    </row>
    <row r="253" ht="52.8" spans="1:29">
      <c r="A253" s="29">
        <v>10025021</v>
      </c>
      <c r="B253" s="30">
        <v>5</v>
      </c>
      <c r="C253" s="63" t="s">
        <v>2267</v>
      </c>
      <c r="D253" s="64" t="s">
        <v>1801</v>
      </c>
      <c r="E253" s="65">
        <v>0</v>
      </c>
      <c r="F253" s="65">
        <v>0</v>
      </c>
      <c r="G253" s="30">
        <v>0</v>
      </c>
      <c r="H253" s="30">
        <v>3</v>
      </c>
      <c r="I253" s="30">
        <v>0</v>
      </c>
      <c r="J253" s="30">
        <v>0</v>
      </c>
      <c r="K253" s="30">
        <v>3</v>
      </c>
      <c r="L253" s="30" t="s">
        <v>1802</v>
      </c>
      <c r="M253" s="30">
        <v>0</v>
      </c>
      <c r="N253" s="30">
        <v>0</v>
      </c>
      <c r="O253" s="66">
        <v>0</v>
      </c>
      <c r="P253" s="30">
        <v>0</v>
      </c>
      <c r="Q253" s="30">
        <v>0</v>
      </c>
      <c r="R253" s="30">
        <v>0</v>
      </c>
      <c r="S253" s="30">
        <v>1</v>
      </c>
      <c r="T253" s="30">
        <v>0</v>
      </c>
      <c r="U253" s="31">
        <v>0</v>
      </c>
      <c r="V253" s="67">
        <v>0</v>
      </c>
      <c r="W253" s="67">
        <f t="shared" si="7"/>
        <v>0</v>
      </c>
      <c r="X253" s="67">
        <v>0</v>
      </c>
      <c r="Y253" s="67" t="s">
        <v>2268</v>
      </c>
      <c r="Z253" s="67" t="s">
        <v>2248</v>
      </c>
      <c r="AC253" s="69" t="s">
        <v>2269</v>
      </c>
    </row>
    <row r="254" ht="52.8" spans="1:28">
      <c r="A254" s="29">
        <v>10025121</v>
      </c>
      <c r="B254" s="30">
        <v>5</v>
      </c>
      <c r="C254" s="63" t="s">
        <v>2270</v>
      </c>
      <c r="D254" s="64" t="s">
        <v>2271</v>
      </c>
      <c r="E254" s="65">
        <v>0</v>
      </c>
      <c r="F254" s="65">
        <v>2</v>
      </c>
      <c r="G254" s="30">
        <v>0</v>
      </c>
      <c r="H254" s="30">
        <v>0</v>
      </c>
      <c r="I254" s="30">
        <v>0</v>
      </c>
      <c r="J254" s="30">
        <v>0</v>
      </c>
      <c r="K254" s="30">
        <v>2</v>
      </c>
      <c r="L254" s="30" t="s">
        <v>1802</v>
      </c>
      <c r="M254" s="30">
        <v>0</v>
      </c>
      <c r="N254" s="30">
        <v>0</v>
      </c>
      <c r="O254" s="66">
        <v>0</v>
      </c>
      <c r="P254" s="30">
        <v>0</v>
      </c>
      <c r="Q254" s="30">
        <v>0</v>
      </c>
      <c r="R254" s="30">
        <v>0</v>
      </c>
      <c r="S254" s="30">
        <v>1</v>
      </c>
      <c r="T254" s="30">
        <v>0</v>
      </c>
      <c r="U254" s="31">
        <v>0</v>
      </c>
      <c r="V254" s="67">
        <v>0</v>
      </c>
      <c r="W254" s="67">
        <f t="shared" si="7"/>
        <v>0</v>
      </c>
      <c r="X254" s="67">
        <v>0</v>
      </c>
      <c r="Z254" s="67" t="s">
        <v>2272</v>
      </c>
      <c r="AB254" s="69" t="s">
        <v>2273</v>
      </c>
    </row>
    <row r="255" ht="39.6" spans="1:28">
      <c r="A255" s="29">
        <v>10025221</v>
      </c>
      <c r="B255" s="30">
        <v>5</v>
      </c>
      <c r="C255" s="63" t="s">
        <v>2274</v>
      </c>
      <c r="D255" s="64" t="s">
        <v>2275</v>
      </c>
      <c r="E255" s="65">
        <v>0</v>
      </c>
      <c r="F255" s="65">
        <v>20</v>
      </c>
      <c r="G255" s="30">
        <v>0</v>
      </c>
      <c r="H255" s="30">
        <v>0</v>
      </c>
      <c r="I255" s="30">
        <v>0</v>
      </c>
      <c r="J255" s="30">
        <v>0</v>
      </c>
      <c r="K255" s="30">
        <v>0</v>
      </c>
      <c r="L255" s="30" t="s">
        <v>1802</v>
      </c>
      <c r="M255" s="30">
        <v>0</v>
      </c>
      <c r="N255" s="30">
        <v>0</v>
      </c>
      <c r="O255" s="66">
        <v>0</v>
      </c>
      <c r="P255" s="30">
        <v>0</v>
      </c>
      <c r="Q255" s="30">
        <v>20</v>
      </c>
      <c r="R255" s="30">
        <v>0</v>
      </c>
      <c r="S255" s="30">
        <v>1</v>
      </c>
      <c r="T255" s="30">
        <v>0</v>
      </c>
      <c r="U255" s="31">
        <v>0</v>
      </c>
      <c r="V255" s="67">
        <v>10</v>
      </c>
      <c r="W255" s="67">
        <f t="shared" si="7"/>
        <v>0</v>
      </c>
      <c r="X255" s="67">
        <v>0</v>
      </c>
      <c r="Y255" s="67" t="s">
        <v>2276</v>
      </c>
      <c r="Z255" s="67" t="s">
        <v>2272</v>
      </c>
      <c r="AB255" s="69" t="s">
        <v>2277</v>
      </c>
    </row>
    <row r="256" ht="39.6" spans="1:28">
      <c r="A256" s="29">
        <v>10025321</v>
      </c>
      <c r="B256" s="30">
        <v>5</v>
      </c>
      <c r="C256" s="63" t="s">
        <v>2278</v>
      </c>
      <c r="D256" s="64" t="s">
        <v>2279</v>
      </c>
      <c r="E256" s="65">
        <v>0</v>
      </c>
      <c r="F256" s="65">
        <v>0</v>
      </c>
      <c r="G256" s="30">
        <v>0</v>
      </c>
      <c r="H256" s="30">
        <v>0</v>
      </c>
      <c r="I256" s="30">
        <v>0</v>
      </c>
      <c r="J256" s="30">
        <v>0</v>
      </c>
      <c r="K256" s="30">
        <v>3</v>
      </c>
      <c r="L256" s="30" t="s">
        <v>1802</v>
      </c>
      <c r="M256" s="30">
        <v>0</v>
      </c>
      <c r="N256" s="30">
        <v>0</v>
      </c>
      <c r="O256" s="66">
        <v>0</v>
      </c>
      <c r="P256" s="30">
        <v>0</v>
      </c>
      <c r="Q256" s="30">
        <v>0</v>
      </c>
      <c r="R256" s="30">
        <v>0</v>
      </c>
      <c r="S256" s="30">
        <v>1</v>
      </c>
      <c r="T256" s="30">
        <v>0</v>
      </c>
      <c r="U256" s="31">
        <v>0</v>
      </c>
      <c r="V256" s="67">
        <v>0</v>
      </c>
      <c r="W256" s="67">
        <f t="shared" si="7"/>
        <v>0</v>
      </c>
      <c r="X256" s="67">
        <v>0</v>
      </c>
      <c r="Z256" s="67" t="s">
        <v>2280</v>
      </c>
      <c r="AB256" s="69" t="s">
        <v>2281</v>
      </c>
    </row>
    <row r="257" ht="39.6" spans="1:28">
      <c r="A257" s="29">
        <v>10025421</v>
      </c>
      <c r="B257" s="30">
        <v>5</v>
      </c>
      <c r="C257" s="63" t="s">
        <v>2282</v>
      </c>
      <c r="D257" s="64" t="s">
        <v>2283</v>
      </c>
      <c r="E257" s="65">
        <v>0</v>
      </c>
      <c r="F257" s="65">
        <v>15</v>
      </c>
      <c r="G257" s="30">
        <v>0</v>
      </c>
      <c r="H257" s="30">
        <v>0</v>
      </c>
      <c r="I257" s="30">
        <v>0</v>
      </c>
      <c r="J257" s="30">
        <v>0</v>
      </c>
      <c r="K257" s="30">
        <v>0</v>
      </c>
      <c r="L257" s="30" t="s">
        <v>1802</v>
      </c>
      <c r="M257" s="30">
        <v>0</v>
      </c>
      <c r="N257" s="30">
        <v>0</v>
      </c>
      <c r="O257" s="66">
        <v>0</v>
      </c>
      <c r="P257" s="30">
        <v>25</v>
      </c>
      <c r="Q257" s="30">
        <v>0</v>
      </c>
      <c r="R257" s="30">
        <v>17</v>
      </c>
      <c r="S257" s="30">
        <v>3.7</v>
      </c>
      <c r="T257" s="30">
        <v>0.73</v>
      </c>
      <c r="U257" s="31">
        <v>1.2</v>
      </c>
      <c r="V257" s="67">
        <v>9</v>
      </c>
      <c r="W257" s="67">
        <f>17*3.7*2.5</f>
        <v>157.25</v>
      </c>
      <c r="X257" s="67">
        <f>17+MAX($X$2,0.73)*17*$X$1</f>
        <v>98.6</v>
      </c>
      <c r="Y257" s="67" t="s">
        <v>2284</v>
      </c>
      <c r="Z257" s="67" t="s">
        <v>2280</v>
      </c>
      <c r="AB257" s="69" t="s">
        <v>2285</v>
      </c>
    </row>
    <row r="258" ht="52.8" spans="1:29">
      <c r="A258" s="29">
        <v>10025521</v>
      </c>
      <c r="B258" s="30">
        <v>6</v>
      </c>
      <c r="C258" s="63" t="s">
        <v>2286</v>
      </c>
      <c r="D258" s="64" t="s">
        <v>1801</v>
      </c>
      <c r="E258" s="65">
        <v>2</v>
      </c>
      <c r="F258" s="65">
        <v>0</v>
      </c>
      <c r="G258" s="30">
        <v>0</v>
      </c>
      <c r="H258" s="30">
        <v>0</v>
      </c>
      <c r="I258" s="30">
        <v>0</v>
      </c>
      <c r="J258" s="30">
        <v>0</v>
      </c>
      <c r="K258" s="30">
        <v>0</v>
      </c>
      <c r="L258" s="30" t="s">
        <v>1802</v>
      </c>
      <c r="M258" s="30">
        <v>0</v>
      </c>
      <c r="N258" s="30">
        <v>6</v>
      </c>
      <c r="O258" s="66">
        <v>0</v>
      </c>
      <c r="P258" s="30">
        <v>0</v>
      </c>
      <c r="Q258" s="30">
        <v>0</v>
      </c>
      <c r="R258" s="30">
        <v>0</v>
      </c>
      <c r="S258" s="30">
        <v>1</v>
      </c>
      <c r="T258" s="30">
        <v>0</v>
      </c>
      <c r="U258" s="31">
        <v>0</v>
      </c>
      <c r="V258" s="67">
        <v>0</v>
      </c>
      <c r="W258" s="67">
        <f>0*1*2.5</f>
        <v>0</v>
      </c>
      <c r="X258" s="67">
        <v>0</v>
      </c>
      <c r="Z258" s="67" t="s">
        <v>1803</v>
      </c>
      <c r="AC258" s="69" t="s">
        <v>2287</v>
      </c>
    </row>
    <row r="259" ht="26.4" spans="1:28">
      <c r="A259" s="29">
        <v>10025621</v>
      </c>
      <c r="B259" s="30">
        <v>3</v>
      </c>
      <c r="C259" s="63" t="s">
        <v>2288</v>
      </c>
      <c r="D259" s="64" t="s">
        <v>1907</v>
      </c>
      <c r="E259" s="65">
        <v>0</v>
      </c>
      <c r="F259" s="65">
        <v>0</v>
      </c>
      <c r="G259" s="30">
        <v>0</v>
      </c>
      <c r="H259" s="30">
        <v>0</v>
      </c>
      <c r="I259" s="30">
        <v>0</v>
      </c>
      <c r="J259" s="30">
        <v>0</v>
      </c>
      <c r="K259" s="30">
        <v>0</v>
      </c>
      <c r="L259" s="30" t="s">
        <v>1802</v>
      </c>
      <c r="M259" s="30">
        <v>0</v>
      </c>
      <c r="N259" s="30">
        <v>0</v>
      </c>
      <c r="O259" s="66">
        <v>0</v>
      </c>
      <c r="P259" s="30">
        <v>0</v>
      </c>
      <c r="Q259" s="30">
        <v>0</v>
      </c>
      <c r="R259" s="30">
        <v>6</v>
      </c>
      <c r="S259" s="30">
        <v>1</v>
      </c>
      <c r="T259" s="30">
        <v>0</v>
      </c>
      <c r="U259" s="31">
        <v>0</v>
      </c>
      <c r="V259" s="67">
        <v>4</v>
      </c>
      <c r="W259" s="67">
        <f>6*1*2.5</f>
        <v>15</v>
      </c>
      <c r="X259" s="67">
        <v>6</v>
      </c>
      <c r="Y259" s="67" t="s">
        <v>1908</v>
      </c>
      <c r="Z259" s="67" t="s">
        <v>1909</v>
      </c>
      <c r="AB259" s="69" t="s">
        <v>2289</v>
      </c>
    </row>
    <row r="260" ht="26.4" spans="1:28">
      <c r="A260" s="29">
        <v>10025721</v>
      </c>
      <c r="B260" s="30">
        <v>3</v>
      </c>
      <c r="C260" s="63" t="s">
        <v>2290</v>
      </c>
      <c r="D260" s="64" t="s">
        <v>1940</v>
      </c>
      <c r="E260" s="65">
        <v>0</v>
      </c>
      <c r="F260" s="65">
        <v>0</v>
      </c>
      <c r="G260" s="30">
        <v>0</v>
      </c>
      <c r="H260" s="30">
        <v>6</v>
      </c>
      <c r="I260" s="30">
        <v>2</v>
      </c>
      <c r="J260" s="30">
        <v>0</v>
      </c>
      <c r="K260" s="30">
        <v>0</v>
      </c>
      <c r="L260" s="30" t="s">
        <v>1802</v>
      </c>
      <c r="M260" s="30">
        <v>0</v>
      </c>
      <c r="N260" s="30">
        <v>0</v>
      </c>
      <c r="O260" s="66">
        <v>0</v>
      </c>
      <c r="P260" s="30">
        <v>0</v>
      </c>
      <c r="Q260" s="30">
        <v>0</v>
      </c>
      <c r="R260" s="30">
        <v>2</v>
      </c>
      <c r="S260" s="30">
        <v>1</v>
      </c>
      <c r="T260" s="30">
        <v>0</v>
      </c>
      <c r="U260" s="31">
        <v>0</v>
      </c>
      <c r="V260" s="67">
        <v>4</v>
      </c>
      <c r="W260" s="67">
        <f>2*1*2.5</f>
        <v>5</v>
      </c>
      <c r="X260" s="67">
        <v>2</v>
      </c>
      <c r="Y260" s="67" t="s">
        <v>1908</v>
      </c>
      <c r="Z260" s="67" t="s">
        <v>1909</v>
      </c>
      <c r="AB260" s="69" t="s">
        <v>2289</v>
      </c>
    </row>
    <row r="261" ht="26.4" spans="1:28">
      <c r="A261" s="29">
        <v>10025821</v>
      </c>
      <c r="B261" s="30">
        <v>3</v>
      </c>
      <c r="C261" s="63" t="s">
        <v>2291</v>
      </c>
      <c r="D261" s="64" t="s">
        <v>1927</v>
      </c>
      <c r="E261" s="65">
        <v>0</v>
      </c>
      <c r="F261" s="65">
        <v>0</v>
      </c>
      <c r="G261" s="30">
        <v>0</v>
      </c>
      <c r="H261" s="30">
        <v>0</v>
      </c>
      <c r="I261" s="30">
        <v>0</v>
      </c>
      <c r="J261" s="30">
        <v>0</v>
      </c>
      <c r="K261" s="30">
        <v>0</v>
      </c>
      <c r="L261" s="30" t="s">
        <v>1802</v>
      </c>
      <c r="M261" s="30">
        <v>0</v>
      </c>
      <c r="N261" s="30">
        <v>0</v>
      </c>
      <c r="O261" s="66">
        <v>5</v>
      </c>
      <c r="P261" s="30">
        <v>0</v>
      </c>
      <c r="Q261" s="30">
        <v>0</v>
      </c>
      <c r="R261" s="30">
        <v>1</v>
      </c>
      <c r="S261" s="30">
        <v>1</v>
      </c>
      <c r="T261" s="30">
        <v>0</v>
      </c>
      <c r="U261" s="31">
        <v>0</v>
      </c>
      <c r="V261" s="67">
        <v>4</v>
      </c>
      <c r="W261" s="67">
        <f>1*1*2.5</f>
        <v>2.5</v>
      </c>
      <c r="X261" s="67">
        <v>1</v>
      </c>
      <c r="Y261" s="67" t="s">
        <v>1908</v>
      </c>
      <c r="Z261" s="67" t="s">
        <v>1909</v>
      </c>
      <c r="AB261" s="69" t="s">
        <v>2289</v>
      </c>
    </row>
    <row r="262" ht="26.4" spans="1:28">
      <c r="A262" s="29">
        <v>10025921</v>
      </c>
      <c r="B262" s="30">
        <v>5</v>
      </c>
      <c r="C262" s="63" t="s">
        <v>2292</v>
      </c>
      <c r="D262" s="64" t="s">
        <v>1907</v>
      </c>
      <c r="E262" s="65">
        <v>0</v>
      </c>
      <c r="F262" s="65">
        <v>0</v>
      </c>
      <c r="G262" s="30">
        <v>0</v>
      </c>
      <c r="H262" s="30">
        <v>0</v>
      </c>
      <c r="I262" s="30">
        <v>0</v>
      </c>
      <c r="J262" s="30">
        <v>0</v>
      </c>
      <c r="K262" s="30">
        <v>0</v>
      </c>
      <c r="L262" s="30" t="s">
        <v>1802</v>
      </c>
      <c r="M262" s="30">
        <v>2</v>
      </c>
      <c r="N262" s="30">
        <v>0</v>
      </c>
      <c r="O262" s="66">
        <v>0</v>
      </c>
      <c r="P262" s="30">
        <v>0</v>
      </c>
      <c r="Q262" s="30">
        <v>0</v>
      </c>
      <c r="R262" s="30">
        <v>11</v>
      </c>
      <c r="S262" s="30">
        <v>1</v>
      </c>
      <c r="T262" s="30">
        <v>0</v>
      </c>
      <c r="U262" s="31">
        <v>0</v>
      </c>
      <c r="V262" s="67">
        <v>5</v>
      </c>
      <c r="W262" s="67">
        <f>11*1*2.5</f>
        <v>27.5</v>
      </c>
      <c r="X262" s="67">
        <v>11</v>
      </c>
      <c r="Y262" s="67" t="s">
        <v>1913</v>
      </c>
      <c r="Z262" s="67" t="s">
        <v>1909</v>
      </c>
      <c r="AB262" s="69" t="s">
        <v>2293</v>
      </c>
    </row>
    <row r="263" ht="39.6" spans="1:29">
      <c r="A263" s="29">
        <v>10026021</v>
      </c>
      <c r="B263" s="30">
        <v>4</v>
      </c>
      <c r="C263" s="63" t="s">
        <v>2294</v>
      </c>
      <c r="D263" s="64" t="s">
        <v>1832</v>
      </c>
      <c r="E263" s="65">
        <v>0</v>
      </c>
      <c r="F263" s="65">
        <v>10</v>
      </c>
      <c r="G263" s="30">
        <v>0</v>
      </c>
      <c r="H263" s="30">
        <v>0</v>
      </c>
      <c r="I263" s="30">
        <v>0</v>
      </c>
      <c r="J263" s="30">
        <v>0</v>
      </c>
      <c r="K263" s="30">
        <v>0</v>
      </c>
      <c r="L263" s="30" t="s">
        <v>52</v>
      </c>
      <c r="M263" s="30">
        <v>0</v>
      </c>
      <c r="N263" s="30">
        <v>0</v>
      </c>
      <c r="O263" s="66">
        <v>0</v>
      </c>
      <c r="P263" s="30">
        <v>0</v>
      </c>
      <c r="Q263" s="30">
        <v>0</v>
      </c>
      <c r="R263" s="30">
        <v>0</v>
      </c>
      <c r="S263" s="30">
        <v>1</v>
      </c>
      <c r="T263" s="30">
        <v>0</v>
      </c>
      <c r="U263" s="31">
        <v>0</v>
      </c>
      <c r="V263" s="67">
        <v>0</v>
      </c>
      <c r="W263" s="67">
        <f>0*1*2.5</f>
        <v>0</v>
      </c>
      <c r="X263" s="67">
        <v>0</v>
      </c>
      <c r="Z263" s="67" t="s">
        <v>1834</v>
      </c>
      <c r="AB263" s="69" t="s">
        <v>2295</v>
      </c>
      <c r="AC263" s="69" t="s">
        <v>2296</v>
      </c>
    </row>
    <row r="264" ht="26.4" spans="1:29">
      <c r="A264" s="29">
        <v>10026121</v>
      </c>
      <c r="B264" s="30">
        <v>5</v>
      </c>
      <c r="C264" s="63" t="s">
        <v>2297</v>
      </c>
      <c r="D264" s="64" t="s">
        <v>1940</v>
      </c>
      <c r="E264" s="65">
        <v>0</v>
      </c>
      <c r="F264" s="65">
        <v>0</v>
      </c>
      <c r="G264" s="30">
        <v>0</v>
      </c>
      <c r="H264" s="30">
        <v>10</v>
      </c>
      <c r="I264" s="30">
        <v>5</v>
      </c>
      <c r="J264" s="30">
        <v>0</v>
      </c>
      <c r="K264" s="30">
        <v>0</v>
      </c>
      <c r="L264" s="30" t="s">
        <v>1802</v>
      </c>
      <c r="M264" s="30">
        <v>0</v>
      </c>
      <c r="N264" s="30">
        <v>0</v>
      </c>
      <c r="O264" s="66">
        <v>0</v>
      </c>
      <c r="P264" s="30">
        <v>0</v>
      </c>
      <c r="Q264" s="30">
        <v>0</v>
      </c>
      <c r="R264" s="30">
        <v>6</v>
      </c>
      <c r="S264" s="30">
        <v>1</v>
      </c>
      <c r="T264" s="30">
        <v>0</v>
      </c>
      <c r="U264" s="31">
        <v>0</v>
      </c>
      <c r="V264" s="67">
        <v>5</v>
      </c>
      <c r="W264" s="67">
        <f>6*1*2.5</f>
        <v>15</v>
      </c>
      <c r="X264" s="67">
        <v>6</v>
      </c>
      <c r="Y264" s="67" t="s">
        <v>1913</v>
      </c>
      <c r="Z264" s="67" t="s">
        <v>1909</v>
      </c>
      <c r="AC264" s="69" t="s">
        <v>2298</v>
      </c>
    </row>
    <row r="265" ht="52.8" spans="1:29">
      <c r="A265" s="29">
        <v>10026221</v>
      </c>
      <c r="B265" s="30">
        <v>5</v>
      </c>
      <c r="C265" s="63" t="s">
        <v>2299</v>
      </c>
      <c r="D265" s="64" t="s">
        <v>1801</v>
      </c>
      <c r="E265" s="65">
        <v>0</v>
      </c>
      <c r="F265" s="65">
        <v>0</v>
      </c>
      <c r="G265" s="30">
        <v>0</v>
      </c>
      <c r="H265" s="30">
        <v>0</v>
      </c>
      <c r="I265" s="30">
        <v>0</v>
      </c>
      <c r="J265" s="30">
        <v>0</v>
      </c>
      <c r="K265" s="30">
        <v>2</v>
      </c>
      <c r="L265" s="30" t="s">
        <v>1802</v>
      </c>
      <c r="M265" s="30">
        <v>10</v>
      </c>
      <c r="N265" s="30">
        <v>2</v>
      </c>
      <c r="O265" s="66">
        <v>0</v>
      </c>
      <c r="P265" s="30">
        <v>0</v>
      </c>
      <c r="Q265" s="30">
        <v>0</v>
      </c>
      <c r="R265" s="30">
        <v>0</v>
      </c>
      <c r="S265" s="30">
        <v>1</v>
      </c>
      <c r="T265" s="30">
        <v>0</v>
      </c>
      <c r="U265" s="31">
        <v>0</v>
      </c>
      <c r="V265" s="67">
        <v>0</v>
      </c>
      <c r="W265" s="67">
        <f>0*1*2.5</f>
        <v>0</v>
      </c>
      <c r="X265" s="67">
        <v>0</v>
      </c>
      <c r="Z265" s="67" t="s">
        <v>1803</v>
      </c>
      <c r="AB265" s="69" t="s">
        <v>2300</v>
      </c>
      <c r="AC265" s="69" t="s">
        <v>2301</v>
      </c>
    </row>
    <row r="266" ht="39.6" spans="1:28">
      <c r="A266" s="29">
        <v>10026321</v>
      </c>
      <c r="B266" s="30">
        <v>4</v>
      </c>
      <c r="C266" s="63" t="s">
        <v>522</v>
      </c>
      <c r="D266" s="64" t="s">
        <v>1805</v>
      </c>
      <c r="E266" s="65">
        <v>0</v>
      </c>
      <c r="F266" s="65">
        <v>3</v>
      </c>
      <c r="G266" s="30">
        <v>0</v>
      </c>
      <c r="H266" s="30">
        <v>0</v>
      </c>
      <c r="I266" s="30">
        <v>0</v>
      </c>
      <c r="J266" s="30">
        <v>0</v>
      </c>
      <c r="K266" s="30">
        <v>1</v>
      </c>
      <c r="L266" s="30" t="s">
        <v>115</v>
      </c>
      <c r="M266" s="30">
        <v>0</v>
      </c>
      <c r="N266" s="30">
        <v>0</v>
      </c>
      <c r="O266" s="66">
        <v>0</v>
      </c>
      <c r="P266" s="30">
        <v>0</v>
      </c>
      <c r="Q266" s="30">
        <v>0</v>
      </c>
      <c r="R266" s="30">
        <v>4</v>
      </c>
      <c r="S266" s="30">
        <v>2</v>
      </c>
      <c r="T266" s="30">
        <v>0</v>
      </c>
      <c r="U266" s="31">
        <v>0</v>
      </c>
      <c r="V266" s="67">
        <v>0</v>
      </c>
      <c r="W266" s="67">
        <f>4*2*2.5</f>
        <v>20</v>
      </c>
      <c r="X266" s="67">
        <v>4</v>
      </c>
      <c r="Y266" s="67" t="s">
        <v>2302</v>
      </c>
      <c r="Z266" s="67" t="s">
        <v>1807</v>
      </c>
      <c r="AB266" s="69" t="s">
        <v>2303</v>
      </c>
    </row>
    <row r="267" ht="26.4" spans="1:29">
      <c r="A267" s="29">
        <v>10026421</v>
      </c>
      <c r="B267" s="30">
        <v>5</v>
      </c>
      <c r="C267" s="63" t="s">
        <v>2304</v>
      </c>
      <c r="D267" s="64" t="s">
        <v>2275</v>
      </c>
      <c r="E267" s="65">
        <v>0</v>
      </c>
      <c r="F267" s="65">
        <v>27</v>
      </c>
      <c r="G267" s="30">
        <v>0</v>
      </c>
      <c r="H267" s="30">
        <v>0</v>
      </c>
      <c r="I267" s="30">
        <v>0</v>
      </c>
      <c r="J267" s="30">
        <v>0</v>
      </c>
      <c r="K267" s="30">
        <v>0</v>
      </c>
      <c r="L267" s="30" t="s">
        <v>1802</v>
      </c>
      <c r="M267" s="30">
        <v>0</v>
      </c>
      <c r="N267" s="30">
        <v>0</v>
      </c>
      <c r="O267" s="66">
        <v>0</v>
      </c>
      <c r="P267" s="30">
        <v>0</v>
      </c>
      <c r="Q267" s="30">
        <v>23</v>
      </c>
      <c r="R267" s="30">
        <v>0</v>
      </c>
      <c r="S267" s="30">
        <v>1</v>
      </c>
      <c r="T267" s="30">
        <v>0</v>
      </c>
      <c r="U267" s="31">
        <v>0</v>
      </c>
      <c r="V267" s="67">
        <v>13</v>
      </c>
      <c r="W267" s="67">
        <f>0*1*2.5</f>
        <v>0</v>
      </c>
      <c r="X267" s="67">
        <v>0</v>
      </c>
      <c r="Y267" s="67" t="s">
        <v>2305</v>
      </c>
      <c r="Z267" s="67" t="s">
        <v>2272</v>
      </c>
      <c r="AB267" s="69" t="s">
        <v>2306</v>
      </c>
      <c r="AC267" s="69" t="s">
        <v>2216</v>
      </c>
    </row>
    <row r="268" ht="26.4" spans="1:29">
      <c r="A268" s="29">
        <v>10026521</v>
      </c>
      <c r="B268" s="30">
        <v>5</v>
      </c>
      <c r="C268" s="63" t="s">
        <v>2307</v>
      </c>
      <c r="D268" s="64" t="s">
        <v>1907</v>
      </c>
      <c r="E268" s="65">
        <v>0</v>
      </c>
      <c r="F268" s="65">
        <v>0</v>
      </c>
      <c r="G268" s="30">
        <v>0</v>
      </c>
      <c r="H268" s="30">
        <v>0</v>
      </c>
      <c r="I268" s="30">
        <v>0</v>
      </c>
      <c r="J268" s="30">
        <v>0</v>
      </c>
      <c r="K268" s="30">
        <v>0</v>
      </c>
      <c r="L268" s="30" t="s">
        <v>1802</v>
      </c>
      <c r="M268" s="30">
        <v>0</v>
      </c>
      <c r="N268" s="30">
        <v>0</v>
      </c>
      <c r="O268" s="66">
        <v>0</v>
      </c>
      <c r="P268" s="30">
        <v>0</v>
      </c>
      <c r="Q268" s="30">
        <v>0</v>
      </c>
      <c r="R268" s="30">
        <v>11</v>
      </c>
      <c r="S268" s="30">
        <v>1</v>
      </c>
      <c r="T268" s="30">
        <v>0</v>
      </c>
      <c r="U268" s="31">
        <v>0</v>
      </c>
      <c r="V268" s="67">
        <v>5</v>
      </c>
      <c r="W268" s="67">
        <f>11*1*2.5</f>
        <v>27.5</v>
      </c>
      <c r="X268" s="67">
        <v>11</v>
      </c>
      <c r="Y268" s="67" t="s">
        <v>1913</v>
      </c>
      <c r="Z268" s="67" t="s">
        <v>2090</v>
      </c>
      <c r="AC268" s="69" t="s">
        <v>2308</v>
      </c>
    </row>
    <row r="269" ht="26.4" spans="1:29">
      <c r="A269" s="29">
        <v>10026621</v>
      </c>
      <c r="B269" s="30">
        <v>4</v>
      </c>
      <c r="C269" s="63" t="s">
        <v>2309</v>
      </c>
      <c r="D269" s="64" t="s">
        <v>2275</v>
      </c>
      <c r="E269" s="65">
        <v>0</v>
      </c>
      <c r="F269" s="65">
        <v>10</v>
      </c>
      <c r="G269" s="30">
        <v>0</v>
      </c>
      <c r="H269" s="30">
        <v>0</v>
      </c>
      <c r="I269" s="30">
        <v>0</v>
      </c>
      <c r="J269" s="30">
        <v>0</v>
      </c>
      <c r="K269" s="30">
        <v>0</v>
      </c>
      <c r="L269" s="30" t="s">
        <v>1802</v>
      </c>
      <c r="M269" s="30">
        <v>0</v>
      </c>
      <c r="N269" s="30">
        <v>0</v>
      </c>
      <c r="O269" s="66">
        <v>0</v>
      </c>
      <c r="P269" s="30">
        <v>0</v>
      </c>
      <c r="Q269" s="30">
        <v>27</v>
      </c>
      <c r="R269" s="30">
        <v>0</v>
      </c>
      <c r="S269" s="30">
        <v>1</v>
      </c>
      <c r="T269" s="30">
        <v>0</v>
      </c>
      <c r="U269" s="31">
        <v>0</v>
      </c>
      <c r="V269" s="67">
        <v>4</v>
      </c>
      <c r="W269" s="67">
        <f>0*1*2.5</f>
        <v>0</v>
      </c>
      <c r="X269" s="67">
        <v>0</v>
      </c>
      <c r="Y269" s="67" t="s">
        <v>2310</v>
      </c>
      <c r="Z269" s="67" t="s">
        <v>2272</v>
      </c>
      <c r="AB269" s="69" t="s">
        <v>2311</v>
      </c>
      <c r="AC269" s="69" t="s">
        <v>2312</v>
      </c>
    </row>
    <row r="270" ht="52.8" spans="1:28">
      <c r="A270" s="29">
        <v>10026721</v>
      </c>
      <c r="B270" s="30">
        <v>6</v>
      </c>
      <c r="C270" s="63" t="s">
        <v>2313</v>
      </c>
      <c r="D270" s="64" t="s">
        <v>1845</v>
      </c>
      <c r="E270" s="65">
        <v>0</v>
      </c>
      <c r="F270" s="65">
        <v>27</v>
      </c>
      <c r="G270" s="30">
        <v>0</v>
      </c>
      <c r="H270" s="30">
        <v>0</v>
      </c>
      <c r="I270" s="30">
        <v>0</v>
      </c>
      <c r="J270" s="30">
        <v>0</v>
      </c>
      <c r="K270" s="30">
        <v>-2</v>
      </c>
      <c r="L270" s="30" t="s">
        <v>1022</v>
      </c>
      <c r="M270" s="30">
        <v>0</v>
      </c>
      <c r="N270" s="30">
        <v>0</v>
      </c>
      <c r="O270" s="66">
        <v>0</v>
      </c>
      <c r="P270" s="30">
        <v>0</v>
      </c>
      <c r="Q270" s="30">
        <v>0</v>
      </c>
      <c r="R270" s="30">
        <v>2</v>
      </c>
      <c r="S270" s="30">
        <v>1.1</v>
      </c>
      <c r="T270" s="30">
        <v>0</v>
      </c>
      <c r="U270" s="31">
        <v>0</v>
      </c>
      <c r="V270" s="67">
        <v>0</v>
      </c>
      <c r="W270" s="67">
        <f>2*1.1*2.5</f>
        <v>5.5</v>
      </c>
      <c r="X270" s="67">
        <v>2</v>
      </c>
      <c r="Y270" s="67" t="s">
        <v>2121</v>
      </c>
      <c r="Z270" s="67" t="s">
        <v>1846</v>
      </c>
      <c r="AB270" s="69" t="s">
        <v>2314</v>
      </c>
    </row>
    <row r="271" ht="52.8" spans="1:29">
      <c r="A271" s="29">
        <v>10026821</v>
      </c>
      <c r="B271" s="30">
        <v>4</v>
      </c>
      <c r="C271" s="63" t="s">
        <v>2315</v>
      </c>
      <c r="D271" s="64" t="s">
        <v>1801</v>
      </c>
      <c r="E271" s="65">
        <v>0</v>
      </c>
      <c r="F271" s="65">
        <v>3</v>
      </c>
      <c r="G271" s="30">
        <v>0</v>
      </c>
      <c r="H271" s="30">
        <v>0</v>
      </c>
      <c r="I271" s="30">
        <v>5</v>
      </c>
      <c r="J271" s="30">
        <v>0</v>
      </c>
      <c r="K271" s="30">
        <v>0</v>
      </c>
      <c r="L271" s="30" t="s">
        <v>115</v>
      </c>
      <c r="M271" s="30">
        <v>0</v>
      </c>
      <c r="N271" s="30">
        <v>0</v>
      </c>
      <c r="O271" s="66">
        <v>0</v>
      </c>
      <c r="P271" s="30">
        <v>0</v>
      </c>
      <c r="Q271" s="30">
        <v>0</v>
      </c>
      <c r="R271" s="30">
        <v>1</v>
      </c>
      <c r="S271" s="30">
        <v>1</v>
      </c>
      <c r="T271" s="30">
        <v>0</v>
      </c>
      <c r="U271" s="31">
        <v>0</v>
      </c>
      <c r="V271" s="67">
        <v>0</v>
      </c>
      <c r="W271" s="67">
        <f>1*1*2.5</f>
        <v>2.5</v>
      </c>
      <c r="X271" s="67">
        <v>1</v>
      </c>
      <c r="Z271" s="67" t="s">
        <v>1803</v>
      </c>
      <c r="AC271" s="69" t="s">
        <v>2316</v>
      </c>
    </row>
    <row r="272" ht="39.6" spans="1:29">
      <c r="A272" s="29">
        <v>10026921</v>
      </c>
      <c r="B272" s="30">
        <v>5</v>
      </c>
      <c r="C272" s="63" t="s">
        <v>2317</v>
      </c>
      <c r="D272" s="64" t="s">
        <v>1832</v>
      </c>
      <c r="E272" s="65">
        <v>0</v>
      </c>
      <c r="F272" s="65">
        <v>13</v>
      </c>
      <c r="G272" s="30">
        <v>0</v>
      </c>
      <c r="H272" s="30">
        <v>0</v>
      </c>
      <c r="I272" s="30">
        <v>0</v>
      </c>
      <c r="J272" s="30">
        <v>0</v>
      </c>
      <c r="K272" s="30">
        <v>0</v>
      </c>
      <c r="L272" s="30" t="s">
        <v>52</v>
      </c>
      <c r="M272" s="30">
        <v>0</v>
      </c>
      <c r="N272" s="30">
        <v>0</v>
      </c>
      <c r="O272" s="66">
        <v>0</v>
      </c>
      <c r="P272" s="30">
        <v>0</v>
      </c>
      <c r="Q272" s="30">
        <v>0</v>
      </c>
      <c r="R272" s="30">
        <v>0</v>
      </c>
      <c r="S272" s="30">
        <v>1</v>
      </c>
      <c r="T272" s="30">
        <v>0</v>
      </c>
      <c r="U272" s="31">
        <v>0</v>
      </c>
      <c r="V272" s="67">
        <v>0</v>
      </c>
      <c r="W272" s="67">
        <f>0*1*2.5</f>
        <v>0</v>
      </c>
      <c r="X272" s="67">
        <v>0</v>
      </c>
      <c r="Z272" s="67" t="s">
        <v>1834</v>
      </c>
      <c r="AC272" s="69" t="s">
        <v>2318</v>
      </c>
    </row>
    <row r="273" ht="39.6" spans="1:28">
      <c r="A273" s="29">
        <v>10027021</v>
      </c>
      <c r="B273" s="30">
        <v>4</v>
      </c>
      <c r="C273" s="63" t="s">
        <v>819</v>
      </c>
      <c r="D273" s="64" t="s">
        <v>1828</v>
      </c>
      <c r="E273" s="65">
        <v>0</v>
      </c>
      <c r="F273" s="65">
        <v>6</v>
      </c>
      <c r="G273" s="30">
        <v>0</v>
      </c>
      <c r="H273" s="30">
        <v>0</v>
      </c>
      <c r="I273" s="30">
        <v>0</v>
      </c>
      <c r="J273" s="30">
        <v>0</v>
      </c>
      <c r="K273" s="30">
        <v>0</v>
      </c>
      <c r="L273" s="30" t="s">
        <v>158</v>
      </c>
      <c r="M273" s="30">
        <v>0</v>
      </c>
      <c r="N273" s="30">
        <v>0</v>
      </c>
      <c r="O273" s="66">
        <v>0</v>
      </c>
      <c r="P273" s="30">
        <v>0</v>
      </c>
      <c r="Q273" s="30">
        <v>0</v>
      </c>
      <c r="R273" s="30">
        <v>4</v>
      </c>
      <c r="S273" s="30">
        <v>2.2</v>
      </c>
      <c r="T273" s="30">
        <v>0</v>
      </c>
      <c r="U273" s="31">
        <v>0</v>
      </c>
      <c r="V273" s="67">
        <v>0</v>
      </c>
      <c r="W273" s="67">
        <f>4*2.2*2.5</f>
        <v>22</v>
      </c>
      <c r="X273" s="67">
        <v>4</v>
      </c>
      <c r="Y273" s="67" t="s">
        <v>2319</v>
      </c>
      <c r="Z273" s="67" t="s">
        <v>1829</v>
      </c>
      <c r="AB273" s="69" t="s">
        <v>818</v>
      </c>
    </row>
    <row r="274" ht="26.4" spans="1:28">
      <c r="A274" s="29">
        <v>10027121</v>
      </c>
      <c r="B274" s="30">
        <v>3</v>
      </c>
      <c r="C274" s="63" t="s">
        <v>2320</v>
      </c>
      <c r="D274" s="64" t="s">
        <v>1907</v>
      </c>
      <c r="E274" s="65">
        <v>0</v>
      </c>
      <c r="F274" s="65">
        <v>0</v>
      </c>
      <c r="G274" s="30">
        <v>0</v>
      </c>
      <c r="H274" s="30">
        <v>0</v>
      </c>
      <c r="I274" s="30">
        <v>0</v>
      </c>
      <c r="J274" s="30">
        <v>0</v>
      </c>
      <c r="K274" s="30">
        <v>0</v>
      </c>
      <c r="L274" s="30" t="s">
        <v>1802</v>
      </c>
      <c r="M274" s="30">
        <v>0</v>
      </c>
      <c r="N274" s="30">
        <v>0</v>
      </c>
      <c r="O274" s="66">
        <v>3</v>
      </c>
      <c r="P274" s="30">
        <v>0</v>
      </c>
      <c r="Q274" s="30">
        <v>0</v>
      </c>
      <c r="R274" s="30">
        <v>6</v>
      </c>
      <c r="S274" s="30">
        <v>1</v>
      </c>
      <c r="T274" s="30">
        <v>0</v>
      </c>
      <c r="U274" s="31">
        <v>0</v>
      </c>
      <c r="V274" s="67">
        <v>4</v>
      </c>
      <c r="W274" s="67">
        <f>6*1*2.5</f>
        <v>15</v>
      </c>
      <c r="X274" s="67">
        <v>6</v>
      </c>
      <c r="Y274" s="67" t="s">
        <v>1908</v>
      </c>
      <c r="Z274" s="67" t="s">
        <v>1909</v>
      </c>
      <c r="AB274" s="69" t="s">
        <v>2321</v>
      </c>
    </row>
    <row r="275" ht="26.4" spans="1:28">
      <c r="A275" s="29">
        <v>10027221</v>
      </c>
      <c r="B275" s="30">
        <v>5</v>
      </c>
      <c r="C275" s="63" t="s">
        <v>2322</v>
      </c>
      <c r="D275" s="64" t="s">
        <v>1940</v>
      </c>
      <c r="E275" s="65">
        <v>0</v>
      </c>
      <c r="F275" s="65">
        <v>0</v>
      </c>
      <c r="G275" s="30">
        <v>0</v>
      </c>
      <c r="H275" s="30">
        <v>6</v>
      </c>
      <c r="I275" s="30">
        <v>2</v>
      </c>
      <c r="J275" s="30">
        <v>0</v>
      </c>
      <c r="K275" s="30">
        <v>0</v>
      </c>
      <c r="L275" s="30" t="s">
        <v>1802</v>
      </c>
      <c r="M275" s="30">
        <v>0</v>
      </c>
      <c r="N275" s="30">
        <v>0</v>
      </c>
      <c r="O275" s="66">
        <v>0</v>
      </c>
      <c r="P275" s="30">
        <v>0</v>
      </c>
      <c r="Q275" s="30">
        <v>0</v>
      </c>
      <c r="R275" s="30">
        <v>9</v>
      </c>
      <c r="S275" s="30">
        <v>1</v>
      </c>
      <c r="T275" s="30">
        <v>0</v>
      </c>
      <c r="U275" s="31">
        <v>0</v>
      </c>
      <c r="V275" s="67">
        <v>5</v>
      </c>
      <c r="W275" s="67">
        <f>9*1*2.5</f>
        <v>22.5</v>
      </c>
      <c r="X275" s="67">
        <v>9</v>
      </c>
      <c r="Y275" s="67" t="s">
        <v>1913</v>
      </c>
      <c r="Z275" s="67" t="s">
        <v>1909</v>
      </c>
      <c r="AB275" s="69" t="s">
        <v>2323</v>
      </c>
    </row>
    <row r="276" ht="39.6" spans="1:28">
      <c r="A276" s="29">
        <v>10027321</v>
      </c>
      <c r="B276" s="30">
        <v>4</v>
      </c>
      <c r="C276" s="63" t="s">
        <v>2324</v>
      </c>
      <c r="D276" s="64" t="s">
        <v>14</v>
      </c>
      <c r="E276" s="65">
        <v>0</v>
      </c>
      <c r="F276" s="65">
        <v>0</v>
      </c>
      <c r="G276" s="30">
        <v>0</v>
      </c>
      <c r="H276" s="30">
        <v>8</v>
      </c>
      <c r="I276" s="30">
        <v>0</v>
      </c>
      <c r="J276" s="30">
        <v>0</v>
      </c>
      <c r="K276" s="30">
        <v>0</v>
      </c>
      <c r="L276" s="30" t="s">
        <v>1802</v>
      </c>
      <c r="M276" s="30">
        <v>0</v>
      </c>
      <c r="N276" s="30">
        <v>0</v>
      </c>
      <c r="O276" s="66">
        <v>0</v>
      </c>
      <c r="P276" s="30">
        <v>0</v>
      </c>
      <c r="Q276" s="30">
        <v>0</v>
      </c>
      <c r="R276" s="30">
        <v>0</v>
      </c>
      <c r="S276" s="30">
        <v>1</v>
      </c>
      <c r="T276" s="30">
        <v>0</v>
      </c>
      <c r="U276" s="31">
        <v>0</v>
      </c>
      <c r="V276" s="67">
        <v>0</v>
      </c>
      <c r="W276" s="67">
        <f>0*1*2.5</f>
        <v>0</v>
      </c>
      <c r="X276" s="67">
        <v>0</v>
      </c>
      <c r="Z276" s="67" t="s">
        <v>1980</v>
      </c>
      <c r="AB276" s="69" t="s">
        <v>2325</v>
      </c>
    </row>
    <row r="277" ht="26.4" spans="1:28">
      <c r="A277" s="29">
        <v>10027421</v>
      </c>
      <c r="B277" s="30">
        <v>3</v>
      </c>
      <c r="C277" s="63" t="s">
        <v>2326</v>
      </c>
      <c r="D277" s="64" t="s">
        <v>1940</v>
      </c>
      <c r="E277" s="65">
        <v>0</v>
      </c>
      <c r="F277" s="65">
        <v>0</v>
      </c>
      <c r="G277" s="30">
        <v>0</v>
      </c>
      <c r="H277" s="30">
        <v>5</v>
      </c>
      <c r="I277" s="30">
        <v>4</v>
      </c>
      <c r="J277" s="30">
        <v>0</v>
      </c>
      <c r="K277" s="30">
        <v>0</v>
      </c>
      <c r="L277" s="30" t="s">
        <v>1802</v>
      </c>
      <c r="M277" s="30">
        <v>0</v>
      </c>
      <c r="N277" s="30">
        <v>0</v>
      </c>
      <c r="O277" s="66">
        <v>0</v>
      </c>
      <c r="P277" s="30">
        <v>0</v>
      </c>
      <c r="Q277" s="30">
        <v>0</v>
      </c>
      <c r="R277" s="30">
        <v>0</v>
      </c>
      <c r="S277" s="30">
        <v>1</v>
      </c>
      <c r="T277" s="30">
        <v>0</v>
      </c>
      <c r="U277" s="31">
        <v>0</v>
      </c>
      <c r="V277" s="67">
        <v>4</v>
      </c>
      <c r="W277" s="67">
        <f>0*1*2.5</f>
        <v>0</v>
      </c>
      <c r="X277" s="67">
        <v>0</v>
      </c>
      <c r="Y277" s="67" t="s">
        <v>1908</v>
      </c>
      <c r="Z277" s="67" t="s">
        <v>1909</v>
      </c>
      <c r="AB277" s="69" t="s">
        <v>2327</v>
      </c>
    </row>
    <row r="278" ht="26.4" spans="1:29">
      <c r="A278" s="29">
        <v>10027521</v>
      </c>
      <c r="B278" s="30">
        <v>5</v>
      </c>
      <c r="C278" s="63" t="s">
        <v>2328</v>
      </c>
      <c r="D278" s="64" t="s">
        <v>1907</v>
      </c>
      <c r="E278" s="65">
        <v>0</v>
      </c>
      <c r="F278" s="65">
        <v>0</v>
      </c>
      <c r="G278" s="30">
        <v>0</v>
      </c>
      <c r="H278" s="30">
        <v>0</v>
      </c>
      <c r="I278" s="30">
        <v>0</v>
      </c>
      <c r="J278" s="30">
        <v>0</v>
      </c>
      <c r="K278" s="30">
        <v>0</v>
      </c>
      <c r="L278" s="30" t="s">
        <v>1802</v>
      </c>
      <c r="M278" s="30">
        <v>1</v>
      </c>
      <c r="N278" s="30">
        <v>0</v>
      </c>
      <c r="O278" s="66">
        <v>0</v>
      </c>
      <c r="P278" s="30">
        <v>0</v>
      </c>
      <c r="Q278" s="30">
        <v>0</v>
      </c>
      <c r="R278" s="30">
        <v>14</v>
      </c>
      <c r="S278" s="30">
        <v>1</v>
      </c>
      <c r="T278" s="30">
        <v>0</v>
      </c>
      <c r="U278" s="31">
        <v>0</v>
      </c>
      <c r="V278" s="67">
        <v>7</v>
      </c>
      <c r="W278" s="67">
        <f>14*1*2.5</f>
        <v>35</v>
      </c>
      <c r="X278" s="67">
        <v>14</v>
      </c>
      <c r="Y278" s="67" t="s">
        <v>2194</v>
      </c>
      <c r="Z278" s="67" t="s">
        <v>1909</v>
      </c>
      <c r="AC278" s="69" t="s">
        <v>2329</v>
      </c>
    </row>
    <row r="279" ht="26.4" spans="1:29">
      <c r="A279" s="29">
        <v>10027621</v>
      </c>
      <c r="B279" s="30">
        <v>5</v>
      </c>
      <c r="C279" s="63" t="s">
        <v>2330</v>
      </c>
      <c r="D279" s="64" t="s">
        <v>1907</v>
      </c>
      <c r="E279" s="65">
        <v>0</v>
      </c>
      <c r="F279" s="65">
        <v>0</v>
      </c>
      <c r="G279" s="30">
        <v>0</v>
      </c>
      <c r="H279" s="30">
        <v>0</v>
      </c>
      <c r="I279" s="30">
        <v>0</v>
      </c>
      <c r="J279" s="30">
        <v>0</v>
      </c>
      <c r="K279" s="30">
        <v>0</v>
      </c>
      <c r="L279" s="30" t="s">
        <v>1802</v>
      </c>
      <c r="M279" s="30">
        <v>0</v>
      </c>
      <c r="N279" s="30">
        <v>0</v>
      </c>
      <c r="O279" s="66">
        <v>3</v>
      </c>
      <c r="P279" s="30">
        <v>0</v>
      </c>
      <c r="Q279" s="30">
        <v>0</v>
      </c>
      <c r="R279" s="30">
        <v>11</v>
      </c>
      <c r="S279" s="30">
        <v>1</v>
      </c>
      <c r="T279" s="30">
        <v>0</v>
      </c>
      <c r="U279" s="31">
        <v>0</v>
      </c>
      <c r="V279" s="67">
        <v>6</v>
      </c>
      <c r="W279" s="67">
        <f>11*1*2.5</f>
        <v>27.5</v>
      </c>
      <c r="X279" s="67">
        <v>11</v>
      </c>
      <c r="Y279" s="67" t="s">
        <v>1920</v>
      </c>
      <c r="Z279" s="67" t="s">
        <v>1909</v>
      </c>
      <c r="AC279" s="69" t="s">
        <v>2331</v>
      </c>
    </row>
    <row r="280" ht="26.4" spans="1:29">
      <c r="A280" s="29">
        <v>10027721</v>
      </c>
      <c r="B280" s="30">
        <v>5</v>
      </c>
      <c r="C280" s="63" t="s">
        <v>2332</v>
      </c>
      <c r="D280" s="64" t="s">
        <v>1907</v>
      </c>
      <c r="E280" s="65">
        <v>0</v>
      </c>
      <c r="F280" s="65">
        <v>0</v>
      </c>
      <c r="G280" s="30">
        <v>0</v>
      </c>
      <c r="H280" s="30">
        <v>0</v>
      </c>
      <c r="I280" s="30">
        <v>0</v>
      </c>
      <c r="J280" s="30">
        <v>0</v>
      </c>
      <c r="K280" s="30">
        <v>0</v>
      </c>
      <c r="L280" s="30" t="s">
        <v>1802</v>
      </c>
      <c r="M280" s="30">
        <v>0</v>
      </c>
      <c r="N280" s="30">
        <v>0</v>
      </c>
      <c r="O280" s="66">
        <v>0</v>
      </c>
      <c r="P280" s="30">
        <v>0</v>
      </c>
      <c r="Q280" s="30">
        <v>0</v>
      </c>
      <c r="R280" s="30">
        <v>10</v>
      </c>
      <c r="S280" s="30">
        <v>1</v>
      </c>
      <c r="T280" s="30">
        <v>0</v>
      </c>
      <c r="U280" s="31">
        <v>0</v>
      </c>
      <c r="V280" s="67">
        <v>5</v>
      </c>
      <c r="W280" s="67">
        <f>10*1*2.5</f>
        <v>25</v>
      </c>
      <c r="X280" s="67">
        <v>10</v>
      </c>
      <c r="Y280" s="67" t="s">
        <v>1913</v>
      </c>
      <c r="Z280" s="67" t="s">
        <v>1909</v>
      </c>
      <c r="AC280" s="69" t="s">
        <v>2333</v>
      </c>
    </row>
    <row r="281" ht="39.6" spans="1:28">
      <c r="A281" s="29">
        <v>10027821</v>
      </c>
      <c r="B281" s="30">
        <v>4</v>
      </c>
      <c r="C281" s="63" t="s">
        <v>2334</v>
      </c>
      <c r="D281" s="64" t="s">
        <v>1805</v>
      </c>
      <c r="E281" s="65">
        <v>0</v>
      </c>
      <c r="F281" s="65">
        <v>3</v>
      </c>
      <c r="G281" s="30">
        <v>0</v>
      </c>
      <c r="H281" s="30">
        <v>0</v>
      </c>
      <c r="I281" s="30">
        <v>0</v>
      </c>
      <c r="J281" s="30">
        <v>0</v>
      </c>
      <c r="K281" s="30">
        <v>0</v>
      </c>
      <c r="L281" s="30" t="s">
        <v>115</v>
      </c>
      <c r="M281" s="30">
        <v>0</v>
      </c>
      <c r="N281" s="30">
        <v>0</v>
      </c>
      <c r="O281" s="66">
        <v>0</v>
      </c>
      <c r="P281" s="30">
        <v>0</v>
      </c>
      <c r="Q281" s="30">
        <v>0</v>
      </c>
      <c r="R281" s="30">
        <v>7</v>
      </c>
      <c r="S281" s="30">
        <v>2.4</v>
      </c>
      <c r="T281" s="30">
        <v>0</v>
      </c>
      <c r="U281" s="31">
        <v>0</v>
      </c>
      <c r="V281" s="67">
        <v>0</v>
      </c>
      <c r="W281" s="67">
        <f>7*2.4*2.5</f>
        <v>42</v>
      </c>
      <c r="X281" s="67">
        <v>7</v>
      </c>
      <c r="Y281" s="67" t="s">
        <v>2335</v>
      </c>
      <c r="Z281" s="67" t="s">
        <v>1807</v>
      </c>
      <c r="AB281" s="69" t="s">
        <v>2336</v>
      </c>
    </row>
    <row r="282" ht="26.4" spans="1:29">
      <c r="A282" s="29">
        <v>10027921</v>
      </c>
      <c r="B282" s="30">
        <v>5</v>
      </c>
      <c r="C282" s="63" t="s">
        <v>2337</v>
      </c>
      <c r="D282" s="64" t="s">
        <v>1845</v>
      </c>
      <c r="E282" s="65">
        <v>0</v>
      </c>
      <c r="F282" s="65">
        <v>27</v>
      </c>
      <c r="G282" s="30">
        <v>0</v>
      </c>
      <c r="H282" s="30">
        <v>0</v>
      </c>
      <c r="I282" s="30">
        <v>0</v>
      </c>
      <c r="J282" s="30">
        <v>0</v>
      </c>
      <c r="K282" s="30">
        <v>0</v>
      </c>
      <c r="L282" s="30" t="s">
        <v>1022</v>
      </c>
      <c r="M282" s="30">
        <v>0</v>
      </c>
      <c r="N282" s="30">
        <v>0</v>
      </c>
      <c r="O282" s="66">
        <v>0</v>
      </c>
      <c r="P282" s="30">
        <v>0</v>
      </c>
      <c r="Q282" s="30">
        <v>0</v>
      </c>
      <c r="R282" s="30">
        <v>0</v>
      </c>
      <c r="S282" s="30">
        <v>1</v>
      </c>
      <c r="T282" s="30">
        <v>0.35</v>
      </c>
      <c r="U282" s="31">
        <v>0</v>
      </c>
      <c r="V282" s="67">
        <v>0</v>
      </c>
      <c r="W282" s="67">
        <f>0*1*2.5</f>
        <v>0</v>
      </c>
      <c r="X282" s="67">
        <f>0+MAX($X$2,0.35)*0*$X$1</f>
        <v>0</v>
      </c>
      <c r="Y282" s="67" t="s">
        <v>2338</v>
      </c>
      <c r="Z282" s="67" t="s">
        <v>1846</v>
      </c>
      <c r="AC282" s="69" t="s">
        <v>2339</v>
      </c>
    </row>
    <row r="283" ht="26.4" spans="1:28">
      <c r="A283" s="29">
        <v>10028021</v>
      </c>
      <c r="B283" s="30">
        <v>4</v>
      </c>
      <c r="C283" s="63" t="s">
        <v>614</v>
      </c>
      <c r="D283" s="64" t="s">
        <v>1845</v>
      </c>
      <c r="E283" s="65">
        <v>0</v>
      </c>
      <c r="F283" s="65">
        <v>18</v>
      </c>
      <c r="G283" s="30">
        <v>0</v>
      </c>
      <c r="H283" s="30">
        <v>0</v>
      </c>
      <c r="I283" s="30">
        <v>0</v>
      </c>
      <c r="J283" s="30">
        <v>0</v>
      </c>
      <c r="K283" s="30">
        <v>1</v>
      </c>
      <c r="L283" s="30" t="s">
        <v>1022</v>
      </c>
      <c r="M283" s="30">
        <v>0</v>
      </c>
      <c r="N283" s="30">
        <v>0</v>
      </c>
      <c r="O283" s="66">
        <v>0</v>
      </c>
      <c r="P283" s="30">
        <v>0</v>
      </c>
      <c r="Q283" s="30">
        <v>0</v>
      </c>
      <c r="R283" s="30">
        <v>0</v>
      </c>
      <c r="S283" s="30">
        <v>1</v>
      </c>
      <c r="T283" s="30">
        <v>0</v>
      </c>
      <c r="U283" s="31">
        <v>0</v>
      </c>
      <c r="V283" s="67">
        <v>0</v>
      </c>
      <c r="W283" s="67">
        <f>0*1*2.5</f>
        <v>0</v>
      </c>
      <c r="X283" s="67">
        <v>0</v>
      </c>
      <c r="Z283" s="67" t="s">
        <v>1846</v>
      </c>
      <c r="AB283" s="69" t="s">
        <v>2340</v>
      </c>
    </row>
    <row r="284" ht="52.8" spans="1:29">
      <c r="A284" s="29">
        <v>10028121</v>
      </c>
      <c r="B284" s="30">
        <v>6</v>
      </c>
      <c r="C284" s="63" t="s">
        <v>2341</v>
      </c>
      <c r="D284" s="64" t="s">
        <v>1801</v>
      </c>
      <c r="E284" s="65">
        <v>1</v>
      </c>
      <c r="F284" s="65">
        <v>0</v>
      </c>
      <c r="G284" s="30">
        <v>0</v>
      </c>
      <c r="H284" s="30">
        <v>0</v>
      </c>
      <c r="I284" s="30">
        <v>0</v>
      </c>
      <c r="J284" s="30">
        <v>0</v>
      </c>
      <c r="K284" s="30">
        <v>10</v>
      </c>
      <c r="L284" s="30" t="s">
        <v>1802</v>
      </c>
      <c r="M284" s="30">
        <v>0</v>
      </c>
      <c r="N284" s="30">
        <v>0</v>
      </c>
      <c r="O284" s="66">
        <v>0</v>
      </c>
      <c r="P284" s="30">
        <v>0</v>
      </c>
      <c r="Q284" s="30">
        <v>0</v>
      </c>
      <c r="R284" s="30">
        <v>0</v>
      </c>
      <c r="S284" s="30">
        <v>1</v>
      </c>
      <c r="T284" s="30">
        <v>0</v>
      </c>
      <c r="U284" s="31">
        <v>0</v>
      </c>
      <c r="V284" s="67">
        <v>0</v>
      </c>
      <c r="W284" s="67">
        <f>0*1*2.5</f>
        <v>0</v>
      </c>
      <c r="X284" s="67">
        <v>0</v>
      </c>
      <c r="Z284" s="67" t="s">
        <v>2248</v>
      </c>
      <c r="AC284" s="69" t="s">
        <v>2342</v>
      </c>
    </row>
    <row r="285" ht="52.8" spans="1:29">
      <c r="A285" s="29">
        <v>10028221</v>
      </c>
      <c r="B285" s="30">
        <v>6</v>
      </c>
      <c r="C285" s="63" t="s">
        <v>2343</v>
      </c>
      <c r="D285" s="64" t="s">
        <v>1801</v>
      </c>
      <c r="E285" s="65">
        <v>-1</v>
      </c>
      <c r="F285" s="65">
        <v>0</v>
      </c>
      <c r="G285" s="30">
        <v>0</v>
      </c>
      <c r="H285" s="30">
        <v>3</v>
      </c>
      <c r="I285" s="30">
        <v>0</v>
      </c>
      <c r="J285" s="30">
        <v>0</v>
      </c>
      <c r="K285" s="30">
        <v>0</v>
      </c>
      <c r="L285" s="30" t="s">
        <v>1802</v>
      </c>
      <c r="M285" s="30">
        <v>0</v>
      </c>
      <c r="N285" s="30">
        <v>0</v>
      </c>
      <c r="O285" s="66">
        <v>0</v>
      </c>
      <c r="P285" s="30">
        <v>0</v>
      </c>
      <c r="Q285" s="30">
        <v>0</v>
      </c>
      <c r="R285" s="30">
        <v>0</v>
      </c>
      <c r="S285" s="30">
        <v>1</v>
      </c>
      <c r="T285" s="30">
        <v>0</v>
      </c>
      <c r="U285" s="31">
        <v>0</v>
      </c>
      <c r="V285" s="67">
        <v>0</v>
      </c>
      <c r="W285" s="67">
        <f>0*1*2.5</f>
        <v>0</v>
      </c>
      <c r="X285" s="67">
        <v>0</v>
      </c>
      <c r="Z285" s="67" t="s">
        <v>1803</v>
      </c>
      <c r="AC285" s="69" t="s">
        <v>2344</v>
      </c>
    </row>
    <row r="286" ht="39.6" spans="1:28">
      <c r="A286" s="29">
        <v>10028321</v>
      </c>
      <c r="B286" s="30">
        <v>4</v>
      </c>
      <c r="C286" s="63" t="s">
        <v>1621</v>
      </c>
      <c r="D286" s="64" t="s">
        <v>14</v>
      </c>
      <c r="E286" s="65">
        <v>0</v>
      </c>
      <c r="F286" s="65">
        <v>0</v>
      </c>
      <c r="G286" s="30">
        <v>0</v>
      </c>
      <c r="H286" s="30">
        <v>5</v>
      </c>
      <c r="I286" s="30">
        <v>0</v>
      </c>
      <c r="J286" s="30">
        <v>0</v>
      </c>
      <c r="K286" s="30">
        <v>4</v>
      </c>
      <c r="L286" s="30" t="s">
        <v>1802</v>
      </c>
      <c r="M286" s="30">
        <v>0</v>
      </c>
      <c r="N286" s="30">
        <v>0</v>
      </c>
      <c r="O286" s="66">
        <v>0</v>
      </c>
      <c r="P286" s="30">
        <v>0</v>
      </c>
      <c r="Q286" s="30">
        <v>0</v>
      </c>
      <c r="R286" s="30">
        <v>0</v>
      </c>
      <c r="S286" s="30">
        <v>1</v>
      </c>
      <c r="T286" s="30">
        <v>0</v>
      </c>
      <c r="U286" s="31">
        <v>0</v>
      </c>
      <c r="V286" s="67">
        <v>0</v>
      </c>
      <c r="W286" s="67">
        <f>0*1*2.5</f>
        <v>0</v>
      </c>
      <c r="X286" s="67">
        <v>0</v>
      </c>
      <c r="Z286" s="67" t="s">
        <v>1980</v>
      </c>
      <c r="AB286" s="69" t="s">
        <v>2345</v>
      </c>
    </row>
    <row r="287" ht="39.6" spans="1:28">
      <c r="A287" s="29">
        <v>10028421</v>
      </c>
      <c r="B287" s="30">
        <v>4</v>
      </c>
      <c r="C287" s="63" t="s">
        <v>2346</v>
      </c>
      <c r="D287" s="64" t="s">
        <v>1805</v>
      </c>
      <c r="E287" s="65">
        <v>0</v>
      </c>
      <c r="F287" s="65">
        <v>2</v>
      </c>
      <c r="G287" s="30">
        <v>0</v>
      </c>
      <c r="H287" s="30">
        <v>0</v>
      </c>
      <c r="I287" s="30">
        <v>0</v>
      </c>
      <c r="J287" s="30">
        <v>0</v>
      </c>
      <c r="K287" s="30">
        <v>1</v>
      </c>
      <c r="L287" s="30" t="s">
        <v>115</v>
      </c>
      <c r="M287" s="30">
        <v>0</v>
      </c>
      <c r="N287" s="30">
        <v>0</v>
      </c>
      <c r="O287" s="66">
        <v>0</v>
      </c>
      <c r="P287" s="30">
        <v>0</v>
      </c>
      <c r="Q287" s="30">
        <v>0</v>
      </c>
      <c r="R287" s="30">
        <v>4</v>
      </c>
      <c r="S287" s="30">
        <v>1.9</v>
      </c>
      <c r="T287" s="30">
        <v>0.2</v>
      </c>
      <c r="U287" s="31">
        <v>0</v>
      </c>
      <c r="V287" s="67">
        <v>0</v>
      </c>
      <c r="W287" s="67">
        <f>4*1.9*2.5</f>
        <v>19</v>
      </c>
      <c r="X287" s="67">
        <f>4+MAX($X$2,0.2)*4*$X$1</f>
        <v>23.2</v>
      </c>
      <c r="Y287" s="67" t="s">
        <v>1838</v>
      </c>
      <c r="Z287" s="67" t="s">
        <v>1807</v>
      </c>
      <c r="AB287" s="69" t="s">
        <v>1623</v>
      </c>
    </row>
    <row r="288" ht="39.6" spans="1:28">
      <c r="A288" s="29">
        <v>10028521</v>
      </c>
      <c r="B288" s="30">
        <v>6</v>
      </c>
      <c r="C288" s="63" t="s">
        <v>2347</v>
      </c>
      <c r="D288" s="64" t="s">
        <v>1881</v>
      </c>
      <c r="E288" s="65">
        <v>0</v>
      </c>
      <c r="F288" s="65">
        <v>2</v>
      </c>
      <c r="G288" s="30">
        <v>0</v>
      </c>
      <c r="H288" s="30">
        <v>0</v>
      </c>
      <c r="I288" s="30">
        <v>0</v>
      </c>
      <c r="J288" s="30">
        <v>0</v>
      </c>
      <c r="K288" s="30">
        <v>0</v>
      </c>
      <c r="L288" s="30" t="s">
        <v>115</v>
      </c>
      <c r="M288" s="30">
        <v>1</v>
      </c>
      <c r="N288" s="30">
        <v>0</v>
      </c>
      <c r="O288" s="66">
        <v>0</v>
      </c>
      <c r="P288" s="30">
        <v>0</v>
      </c>
      <c r="Q288" s="30">
        <v>0</v>
      </c>
      <c r="R288" s="30">
        <v>10</v>
      </c>
      <c r="S288" s="30">
        <v>3</v>
      </c>
      <c r="T288" s="30">
        <v>0.4</v>
      </c>
      <c r="U288" s="31">
        <v>0</v>
      </c>
      <c r="V288" s="67">
        <v>0</v>
      </c>
      <c r="W288" s="67">
        <f>10*3*2.5</f>
        <v>75</v>
      </c>
      <c r="X288" s="67">
        <f>10+MAX($X$2,0.4)*10*$X$1</f>
        <v>58</v>
      </c>
      <c r="Y288" s="67" t="s">
        <v>1966</v>
      </c>
      <c r="Z288" s="67" t="s">
        <v>1883</v>
      </c>
      <c r="AB288" s="69" t="s">
        <v>2348</v>
      </c>
    </row>
    <row r="289" ht="39.6" spans="1:28">
      <c r="A289" s="29">
        <v>10028621</v>
      </c>
      <c r="B289" s="30">
        <v>5</v>
      </c>
      <c r="C289" s="63" t="s">
        <v>1030</v>
      </c>
      <c r="D289" s="64" t="s">
        <v>1881</v>
      </c>
      <c r="E289" s="65">
        <v>0</v>
      </c>
      <c r="F289" s="65">
        <v>1</v>
      </c>
      <c r="G289" s="30">
        <v>0</v>
      </c>
      <c r="H289" s="30">
        <v>0</v>
      </c>
      <c r="I289" s="30">
        <v>0</v>
      </c>
      <c r="J289" s="30">
        <v>0</v>
      </c>
      <c r="K289" s="30">
        <v>0</v>
      </c>
      <c r="L289" s="30" t="s">
        <v>115</v>
      </c>
      <c r="M289" s="30">
        <v>3</v>
      </c>
      <c r="N289" s="30">
        <v>0</v>
      </c>
      <c r="O289" s="66">
        <v>0</v>
      </c>
      <c r="P289" s="30">
        <v>0</v>
      </c>
      <c r="Q289" s="30">
        <v>0</v>
      </c>
      <c r="R289" s="30">
        <v>9</v>
      </c>
      <c r="S289" s="30">
        <v>3.1</v>
      </c>
      <c r="T289" s="30">
        <v>0.45</v>
      </c>
      <c r="U289" s="31">
        <v>0</v>
      </c>
      <c r="V289" s="67">
        <v>0</v>
      </c>
      <c r="W289" s="67">
        <f>9*3.1*2.5</f>
        <v>69.75</v>
      </c>
      <c r="X289" s="67">
        <f>9+MAX($X$2,0.45)*9*$X$1</f>
        <v>52.2</v>
      </c>
      <c r="Y289" s="67" t="s">
        <v>2349</v>
      </c>
      <c r="Z289" s="67" t="s">
        <v>1883</v>
      </c>
      <c r="AB289" s="69" t="s">
        <v>2350</v>
      </c>
    </row>
    <row r="290" ht="39.6" spans="1:28">
      <c r="A290" s="29">
        <v>10028721</v>
      </c>
      <c r="B290" s="30">
        <v>5</v>
      </c>
      <c r="C290" s="63" t="s">
        <v>1098</v>
      </c>
      <c r="D290" s="64" t="s">
        <v>1805</v>
      </c>
      <c r="E290" s="65">
        <v>0</v>
      </c>
      <c r="F290" s="65">
        <v>4</v>
      </c>
      <c r="G290" s="30">
        <v>0</v>
      </c>
      <c r="H290" s="30">
        <v>0</v>
      </c>
      <c r="I290" s="30">
        <v>0</v>
      </c>
      <c r="J290" s="30">
        <v>0</v>
      </c>
      <c r="K290" s="30">
        <v>0</v>
      </c>
      <c r="L290" s="30" t="s">
        <v>115</v>
      </c>
      <c r="M290" s="30">
        <v>0</v>
      </c>
      <c r="N290" s="30">
        <v>0</v>
      </c>
      <c r="O290" s="66">
        <v>0</v>
      </c>
      <c r="P290" s="30">
        <v>0</v>
      </c>
      <c r="Q290" s="30">
        <v>0</v>
      </c>
      <c r="R290" s="30">
        <v>8</v>
      </c>
      <c r="S290" s="30">
        <v>2.4</v>
      </c>
      <c r="T290" s="30">
        <v>0.45</v>
      </c>
      <c r="U290" s="31">
        <v>0</v>
      </c>
      <c r="V290" s="67">
        <v>0</v>
      </c>
      <c r="W290" s="67">
        <f>8*2.4*2.5</f>
        <v>48</v>
      </c>
      <c r="X290" s="67">
        <f>8+MAX($X$2,0.45)*8*$X$1</f>
        <v>46.4</v>
      </c>
      <c r="Y290" s="67" t="s">
        <v>2351</v>
      </c>
      <c r="Z290" s="67" t="s">
        <v>1807</v>
      </c>
      <c r="AB290" s="69" t="s">
        <v>2352</v>
      </c>
    </row>
    <row r="291" ht="39.6" spans="1:29">
      <c r="A291" s="29">
        <v>10028821</v>
      </c>
      <c r="B291" s="30">
        <v>5</v>
      </c>
      <c r="C291" s="63" t="s">
        <v>2353</v>
      </c>
      <c r="D291" s="64" t="s">
        <v>1960</v>
      </c>
      <c r="E291" s="65">
        <v>0</v>
      </c>
      <c r="F291" s="65">
        <v>0</v>
      </c>
      <c r="G291" s="30">
        <v>0</v>
      </c>
      <c r="H291" s="30">
        <v>0</v>
      </c>
      <c r="I291" s="30">
        <v>0</v>
      </c>
      <c r="J291" s="30">
        <v>0</v>
      </c>
      <c r="K291" s="30">
        <v>7</v>
      </c>
      <c r="L291" s="30" t="s">
        <v>1802</v>
      </c>
      <c r="M291" s="30">
        <v>0</v>
      </c>
      <c r="N291" s="30">
        <v>0</v>
      </c>
      <c r="O291" s="66">
        <v>0</v>
      </c>
      <c r="P291" s="30">
        <v>0</v>
      </c>
      <c r="Q291" s="30">
        <v>0</v>
      </c>
      <c r="R291" s="30">
        <v>6</v>
      </c>
      <c r="S291" s="30">
        <v>3.4</v>
      </c>
      <c r="T291" s="30">
        <v>0.6</v>
      </c>
      <c r="U291" s="31">
        <v>0</v>
      </c>
      <c r="V291" s="67">
        <v>0</v>
      </c>
      <c r="W291" s="67">
        <f>6*3.4*2.5</f>
        <v>51</v>
      </c>
      <c r="X291" s="67">
        <f>6+MAX($X$2,0.6)*6*$X$1</f>
        <v>34.8</v>
      </c>
      <c r="Y291" s="67" t="s">
        <v>2354</v>
      </c>
      <c r="Z291" s="67" t="s">
        <v>1883</v>
      </c>
      <c r="AC291" s="69" t="s">
        <v>2355</v>
      </c>
    </row>
    <row r="292" ht="26.4" spans="1:28">
      <c r="A292" s="29">
        <v>10028921</v>
      </c>
      <c r="B292" s="30">
        <v>5</v>
      </c>
      <c r="C292" s="63" t="s">
        <v>856</v>
      </c>
      <c r="D292" s="64" t="s">
        <v>1845</v>
      </c>
      <c r="E292" s="65">
        <v>0</v>
      </c>
      <c r="F292" s="65">
        <v>29</v>
      </c>
      <c r="G292" s="30">
        <v>0</v>
      </c>
      <c r="H292" s="30">
        <v>0</v>
      </c>
      <c r="I292" s="30">
        <v>0</v>
      </c>
      <c r="J292" s="30">
        <v>0</v>
      </c>
      <c r="K292" s="30">
        <v>-5</v>
      </c>
      <c r="L292" s="30" t="s">
        <v>1022</v>
      </c>
      <c r="M292" s="30">
        <v>-5</v>
      </c>
      <c r="N292" s="30">
        <v>0</v>
      </c>
      <c r="O292" s="66">
        <v>0</v>
      </c>
      <c r="P292" s="30">
        <v>0</v>
      </c>
      <c r="Q292" s="30">
        <v>0</v>
      </c>
      <c r="R292" s="30">
        <v>0</v>
      </c>
      <c r="S292" s="30">
        <v>1</v>
      </c>
      <c r="T292" s="30">
        <v>0</v>
      </c>
      <c r="U292" s="31">
        <v>0</v>
      </c>
      <c r="V292" s="67">
        <v>0</v>
      </c>
      <c r="W292" s="67">
        <f>0*1*2.5</f>
        <v>0</v>
      </c>
      <c r="X292" s="67">
        <v>0</v>
      </c>
      <c r="Z292" s="67" t="s">
        <v>1846</v>
      </c>
      <c r="AB292" s="69" t="s">
        <v>855</v>
      </c>
    </row>
    <row r="293" ht="52.8" spans="1:28">
      <c r="A293" s="29">
        <v>10029021</v>
      </c>
      <c r="B293" s="30">
        <v>4</v>
      </c>
      <c r="C293" s="63" t="s">
        <v>2356</v>
      </c>
      <c r="D293" s="64" t="s">
        <v>1801</v>
      </c>
      <c r="E293" s="65">
        <v>0</v>
      </c>
      <c r="F293" s="65">
        <v>0</v>
      </c>
      <c r="G293" s="30">
        <v>0</v>
      </c>
      <c r="H293" s="30">
        <v>0</v>
      </c>
      <c r="I293" s="30">
        <v>0</v>
      </c>
      <c r="J293" s="30">
        <v>0</v>
      </c>
      <c r="K293" s="30">
        <v>0</v>
      </c>
      <c r="L293" s="30" t="s">
        <v>1802</v>
      </c>
      <c r="M293" s="30">
        <v>0</v>
      </c>
      <c r="N293" s="30">
        <v>-5</v>
      </c>
      <c r="O293" s="66">
        <v>0</v>
      </c>
      <c r="P293" s="30">
        <v>0</v>
      </c>
      <c r="Q293" s="30">
        <v>0</v>
      </c>
      <c r="R293" s="30">
        <v>0</v>
      </c>
      <c r="S293" s="30">
        <v>1</v>
      </c>
      <c r="T293" s="30">
        <v>0</v>
      </c>
      <c r="U293" s="31">
        <v>0</v>
      </c>
      <c r="V293" s="67">
        <v>0</v>
      </c>
      <c r="W293" s="67">
        <f>0*1*2.5</f>
        <v>0</v>
      </c>
      <c r="X293" s="67">
        <v>0</v>
      </c>
      <c r="Z293" s="67" t="s">
        <v>1803</v>
      </c>
      <c r="AB293" s="69" t="s">
        <v>771</v>
      </c>
    </row>
    <row r="294" ht="26.4" spans="1:28">
      <c r="A294" s="29">
        <v>10029121</v>
      </c>
      <c r="B294" s="30">
        <v>6</v>
      </c>
      <c r="C294" s="63" t="s">
        <v>2357</v>
      </c>
      <c r="D294" s="64" t="s">
        <v>1907</v>
      </c>
      <c r="E294" s="65">
        <v>0</v>
      </c>
      <c r="F294" s="65">
        <v>0</v>
      </c>
      <c r="G294" s="30">
        <v>0</v>
      </c>
      <c r="H294" s="30">
        <v>0</v>
      </c>
      <c r="I294" s="30">
        <v>0</v>
      </c>
      <c r="J294" s="30">
        <v>0</v>
      </c>
      <c r="K294" s="30">
        <v>0</v>
      </c>
      <c r="L294" s="30" t="s">
        <v>1802</v>
      </c>
      <c r="M294" s="30">
        <v>0</v>
      </c>
      <c r="N294" s="30">
        <v>0</v>
      </c>
      <c r="O294" s="66">
        <v>4</v>
      </c>
      <c r="P294" s="30">
        <v>0</v>
      </c>
      <c r="Q294" s="30">
        <v>0</v>
      </c>
      <c r="R294" s="30">
        <v>11</v>
      </c>
      <c r="S294" s="30">
        <v>1</v>
      </c>
      <c r="T294" s="30">
        <v>0</v>
      </c>
      <c r="U294" s="31">
        <v>0</v>
      </c>
      <c r="V294" s="67">
        <v>7</v>
      </c>
      <c r="W294" s="67">
        <f>11*1*2.5</f>
        <v>27.5</v>
      </c>
      <c r="X294" s="67">
        <v>11</v>
      </c>
      <c r="Y294" s="67" t="s">
        <v>2194</v>
      </c>
      <c r="Z294" s="67" t="s">
        <v>1909</v>
      </c>
      <c r="AB294" s="69" t="s">
        <v>1677</v>
      </c>
    </row>
    <row r="295" ht="39.6" spans="1:29">
      <c r="A295" s="29">
        <v>10029221</v>
      </c>
      <c r="B295" s="30">
        <v>5</v>
      </c>
      <c r="C295" s="63" t="s">
        <v>2358</v>
      </c>
      <c r="D295" s="64" t="s">
        <v>14</v>
      </c>
      <c r="E295" s="65">
        <v>0</v>
      </c>
      <c r="F295" s="65">
        <v>0</v>
      </c>
      <c r="G295" s="30">
        <v>0</v>
      </c>
      <c r="H295" s="30">
        <v>12</v>
      </c>
      <c r="I295" s="30">
        <v>0</v>
      </c>
      <c r="J295" s="30">
        <v>0</v>
      </c>
      <c r="K295" s="30">
        <v>1</v>
      </c>
      <c r="L295" s="30" t="s">
        <v>1802</v>
      </c>
      <c r="M295" s="30">
        <v>2</v>
      </c>
      <c r="N295" s="30">
        <v>0</v>
      </c>
      <c r="O295" s="66">
        <v>0</v>
      </c>
      <c r="P295" s="30">
        <v>0</v>
      </c>
      <c r="Q295" s="30">
        <v>0</v>
      </c>
      <c r="R295" s="30">
        <v>0</v>
      </c>
      <c r="S295" s="30">
        <v>1</v>
      </c>
      <c r="T295" s="30">
        <v>0</v>
      </c>
      <c r="U295" s="31">
        <v>0</v>
      </c>
      <c r="V295" s="67">
        <v>0</v>
      </c>
      <c r="W295" s="67">
        <f>0*1*2.5</f>
        <v>0</v>
      </c>
      <c r="X295" s="67">
        <v>0</v>
      </c>
      <c r="Z295" s="67" t="s">
        <v>1980</v>
      </c>
      <c r="AC295" s="69" t="s">
        <v>2359</v>
      </c>
    </row>
    <row r="296" ht="26.4" spans="1:28">
      <c r="A296" s="29">
        <v>10029321</v>
      </c>
      <c r="B296" s="30">
        <v>5</v>
      </c>
      <c r="C296" s="63" t="s">
        <v>2360</v>
      </c>
      <c r="D296" s="64" t="s">
        <v>1927</v>
      </c>
      <c r="E296" s="65">
        <v>0</v>
      </c>
      <c r="F296" s="65">
        <v>0</v>
      </c>
      <c r="G296" s="30">
        <v>0</v>
      </c>
      <c r="H296" s="30">
        <v>0</v>
      </c>
      <c r="I296" s="30">
        <v>0</v>
      </c>
      <c r="J296" s="30">
        <v>0</v>
      </c>
      <c r="K296" s="30">
        <v>0</v>
      </c>
      <c r="L296" s="30" t="s">
        <v>1802</v>
      </c>
      <c r="M296" s="30">
        <v>0</v>
      </c>
      <c r="N296" s="30">
        <v>0</v>
      </c>
      <c r="O296" s="66">
        <v>7</v>
      </c>
      <c r="P296" s="30">
        <v>0</v>
      </c>
      <c r="Q296" s="30">
        <v>0</v>
      </c>
      <c r="R296" s="30">
        <v>9</v>
      </c>
      <c r="S296" s="30">
        <v>1</v>
      </c>
      <c r="T296" s="30">
        <v>0</v>
      </c>
      <c r="U296" s="31">
        <v>0</v>
      </c>
      <c r="V296" s="67">
        <v>6</v>
      </c>
      <c r="W296" s="67">
        <f>9*1*2.5</f>
        <v>22.5</v>
      </c>
      <c r="X296" s="67">
        <v>9</v>
      </c>
      <c r="Y296" s="67" t="s">
        <v>1920</v>
      </c>
      <c r="Z296" s="67" t="s">
        <v>1909</v>
      </c>
      <c r="AA296" s="97">
        <v>0.0335648148148148</v>
      </c>
      <c r="AB296" s="98"/>
    </row>
    <row r="297" ht="26.4" spans="1:28">
      <c r="A297" s="29">
        <v>10029421</v>
      </c>
      <c r="B297" s="30">
        <v>5</v>
      </c>
      <c r="C297" s="63" t="s">
        <v>1534</v>
      </c>
      <c r="D297" s="64" t="s">
        <v>1907</v>
      </c>
      <c r="E297" s="65">
        <v>0</v>
      </c>
      <c r="F297" s="65">
        <v>0</v>
      </c>
      <c r="G297" s="30">
        <v>0</v>
      </c>
      <c r="H297" s="30">
        <v>0</v>
      </c>
      <c r="I297" s="30">
        <v>0</v>
      </c>
      <c r="J297" s="30">
        <v>0</v>
      </c>
      <c r="K297" s="30">
        <v>0</v>
      </c>
      <c r="L297" s="30" t="s">
        <v>1802</v>
      </c>
      <c r="M297" s="30">
        <v>0</v>
      </c>
      <c r="N297" s="30">
        <v>0</v>
      </c>
      <c r="O297" s="66">
        <v>4</v>
      </c>
      <c r="P297" s="30">
        <v>0</v>
      </c>
      <c r="Q297" s="30">
        <v>0</v>
      </c>
      <c r="R297" s="30">
        <v>10</v>
      </c>
      <c r="S297" s="30">
        <v>1</v>
      </c>
      <c r="T297" s="30">
        <v>0</v>
      </c>
      <c r="U297" s="31">
        <v>0</v>
      </c>
      <c r="V297" s="67">
        <v>6</v>
      </c>
      <c r="W297" s="67">
        <f>10*1*2.5</f>
        <v>25</v>
      </c>
      <c r="X297" s="67">
        <v>10</v>
      </c>
      <c r="Y297" s="67" t="s">
        <v>1920</v>
      </c>
      <c r="Z297" s="67" t="s">
        <v>1909</v>
      </c>
      <c r="AB297" s="69" t="s">
        <v>1532</v>
      </c>
    </row>
    <row r="298" ht="39.6" spans="1:28">
      <c r="A298" s="29">
        <v>10029521</v>
      </c>
      <c r="B298" s="30">
        <v>3</v>
      </c>
      <c r="C298" s="63" t="s">
        <v>497</v>
      </c>
      <c r="D298" s="64" t="s">
        <v>1832</v>
      </c>
      <c r="E298" s="65">
        <v>0</v>
      </c>
      <c r="F298" s="65">
        <v>9</v>
      </c>
      <c r="G298" s="30">
        <v>0</v>
      </c>
      <c r="H298" s="30">
        <v>0</v>
      </c>
      <c r="I298" s="30">
        <v>0</v>
      </c>
      <c r="J298" s="30">
        <v>0</v>
      </c>
      <c r="K298" s="30">
        <v>2</v>
      </c>
      <c r="L298" s="30" t="s">
        <v>52</v>
      </c>
      <c r="M298" s="30">
        <v>0</v>
      </c>
      <c r="N298" s="30">
        <v>0</v>
      </c>
      <c r="O298" s="66">
        <v>0</v>
      </c>
      <c r="P298" s="30">
        <v>0</v>
      </c>
      <c r="Q298" s="30">
        <v>0</v>
      </c>
      <c r="R298" s="30">
        <v>0</v>
      </c>
      <c r="S298" s="30">
        <v>1</v>
      </c>
      <c r="T298" s="30">
        <v>0</v>
      </c>
      <c r="U298" s="31">
        <v>0</v>
      </c>
      <c r="V298" s="67">
        <v>0</v>
      </c>
      <c r="W298" s="67">
        <f>0*1*2.5</f>
        <v>0</v>
      </c>
      <c r="X298" s="67">
        <v>0</v>
      </c>
      <c r="Z298" s="67" t="s">
        <v>1834</v>
      </c>
      <c r="AB298" s="69" t="s">
        <v>495</v>
      </c>
    </row>
    <row r="299" ht="39.6" spans="1:28">
      <c r="A299" s="29">
        <v>10029621</v>
      </c>
      <c r="B299" s="30">
        <v>5</v>
      </c>
      <c r="C299" s="63" t="s">
        <v>2361</v>
      </c>
      <c r="D299" s="64" t="s">
        <v>1952</v>
      </c>
      <c r="E299" s="65">
        <v>0</v>
      </c>
      <c r="F299" s="65">
        <v>0</v>
      </c>
      <c r="G299" s="30">
        <v>0</v>
      </c>
      <c r="H299" s="30">
        <v>0</v>
      </c>
      <c r="I299" s="30">
        <v>2</v>
      </c>
      <c r="J299" s="30">
        <v>5</v>
      </c>
      <c r="K299" s="30">
        <v>0</v>
      </c>
      <c r="L299" s="30" t="s">
        <v>1802</v>
      </c>
      <c r="M299" s="30">
        <v>0</v>
      </c>
      <c r="N299" s="30">
        <v>6</v>
      </c>
      <c r="O299" s="66">
        <v>0</v>
      </c>
      <c r="P299" s="30">
        <v>0</v>
      </c>
      <c r="Q299" s="30">
        <v>0</v>
      </c>
      <c r="R299" s="30">
        <v>0</v>
      </c>
      <c r="S299" s="30">
        <v>1</v>
      </c>
      <c r="T299" s="30">
        <v>0</v>
      </c>
      <c r="U299" s="31">
        <v>0</v>
      </c>
      <c r="V299" s="67">
        <v>2</v>
      </c>
      <c r="W299" s="67">
        <f>0*1*2.5</f>
        <v>0</v>
      </c>
      <c r="X299" s="67">
        <v>0</v>
      </c>
      <c r="Y299" s="67" t="s">
        <v>2362</v>
      </c>
      <c r="Z299" s="67" t="s">
        <v>1953</v>
      </c>
      <c r="AB299" s="69" t="s">
        <v>665</v>
      </c>
    </row>
    <row r="300" ht="26.4" spans="1:28">
      <c r="A300" s="29">
        <v>10029721</v>
      </c>
      <c r="B300" s="30">
        <v>4</v>
      </c>
      <c r="C300" s="63" t="s">
        <v>1219</v>
      </c>
      <c r="D300" s="64" t="s">
        <v>1845</v>
      </c>
      <c r="E300" s="65">
        <v>0</v>
      </c>
      <c r="F300" s="65">
        <v>19</v>
      </c>
      <c r="G300" s="30">
        <v>0</v>
      </c>
      <c r="H300" s="30">
        <v>0</v>
      </c>
      <c r="I300" s="30">
        <v>0</v>
      </c>
      <c r="J300" s="30">
        <v>0</v>
      </c>
      <c r="K300" s="30">
        <v>1</v>
      </c>
      <c r="L300" s="30" t="s">
        <v>52</v>
      </c>
      <c r="M300" s="30">
        <v>0</v>
      </c>
      <c r="N300" s="30">
        <v>0</v>
      </c>
      <c r="O300" s="66">
        <v>0</v>
      </c>
      <c r="P300" s="30">
        <v>0</v>
      </c>
      <c r="Q300" s="30">
        <v>0</v>
      </c>
      <c r="R300" s="30">
        <v>5</v>
      </c>
      <c r="S300" s="30">
        <v>1</v>
      </c>
      <c r="T300" s="30">
        <v>0.25</v>
      </c>
      <c r="U300" s="31">
        <v>0</v>
      </c>
      <c r="V300" s="67">
        <v>0</v>
      </c>
      <c r="W300" s="67">
        <f>5*1*2.5</f>
        <v>12.5</v>
      </c>
      <c r="X300" s="67">
        <f>5+MAX($X$2,0.25)*5*$X$1</f>
        <v>29</v>
      </c>
      <c r="Y300" s="67" t="s">
        <v>1851</v>
      </c>
      <c r="Z300" s="67" t="s">
        <v>1846</v>
      </c>
      <c r="AB300" s="69" t="s">
        <v>1216</v>
      </c>
    </row>
    <row r="301" ht="39.6" spans="1:28">
      <c r="A301" s="29">
        <v>10029821</v>
      </c>
      <c r="B301" s="30">
        <v>4</v>
      </c>
      <c r="C301" s="63" t="s">
        <v>883</v>
      </c>
      <c r="D301" s="64" t="s">
        <v>1832</v>
      </c>
      <c r="E301" s="65">
        <v>0</v>
      </c>
      <c r="F301" s="65">
        <v>9</v>
      </c>
      <c r="G301" s="30">
        <v>0</v>
      </c>
      <c r="H301" s="30">
        <v>0</v>
      </c>
      <c r="I301" s="30">
        <v>0</v>
      </c>
      <c r="J301" s="30">
        <v>0</v>
      </c>
      <c r="K301" s="30">
        <v>-1</v>
      </c>
      <c r="L301" s="30" t="s">
        <v>158</v>
      </c>
      <c r="M301" s="30">
        <v>0</v>
      </c>
      <c r="N301" s="30">
        <v>0</v>
      </c>
      <c r="O301" s="66">
        <v>0</v>
      </c>
      <c r="P301" s="30">
        <v>0</v>
      </c>
      <c r="Q301" s="30">
        <v>0</v>
      </c>
      <c r="R301" s="30">
        <v>0</v>
      </c>
      <c r="S301" s="30">
        <v>1</v>
      </c>
      <c r="T301" s="30">
        <v>0</v>
      </c>
      <c r="U301" s="31">
        <v>0</v>
      </c>
      <c r="V301" s="67">
        <v>0</v>
      </c>
      <c r="W301" s="67">
        <f>0*1*2.5</f>
        <v>0</v>
      </c>
      <c r="X301" s="67">
        <v>0</v>
      </c>
      <c r="Z301" s="67" t="s">
        <v>1834</v>
      </c>
      <c r="AB301" s="69" t="s">
        <v>882</v>
      </c>
    </row>
    <row r="302" ht="39.6" spans="1:28">
      <c r="A302" s="29">
        <v>10029921</v>
      </c>
      <c r="B302" s="30">
        <v>4</v>
      </c>
      <c r="C302" s="63" t="s">
        <v>873</v>
      </c>
      <c r="D302" s="64" t="s">
        <v>1805</v>
      </c>
      <c r="E302" s="65">
        <v>0</v>
      </c>
      <c r="F302" s="65">
        <v>5</v>
      </c>
      <c r="G302" s="30">
        <v>0</v>
      </c>
      <c r="H302" s="30">
        <v>0</v>
      </c>
      <c r="I302" s="30">
        <v>0</v>
      </c>
      <c r="J302" s="30">
        <v>0</v>
      </c>
      <c r="K302" s="30">
        <v>0</v>
      </c>
      <c r="L302" s="30" t="s">
        <v>115</v>
      </c>
      <c r="M302" s="30">
        <v>0</v>
      </c>
      <c r="N302" s="30">
        <v>0</v>
      </c>
      <c r="O302" s="66">
        <v>0</v>
      </c>
      <c r="P302" s="30">
        <v>0</v>
      </c>
      <c r="Q302" s="30">
        <v>0</v>
      </c>
      <c r="R302" s="30">
        <v>1</v>
      </c>
      <c r="S302" s="30">
        <v>1.2</v>
      </c>
      <c r="T302" s="30">
        <v>0</v>
      </c>
      <c r="U302" s="31">
        <v>0</v>
      </c>
      <c r="V302" s="67">
        <v>0</v>
      </c>
      <c r="W302" s="67">
        <f>1*1.2*2.5</f>
        <v>3</v>
      </c>
      <c r="X302" s="67">
        <v>1</v>
      </c>
      <c r="Y302" s="67" t="s">
        <v>2112</v>
      </c>
      <c r="Z302" s="67" t="s">
        <v>1807</v>
      </c>
      <c r="AB302" s="69" t="s">
        <v>2363</v>
      </c>
    </row>
    <row r="303" ht="52.8" spans="1:29">
      <c r="A303" s="29">
        <v>10030021</v>
      </c>
      <c r="B303" s="30">
        <v>5</v>
      </c>
      <c r="C303" s="63" t="s">
        <v>2364</v>
      </c>
      <c r="D303" s="64" t="s">
        <v>1801</v>
      </c>
      <c r="E303" s="65">
        <v>0</v>
      </c>
      <c r="F303" s="65">
        <v>0</v>
      </c>
      <c r="G303" s="30">
        <v>0</v>
      </c>
      <c r="H303" s="30">
        <v>0</v>
      </c>
      <c r="I303" s="30">
        <v>0</v>
      </c>
      <c r="J303" s="30">
        <v>0</v>
      </c>
      <c r="K303" s="30">
        <v>0</v>
      </c>
      <c r="L303" s="30" t="s">
        <v>1802</v>
      </c>
      <c r="M303" s="30">
        <v>5</v>
      </c>
      <c r="N303" s="30">
        <v>2</v>
      </c>
      <c r="O303" s="66">
        <v>0</v>
      </c>
      <c r="P303" s="30">
        <v>0</v>
      </c>
      <c r="Q303" s="30">
        <v>0</v>
      </c>
      <c r="R303" s="30">
        <v>0</v>
      </c>
      <c r="S303" s="30">
        <v>1</v>
      </c>
      <c r="T303" s="30">
        <v>0</v>
      </c>
      <c r="U303" s="31">
        <v>0</v>
      </c>
      <c r="V303" s="67">
        <v>0</v>
      </c>
      <c r="W303" s="67">
        <f>0*1*2.5</f>
        <v>0</v>
      </c>
      <c r="X303" s="67">
        <v>0</v>
      </c>
      <c r="Z303" s="67" t="s">
        <v>1803</v>
      </c>
      <c r="AC303" s="69" t="s">
        <v>2365</v>
      </c>
    </row>
    <row r="304" ht="39.6" spans="1:29">
      <c r="A304" s="29">
        <v>10030121</v>
      </c>
      <c r="B304" s="30">
        <v>5</v>
      </c>
      <c r="C304" s="63" t="s">
        <v>2366</v>
      </c>
      <c r="D304" s="64" t="s">
        <v>1828</v>
      </c>
      <c r="E304" s="65">
        <v>0</v>
      </c>
      <c r="F304" s="65">
        <v>9</v>
      </c>
      <c r="G304" s="30">
        <v>0</v>
      </c>
      <c r="H304" s="30">
        <v>0</v>
      </c>
      <c r="I304" s="30">
        <v>0</v>
      </c>
      <c r="J304" s="30">
        <v>0</v>
      </c>
      <c r="K304" s="30">
        <v>2</v>
      </c>
      <c r="L304" s="30" t="s">
        <v>52</v>
      </c>
      <c r="M304" s="30">
        <v>0</v>
      </c>
      <c r="N304" s="30">
        <v>0</v>
      </c>
      <c r="O304" s="66">
        <v>0</v>
      </c>
      <c r="P304" s="30">
        <v>0</v>
      </c>
      <c r="Q304" s="30">
        <v>0</v>
      </c>
      <c r="R304" s="30">
        <v>0</v>
      </c>
      <c r="S304" s="30">
        <v>1</v>
      </c>
      <c r="T304" s="30">
        <v>0</v>
      </c>
      <c r="U304" s="31">
        <v>0</v>
      </c>
      <c r="V304" s="67">
        <v>0</v>
      </c>
      <c r="W304" s="67">
        <f>0*1*2.5</f>
        <v>0</v>
      </c>
      <c r="X304" s="67">
        <v>0</v>
      </c>
      <c r="Z304" s="67" t="s">
        <v>1829</v>
      </c>
      <c r="AC304" s="69" t="s">
        <v>2367</v>
      </c>
    </row>
    <row r="305" ht="39.6" spans="1:29">
      <c r="A305" s="29">
        <v>10030221</v>
      </c>
      <c r="B305" s="30">
        <v>6</v>
      </c>
      <c r="C305" s="63" t="s">
        <v>2368</v>
      </c>
      <c r="D305" s="64" t="s">
        <v>1845</v>
      </c>
      <c r="E305" s="65">
        <v>0</v>
      </c>
      <c r="F305" s="65">
        <v>28</v>
      </c>
      <c r="G305" s="30">
        <v>0</v>
      </c>
      <c r="H305" s="30">
        <v>0</v>
      </c>
      <c r="I305" s="30">
        <v>0</v>
      </c>
      <c r="J305" s="30">
        <v>0</v>
      </c>
      <c r="K305" s="30">
        <v>0</v>
      </c>
      <c r="L305" s="30" t="s">
        <v>52</v>
      </c>
      <c r="M305" s="30">
        <v>0</v>
      </c>
      <c r="N305" s="30">
        <v>0</v>
      </c>
      <c r="O305" s="66">
        <v>0</v>
      </c>
      <c r="P305" s="30">
        <v>0</v>
      </c>
      <c r="Q305" s="30">
        <v>0</v>
      </c>
      <c r="R305" s="30">
        <v>0</v>
      </c>
      <c r="S305" s="30">
        <v>1</v>
      </c>
      <c r="T305" s="30">
        <v>0</v>
      </c>
      <c r="U305" s="31">
        <v>0</v>
      </c>
      <c r="V305" s="67">
        <v>0</v>
      </c>
      <c r="W305" s="67">
        <f>0*1*2.5</f>
        <v>0</v>
      </c>
      <c r="X305" s="67">
        <v>0</v>
      </c>
      <c r="Z305" s="67" t="s">
        <v>1846</v>
      </c>
      <c r="AC305" s="69" t="s">
        <v>2369</v>
      </c>
    </row>
    <row r="306" ht="26.4" spans="1:29">
      <c r="A306" s="29">
        <v>10030321</v>
      </c>
      <c r="B306" s="30">
        <v>5</v>
      </c>
      <c r="C306" s="63" t="s">
        <v>2370</v>
      </c>
      <c r="D306" s="64" t="s">
        <v>1907</v>
      </c>
      <c r="E306" s="65">
        <v>0</v>
      </c>
      <c r="F306" s="65">
        <v>0</v>
      </c>
      <c r="G306" s="30">
        <v>0</v>
      </c>
      <c r="H306" s="30">
        <v>0</v>
      </c>
      <c r="I306" s="30">
        <v>0</v>
      </c>
      <c r="J306" s="30">
        <v>0</v>
      </c>
      <c r="K306" s="30">
        <v>0</v>
      </c>
      <c r="L306" s="30" t="s">
        <v>1802</v>
      </c>
      <c r="M306" s="30">
        <v>0</v>
      </c>
      <c r="N306" s="30">
        <v>0</v>
      </c>
      <c r="O306" s="66">
        <v>0</v>
      </c>
      <c r="P306" s="30">
        <v>0</v>
      </c>
      <c r="Q306" s="30">
        <v>0</v>
      </c>
      <c r="R306" s="30">
        <v>9</v>
      </c>
      <c r="S306" s="30">
        <v>1</v>
      </c>
      <c r="T306" s="30">
        <v>0</v>
      </c>
      <c r="U306" s="31">
        <v>0</v>
      </c>
      <c r="V306" s="67">
        <v>3</v>
      </c>
      <c r="W306" s="67">
        <f>9*1*2.5</f>
        <v>22.5</v>
      </c>
      <c r="X306" s="67">
        <v>9</v>
      </c>
      <c r="Y306" s="67" t="s">
        <v>2371</v>
      </c>
      <c r="Z306" s="67" t="s">
        <v>1909</v>
      </c>
      <c r="AC306" s="69" t="s">
        <v>2372</v>
      </c>
    </row>
    <row r="307" ht="39.6" spans="1:29">
      <c r="A307" s="29">
        <v>10030421</v>
      </c>
      <c r="B307" s="30">
        <v>5</v>
      </c>
      <c r="C307" s="63" t="s">
        <v>2373</v>
      </c>
      <c r="D307" s="64" t="s">
        <v>1881</v>
      </c>
      <c r="E307" s="65">
        <v>0</v>
      </c>
      <c r="F307" s="65">
        <v>0</v>
      </c>
      <c r="G307" s="30">
        <v>0</v>
      </c>
      <c r="H307" s="30">
        <v>0</v>
      </c>
      <c r="I307" s="30">
        <v>0</v>
      </c>
      <c r="J307" s="30">
        <v>0</v>
      </c>
      <c r="K307" s="30">
        <v>0</v>
      </c>
      <c r="L307" s="30" t="s">
        <v>115</v>
      </c>
      <c r="M307" s="30">
        <v>2</v>
      </c>
      <c r="N307" s="30">
        <v>0</v>
      </c>
      <c r="O307" s="66">
        <v>0</v>
      </c>
      <c r="P307" s="30">
        <v>0</v>
      </c>
      <c r="Q307" s="30">
        <v>0</v>
      </c>
      <c r="R307" s="30">
        <v>13</v>
      </c>
      <c r="S307" s="30">
        <v>3.3</v>
      </c>
      <c r="T307" s="30">
        <v>0.5</v>
      </c>
      <c r="U307" s="31">
        <v>0.6</v>
      </c>
      <c r="V307" s="67">
        <v>0</v>
      </c>
      <c r="W307" s="67">
        <f>13*3.3*2.5</f>
        <v>107.25</v>
      </c>
      <c r="X307" s="67">
        <f>13+MAX($X$2,0.5)*13*$X$1</f>
        <v>75.4</v>
      </c>
      <c r="Y307" s="67" t="s">
        <v>2374</v>
      </c>
      <c r="Z307" s="67" t="s">
        <v>1883</v>
      </c>
      <c r="AC307" s="69" t="s">
        <v>2375</v>
      </c>
    </row>
    <row r="308" ht="26.4" spans="1:29">
      <c r="A308" s="29">
        <v>10030521</v>
      </c>
      <c r="B308" s="30">
        <v>6</v>
      </c>
      <c r="C308" s="63" t="s">
        <v>2376</v>
      </c>
      <c r="D308" s="64" t="s">
        <v>1927</v>
      </c>
      <c r="E308" s="65">
        <v>0</v>
      </c>
      <c r="F308" s="65">
        <v>0</v>
      </c>
      <c r="G308" s="30">
        <v>0</v>
      </c>
      <c r="H308" s="30">
        <v>0</v>
      </c>
      <c r="I308" s="30">
        <v>8</v>
      </c>
      <c r="J308" s="30">
        <v>0</v>
      </c>
      <c r="K308" s="30">
        <v>0</v>
      </c>
      <c r="L308" s="30" t="s">
        <v>1802</v>
      </c>
      <c r="M308" s="30">
        <v>0</v>
      </c>
      <c r="N308" s="30">
        <v>0</v>
      </c>
      <c r="O308" s="66">
        <v>8</v>
      </c>
      <c r="P308" s="30">
        <v>0</v>
      </c>
      <c r="Q308" s="30">
        <v>0</v>
      </c>
      <c r="R308" s="30">
        <v>5</v>
      </c>
      <c r="S308" s="30">
        <v>1</v>
      </c>
      <c r="T308" s="30">
        <v>0</v>
      </c>
      <c r="U308" s="31">
        <v>0</v>
      </c>
      <c r="V308" s="67">
        <v>6</v>
      </c>
      <c r="W308" s="67">
        <f>5*1*2.5</f>
        <v>12.5</v>
      </c>
      <c r="X308" s="67">
        <v>5</v>
      </c>
      <c r="Y308" s="67" t="s">
        <v>1920</v>
      </c>
      <c r="Z308" s="67" t="s">
        <v>1909</v>
      </c>
      <c r="AC308" s="69" t="s">
        <v>2375</v>
      </c>
    </row>
    <row r="309" ht="26.4" spans="1:28">
      <c r="A309" s="29">
        <v>10030621</v>
      </c>
      <c r="B309" s="30">
        <v>4</v>
      </c>
      <c r="C309" s="63" t="s">
        <v>1223</v>
      </c>
      <c r="D309" s="64" t="s">
        <v>1845</v>
      </c>
      <c r="E309" s="65">
        <v>0</v>
      </c>
      <c r="F309" s="65">
        <v>24</v>
      </c>
      <c r="G309" s="30">
        <v>0</v>
      </c>
      <c r="H309" s="30">
        <v>0</v>
      </c>
      <c r="I309" s="30">
        <v>0</v>
      </c>
      <c r="J309" s="30">
        <v>0</v>
      </c>
      <c r="K309" s="30">
        <v>0</v>
      </c>
      <c r="L309" s="30" t="s">
        <v>52</v>
      </c>
      <c r="M309" s="30">
        <v>0</v>
      </c>
      <c r="N309" s="30">
        <v>0</v>
      </c>
      <c r="O309" s="66">
        <v>0</v>
      </c>
      <c r="P309" s="30">
        <v>0</v>
      </c>
      <c r="Q309" s="30">
        <v>0</v>
      </c>
      <c r="R309" s="30">
        <v>5</v>
      </c>
      <c r="S309" s="30">
        <v>1</v>
      </c>
      <c r="T309" s="30">
        <v>0.25</v>
      </c>
      <c r="U309" s="31">
        <v>0</v>
      </c>
      <c r="V309" s="67">
        <v>0</v>
      </c>
      <c r="W309" s="67">
        <f>5*1*2.5</f>
        <v>12.5</v>
      </c>
      <c r="X309" s="67">
        <f>5+MAX($X$2,0.25)*5*$X$1</f>
        <v>29</v>
      </c>
      <c r="Y309" s="67" t="s">
        <v>1851</v>
      </c>
      <c r="Z309" s="67" t="s">
        <v>1846</v>
      </c>
      <c r="AB309" s="69" t="s">
        <v>2377</v>
      </c>
    </row>
    <row r="310" ht="26.4" spans="1:28">
      <c r="A310" s="29">
        <v>10030721</v>
      </c>
      <c r="B310" s="30">
        <v>4</v>
      </c>
      <c r="C310" s="63" t="s">
        <v>482</v>
      </c>
      <c r="D310" s="64" t="s">
        <v>1845</v>
      </c>
      <c r="E310" s="65">
        <v>0</v>
      </c>
      <c r="F310" s="65">
        <v>15</v>
      </c>
      <c r="G310" s="30">
        <v>0</v>
      </c>
      <c r="H310" s="30">
        <v>0</v>
      </c>
      <c r="I310" s="30">
        <v>0</v>
      </c>
      <c r="J310" s="30">
        <v>0</v>
      </c>
      <c r="K310" s="30">
        <v>0</v>
      </c>
      <c r="L310" s="30" t="s">
        <v>52</v>
      </c>
      <c r="M310" s="30">
        <v>2</v>
      </c>
      <c r="N310" s="30">
        <v>2</v>
      </c>
      <c r="O310" s="66">
        <v>0</v>
      </c>
      <c r="P310" s="30">
        <v>0</v>
      </c>
      <c r="Q310" s="30">
        <v>0</v>
      </c>
      <c r="R310" s="30">
        <v>0</v>
      </c>
      <c r="S310" s="30">
        <v>1</v>
      </c>
      <c r="T310" s="30">
        <v>0</v>
      </c>
      <c r="U310" s="31">
        <v>0</v>
      </c>
      <c r="V310" s="67">
        <v>0</v>
      </c>
      <c r="W310" s="67">
        <f t="shared" ref="W310:W316" si="8">0*1*2.5</f>
        <v>0</v>
      </c>
      <c r="X310" s="67">
        <v>0</v>
      </c>
      <c r="Z310" s="67" t="s">
        <v>1846</v>
      </c>
      <c r="AB310" s="69" t="s">
        <v>2378</v>
      </c>
    </row>
    <row r="311" ht="26.4" spans="1:29">
      <c r="A311" s="29">
        <v>10030821</v>
      </c>
      <c r="B311" s="30">
        <v>5</v>
      </c>
      <c r="C311" s="63" t="s">
        <v>2379</v>
      </c>
      <c r="D311" s="64" t="s">
        <v>1927</v>
      </c>
      <c r="E311" s="65">
        <v>0</v>
      </c>
      <c r="F311" s="65">
        <v>0</v>
      </c>
      <c r="G311" s="30">
        <v>0</v>
      </c>
      <c r="H311" s="30">
        <v>0</v>
      </c>
      <c r="I311" s="30">
        <v>0</v>
      </c>
      <c r="J311" s="30">
        <v>0</v>
      </c>
      <c r="K311" s="30">
        <v>0</v>
      </c>
      <c r="L311" s="30" t="s">
        <v>1802</v>
      </c>
      <c r="M311" s="30">
        <v>0</v>
      </c>
      <c r="N311" s="30">
        <v>0</v>
      </c>
      <c r="O311" s="66">
        <v>15</v>
      </c>
      <c r="P311" s="30">
        <v>0</v>
      </c>
      <c r="Q311" s="30">
        <v>0</v>
      </c>
      <c r="R311" s="30">
        <v>0</v>
      </c>
      <c r="S311" s="30">
        <v>1</v>
      </c>
      <c r="T311" s="30">
        <v>0</v>
      </c>
      <c r="U311" s="31">
        <v>0</v>
      </c>
      <c r="V311" s="67">
        <v>9</v>
      </c>
      <c r="W311" s="67">
        <f t="shared" si="8"/>
        <v>0</v>
      </c>
      <c r="X311" s="67">
        <v>0</v>
      </c>
      <c r="Y311" s="67" t="s">
        <v>2080</v>
      </c>
      <c r="Z311" s="67" t="s">
        <v>1909</v>
      </c>
      <c r="AB311" s="69" t="s">
        <v>2380</v>
      </c>
      <c r="AC311" s="69" t="s">
        <v>2381</v>
      </c>
    </row>
    <row r="312" ht="52.8" spans="1:29">
      <c r="A312" s="29">
        <v>10030921</v>
      </c>
      <c r="B312" s="30">
        <v>6</v>
      </c>
      <c r="C312" s="63" t="s">
        <v>2382</v>
      </c>
      <c r="D312" s="64" t="s">
        <v>1801</v>
      </c>
      <c r="E312" s="65">
        <v>0</v>
      </c>
      <c r="F312" s="65">
        <v>3</v>
      </c>
      <c r="G312" s="30">
        <v>0</v>
      </c>
      <c r="H312" s="30">
        <v>5</v>
      </c>
      <c r="I312" s="30">
        <v>0</v>
      </c>
      <c r="J312" s="30">
        <v>0</v>
      </c>
      <c r="K312" s="30">
        <v>3</v>
      </c>
      <c r="L312" s="30" t="s">
        <v>1802</v>
      </c>
      <c r="M312" s="30">
        <v>3</v>
      </c>
      <c r="N312" s="30">
        <v>3</v>
      </c>
      <c r="O312" s="66">
        <v>0</v>
      </c>
      <c r="P312" s="30">
        <v>0</v>
      </c>
      <c r="Q312" s="30">
        <v>0</v>
      </c>
      <c r="R312" s="30">
        <v>0</v>
      </c>
      <c r="S312" s="30">
        <v>1</v>
      </c>
      <c r="T312" s="30">
        <v>0</v>
      </c>
      <c r="U312" s="31">
        <v>0</v>
      </c>
      <c r="V312" s="67">
        <v>0</v>
      </c>
      <c r="W312" s="67">
        <f t="shared" si="8"/>
        <v>0</v>
      </c>
      <c r="X312" s="67">
        <v>0</v>
      </c>
      <c r="Z312" s="67" t="s">
        <v>1803</v>
      </c>
      <c r="AC312" s="69" t="s">
        <v>2383</v>
      </c>
    </row>
    <row r="313" ht="39.6" spans="1:29">
      <c r="A313" s="29">
        <v>10031021</v>
      </c>
      <c r="B313" s="30">
        <v>5</v>
      </c>
      <c r="C313" s="63" t="s">
        <v>2384</v>
      </c>
      <c r="D313" s="64" t="s">
        <v>1960</v>
      </c>
      <c r="E313" s="65">
        <v>0</v>
      </c>
      <c r="F313" s="65">
        <v>0</v>
      </c>
      <c r="G313" s="30">
        <v>0</v>
      </c>
      <c r="H313" s="30">
        <v>0</v>
      </c>
      <c r="I313" s="30">
        <v>0</v>
      </c>
      <c r="J313" s="30">
        <v>4</v>
      </c>
      <c r="K313" s="30">
        <v>9</v>
      </c>
      <c r="L313" s="30" t="s">
        <v>1802</v>
      </c>
      <c r="M313" s="30">
        <v>0</v>
      </c>
      <c r="N313" s="30">
        <v>0</v>
      </c>
      <c r="O313" s="66">
        <v>0</v>
      </c>
      <c r="P313" s="30">
        <v>0</v>
      </c>
      <c r="Q313" s="30">
        <v>0</v>
      </c>
      <c r="R313" s="30">
        <v>0</v>
      </c>
      <c r="S313" s="30">
        <v>1</v>
      </c>
      <c r="T313" s="30">
        <v>0</v>
      </c>
      <c r="U313" s="31">
        <v>0</v>
      </c>
      <c r="V313" s="67">
        <v>0</v>
      </c>
      <c r="W313" s="67">
        <f t="shared" si="8"/>
        <v>0</v>
      </c>
      <c r="X313" s="67">
        <v>0</v>
      </c>
      <c r="Z313" s="67" t="s">
        <v>1883</v>
      </c>
      <c r="AC313" s="69" t="s">
        <v>2385</v>
      </c>
    </row>
    <row r="314" ht="39.6" spans="1:29">
      <c r="A314" s="29">
        <v>10031121</v>
      </c>
      <c r="B314" s="30">
        <v>5</v>
      </c>
      <c r="C314" s="63" t="s">
        <v>2386</v>
      </c>
      <c r="D314" s="64" t="s">
        <v>1828</v>
      </c>
      <c r="E314" s="65">
        <v>0</v>
      </c>
      <c r="F314" s="65">
        <v>6</v>
      </c>
      <c r="G314" s="30">
        <v>0</v>
      </c>
      <c r="H314" s="30">
        <v>0</v>
      </c>
      <c r="I314" s="30">
        <v>0</v>
      </c>
      <c r="J314" s="30">
        <v>0</v>
      </c>
      <c r="K314" s="30">
        <v>1</v>
      </c>
      <c r="L314" s="30" t="s">
        <v>158</v>
      </c>
      <c r="M314" s="30">
        <v>3</v>
      </c>
      <c r="N314" s="30">
        <v>0</v>
      </c>
      <c r="O314" s="66">
        <v>0</v>
      </c>
      <c r="P314" s="30">
        <v>0</v>
      </c>
      <c r="Q314" s="30">
        <v>0</v>
      </c>
      <c r="R314" s="30">
        <v>0</v>
      </c>
      <c r="S314" s="30">
        <v>1</v>
      </c>
      <c r="T314" s="30">
        <v>0</v>
      </c>
      <c r="U314" s="31">
        <v>0</v>
      </c>
      <c r="V314" s="67">
        <v>0</v>
      </c>
      <c r="W314" s="67">
        <f t="shared" si="8"/>
        <v>0</v>
      </c>
      <c r="X314" s="67">
        <v>0</v>
      </c>
      <c r="Z314" s="67" t="s">
        <v>1829</v>
      </c>
      <c r="AC314" s="69" t="s">
        <v>2387</v>
      </c>
    </row>
    <row r="315" ht="39.6" spans="1:28">
      <c r="A315" s="29">
        <v>10031221</v>
      </c>
      <c r="B315" s="30">
        <v>6</v>
      </c>
      <c r="C315" s="63" t="s">
        <v>2388</v>
      </c>
      <c r="D315" s="64" t="s">
        <v>1832</v>
      </c>
      <c r="E315" s="65">
        <v>0</v>
      </c>
      <c r="F315" s="65">
        <v>11</v>
      </c>
      <c r="G315" s="30">
        <v>0</v>
      </c>
      <c r="H315" s="30">
        <v>0</v>
      </c>
      <c r="I315" s="30">
        <v>0</v>
      </c>
      <c r="J315" s="30">
        <v>0</v>
      </c>
      <c r="K315" s="30">
        <v>-1</v>
      </c>
      <c r="L315" s="30" t="s">
        <v>1022</v>
      </c>
      <c r="M315" s="30">
        <v>0</v>
      </c>
      <c r="N315" s="30">
        <v>0</v>
      </c>
      <c r="O315" s="66">
        <v>0</v>
      </c>
      <c r="P315" s="30">
        <v>0</v>
      </c>
      <c r="Q315" s="30">
        <v>0</v>
      </c>
      <c r="R315" s="30">
        <v>0</v>
      </c>
      <c r="S315" s="30">
        <v>1</v>
      </c>
      <c r="T315" s="30">
        <v>0</v>
      </c>
      <c r="U315" s="31">
        <v>0</v>
      </c>
      <c r="V315" s="67">
        <v>0</v>
      </c>
      <c r="W315" s="67">
        <f t="shared" si="8"/>
        <v>0</v>
      </c>
      <c r="X315" s="67">
        <v>0</v>
      </c>
      <c r="Z315" s="67" t="s">
        <v>1834</v>
      </c>
      <c r="AB315" s="69" t="s">
        <v>910</v>
      </c>
    </row>
    <row r="316" ht="39.6" spans="1:28">
      <c r="A316" s="29">
        <v>10031321</v>
      </c>
      <c r="B316" s="30">
        <v>3</v>
      </c>
      <c r="C316" s="63" t="s">
        <v>698</v>
      </c>
      <c r="D316" s="64" t="s">
        <v>1832</v>
      </c>
      <c r="E316" s="65">
        <v>0</v>
      </c>
      <c r="F316" s="65">
        <v>8</v>
      </c>
      <c r="G316" s="30">
        <v>0</v>
      </c>
      <c r="H316" s="30">
        <v>0</v>
      </c>
      <c r="I316" s="30">
        <v>0</v>
      </c>
      <c r="J316" s="30">
        <v>0</v>
      </c>
      <c r="K316" s="30">
        <v>0</v>
      </c>
      <c r="L316" s="30" t="s">
        <v>158</v>
      </c>
      <c r="M316" s="30">
        <v>0</v>
      </c>
      <c r="N316" s="30">
        <v>0</v>
      </c>
      <c r="O316" s="66">
        <v>0</v>
      </c>
      <c r="P316" s="30">
        <v>0</v>
      </c>
      <c r="Q316" s="30">
        <v>0</v>
      </c>
      <c r="R316" s="30">
        <v>0</v>
      </c>
      <c r="S316" s="30">
        <v>1</v>
      </c>
      <c r="T316" s="30">
        <v>0</v>
      </c>
      <c r="U316" s="31">
        <v>0</v>
      </c>
      <c r="V316" s="67">
        <v>0</v>
      </c>
      <c r="W316" s="67">
        <f t="shared" si="8"/>
        <v>0</v>
      </c>
      <c r="X316" s="67">
        <v>0</v>
      </c>
      <c r="Z316" s="67" t="s">
        <v>1834</v>
      </c>
      <c r="AB316" s="69" t="s">
        <v>697</v>
      </c>
    </row>
    <row r="317" ht="39.6" spans="1:28">
      <c r="A317" s="29">
        <v>10031421</v>
      </c>
      <c r="B317" s="30">
        <v>4</v>
      </c>
      <c r="C317" s="63" t="s">
        <v>2389</v>
      </c>
      <c r="D317" s="64" t="s">
        <v>1805</v>
      </c>
      <c r="E317" s="65">
        <v>0</v>
      </c>
      <c r="F317" s="65">
        <v>2</v>
      </c>
      <c r="G317" s="30">
        <v>0</v>
      </c>
      <c r="H317" s="30">
        <v>0</v>
      </c>
      <c r="I317" s="30">
        <v>0</v>
      </c>
      <c r="J317" s="30">
        <v>0</v>
      </c>
      <c r="K317" s="30">
        <v>2</v>
      </c>
      <c r="L317" s="30" t="s">
        <v>115</v>
      </c>
      <c r="M317" s="30">
        <v>0</v>
      </c>
      <c r="N317" s="30">
        <v>0</v>
      </c>
      <c r="O317" s="66">
        <v>0</v>
      </c>
      <c r="P317" s="30">
        <v>0</v>
      </c>
      <c r="Q317" s="30">
        <v>0</v>
      </c>
      <c r="R317" s="30">
        <v>7</v>
      </c>
      <c r="S317" s="30">
        <v>2.1</v>
      </c>
      <c r="T317" s="30">
        <v>0.35</v>
      </c>
      <c r="U317" s="31">
        <v>0</v>
      </c>
      <c r="V317" s="67">
        <v>0</v>
      </c>
      <c r="W317" s="67">
        <f>7*2.1*2.5</f>
        <v>36.75</v>
      </c>
      <c r="X317" s="67">
        <f>7+MAX($X$2,0.35)*7*$X$1</f>
        <v>40.6</v>
      </c>
      <c r="Y317" s="67" t="s">
        <v>1885</v>
      </c>
      <c r="Z317" s="67" t="s">
        <v>1807</v>
      </c>
      <c r="AB317" s="69" t="s">
        <v>2390</v>
      </c>
    </row>
    <row r="318" ht="26.4" spans="1:29">
      <c r="A318" s="29">
        <v>10031521</v>
      </c>
      <c r="B318" s="30">
        <v>6</v>
      </c>
      <c r="C318" s="63" t="s">
        <v>2391</v>
      </c>
      <c r="D318" s="64" t="s">
        <v>1907</v>
      </c>
      <c r="E318" s="65">
        <v>0</v>
      </c>
      <c r="F318" s="65">
        <v>0</v>
      </c>
      <c r="G318" s="30">
        <v>0</v>
      </c>
      <c r="H318" s="30">
        <v>0</v>
      </c>
      <c r="I318" s="30">
        <v>0</v>
      </c>
      <c r="J318" s="30">
        <v>0</v>
      </c>
      <c r="K318" s="30">
        <v>0</v>
      </c>
      <c r="L318" s="30" t="s">
        <v>1802</v>
      </c>
      <c r="M318" s="30">
        <v>4</v>
      </c>
      <c r="N318" s="30">
        <v>1</v>
      </c>
      <c r="O318" s="66">
        <v>2</v>
      </c>
      <c r="P318" s="30">
        <v>0</v>
      </c>
      <c r="Q318" s="30">
        <v>0</v>
      </c>
      <c r="R318" s="30">
        <v>12</v>
      </c>
      <c r="S318" s="30">
        <v>1</v>
      </c>
      <c r="T318" s="30">
        <v>0</v>
      </c>
      <c r="U318" s="31">
        <v>0</v>
      </c>
      <c r="V318" s="67">
        <v>5</v>
      </c>
      <c r="W318" s="67">
        <f>12*1*2.5</f>
        <v>30</v>
      </c>
      <c r="X318" s="67">
        <v>12</v>
      </c>
      <c r="Y318" s="67" t="s">
        <v>1913</v>
      </c>
      <c r="Z318" s="67" t="s">
        <v>1909</v>
      </c>
      <c r="AC318" s="69" t="s">
        <v>2216</v>
      </c>
    </row>
    <row r="319" ht="26.4" spans="1:28">
      <c r="A319" s="29">
        <v>10031621</v>
      </c>
      <c r="B319" s="30">
        <v>3</v>
      </c>
      <c r="C319" s="63" t="s">
        <v>920</v>
      </c>
      <c r="D319" s="64" t="s">
        <v>1845</v>
      </c>
      <c r="E319" s="65">
        <v>0</v>
      </c>
      <c r="F319" s="65">
        <v>13</v>
      </c>
      <c r="G319" s="30">
        <v>0</v>
      </c>
      <c r="H319" s="30">
        <v>0</v>
      </c>
      <c r="I319" s="30">
        <v>0</v>
      </c>
      <c r="J319" s="30">
        <v>0</v>
      </c>
      <c r="K319" s="30">
        <v>2</v>
      </c>
      <c r="L319" s="30" t="s">
        <v>52</v>
      </c>
      <c r="M319" s="30">
        <v>0</v>
      </c>
      <c r="N319" s="30">
        <v>0</v>
      </c>
      <c r="O319" s="66">
        <v>0</v>
      </c>
      <c r="P319" s="30">
        <v>0</v>
      </c>
      <c r="Q319" s="30">
        <v>0</v>
      </c>
      <c r="R319" s="30">
        <v>0</v>
      </c>
      <c r="S319" s="30">
        <v>1</v>
      </c>
      <c r="T319" s="30">
        <v>0</v>
      </c>
      <c r="U319" s="31">
        <v>0</v>
      </c>
      <c r="V319" s="67">
        <v>0</v>
      </c>
      <c r="W319" s="67">
        <f>0*1*2.5</f>
        <v>0</v>
      </c>
      <c r="X319" s="67">
        <v>0</v>
      </c>
      <c r="Z319" s="67" t="s">
        <v>1846</v>
      </c>
      <c r="AB319" s="69" t="s">
        <v>918</v>
      </c>
    </row>
    <row r="320" ht="39.6" spans="1:29">
      <c r="A320" s="29">
        <v>10031721</v>
      </c>
      <c r="B320" s="30">
        <v>4</v>
      </c>
      <c r="C320" s="63" t="s">
        <v>2392</v>
      </c>
      <c r="D320" s="64" t="s">
        <v>1828</v>
      </c>
      <c r="E320" s="65">
        <v>0</v>
      </c>
      <c r="F320" s="65">
        <v>10</v>
      </c>
      <c r="G320" s="30">
        <v>0</v>
      </c>
      <c r="H320" s="30">
        <v>0</v>
      </c>
      <c r="I320" s="30">
        <v>0</v>
      </c>
      <c r="J320" s="30">
        <v>0</v>
      </c>
      <c r="K320" s="30">
        <v>0</v>
      </c>
      <c r="L320" s="30" t="s">
        <v>52</v>
      </c>
      <c r="M320" s="30">
        <v>0</v>
      </c>
      <c r="N320" s="30">
        <v>0</v>
      </c>
      <c r="O320" s="66">
        <v>0</v>
      </c>
      <c r="P320" s="30">
        <v>0</v>
      </c>
      <c r="Q320" s="30">
        <v>0</v>
      </c>
      <c r="R320" s="30">
        <v>0</v>
      </c>
      <c r="S320" s="30">
        <v>1</v>
      </c>
      <c r="T320" s="30">
        <v>0</v>
      </c>
      <c r="U320" s="31">
        <v>0</v>
      </c>
      <c r="V320" s="67">
        <v>0</v>
      </c>
      <c r="W320" s="67">
        <f>0*1*2.5</f>
        <v>0</v>
      </c>
      <c r="X320" s="67">
        <v>0</v>
      </c>
      <c r="Z320" s="67" t="s">
        <v>1829</v>
      </c>
      <c r="AC320" s="69" t="s">
        <v>2393</v>
      </c>
    </row>
    <row r="321" ht="26.4" spans="1:29">
      <c r="A321" s="29">
        <v>10031821</v>
      </c>
      <c r="B321" s="30">
        <v>6</v>
      </c>
      <c r="C321" s="63" t="s">
        <v>2394</v>
      </c>
      <c r="D321" s="64" t="s">
        <v>14</v>
      </c>
      <c r="E321" s="65">
        <v>0</v>
      </c>
      <c r="F321" s="65">
        <v>0</v>
      </c>
      <c r="G321" s="30">
        <v>0</v>
      </c>
      <c r="H321" s="30">
        <v>12</v>
      </c>
      <c r="I321" s="30">
        <v>0</v>
      </c>
      <c r="J321" s="30">
        <v>0</v>
      </c>
      <c r="K321" s="30">
        <v>3</v>
      </c>
      <c r="L321" s="30" t="s">
        <v>1802</v>
      </c>
      <c r="M321" s="30">
        <v>6</v>
      </c>
      <c r="N321" s="30">
        <v>0</v>
      </c>
      <c r="O321" s="66">
        <v>0</v>
      </c>
      <c r="P321" s="30">
        <v>0</v>
      </c>
      <c r="Q321" s="30">
        <v>0</v>
      </c>
      <c r="R321" s="30">
        <v>0</v>
      </c>
      <c r="S321" s="30">
        <v>1</v>
      </c>
      <c r="T321" s="30">
        <v>0</v>
      </c>
      <c r="U321" s="31">
        <v>0</v>
      </c>
      <c r="V321" s="67">
        <v>0</v>
      </c>
      <c r="W321" s="67">
        <f>0*1*2.5</f>
        <v>0</v>
      </c>
      <c r="X321" s="67">
        <v>0</v>
      </c>
      <c r="Z321" s="67" t="s">
        <v>2101</v>
      </c>
      <c r="AB321" s="69" t="s">
        <v>2395</v>
      </c>
      <c r="AC321" s="69" t="s">
        <v>2396</v>
      </c>
    </row>
    <row r="322" ht="26.4" spans="1:29">
      <c r="A322" s="29">
        <v>10031921</v>
      </c>
      <c r="B322" s="30">
        <v>5</v>
      </c>
      <c r="C322" s="63" t="s">
        <v>2397</v>
      </c>
      <c r="D322" s="64" t="s">
        <v>2275</v>
      </c>
      <c r="E322" s="65">
        <v>0</v>
      </c>
      <c r="F322" s="65">
        <v>20</v>
      </c>
      <c r="G322" s="30">
        <v>0</v>
      </c>
      <c r="H322" s="30">
        <v>0</v>
      </c>
      <c r="I322" s="30">
        <v>0</v>
      </c>
      <c r="J322" s="30">
        <v>0</v>
      </c>
      <c r="K322" s="30">
        <v>0</v>
      </c>
      <c r="L322" s="30" t="s">
        <v>1802</v>
      </c>
      <c r="M322" s="30">
        <v>0</v>
      </c>
      <c r="N322" s="30">
        <v>0</v>
      </c>
      <c r="O322" s="66">
        <v>0</v>
      </c>
      <c r="P322" s="30">
        <v>0</v>
      </c>
      <c r="Q322" s="30">
        <v>20</v>
      </c>
      <c r="R322" s="30">
        <v>0</v>
      </c>
      <c r="S322" s="30">
        <v>1</v>
      </c>
      <c r="T322" s="30">
        <v>0</v>
      </c>
      <c r="U322" s="31">
        <v>0</v>
      </c>
      <c r="V322" s="67">
        <v>9</v>
      </c>
      <c r="W322" s="67">
        <f>0*1*2.5</f>
        <v>0</v>
      </c>
      <c r="X322" s="67">
        <v>0</v>
      </c>
      <c r="Y322" s="67" t="s">
        <v>2080</v>
      </c>
      <c r="Z322" s="67" t="s">
        <v>2272</v>
      </c>
      <c r="AC322" s="69" t="s">
        <v>2398</v>
      </c>
    </row>
    <row r="323" ht="26.4" spans="1:29">
      <c r="A323" s="29">
        <v>10032021</v>
      </c>
      <c r="B323" s="30">
        <v>5</v>
      </c>
      <c r="C323" s="63" t="s">
        <v>2399</v>
      </c>
      <c r="D323" s="64" t="s">
        <v>1907</v>
      </c>
      <c r="E323" s="65">
        <v>0</v>
      </c>
      <c r="F323" s="65">
        <v>0</v>
      </c>
      <c r="G323" s="30">
        <v>0</v>
      </c>
      <c r="H323" s="30">
        <v>0</v>
      </c>
      <c r="I323" s="30">
        <v>0</v>
      </c>
      <c r="J323" s="30">
        <v>0</v>
      </c>
      <c r="K323" s="30">
        <v>0</v>
      </c>
      <c r="L323" s="30" t="s">
        <v>1802</v>
      </c>
      <c r="M323" s="30">
        <v>5</v>
      </c>
      <c r="N323" s="30">
        <v>2</v>
      </c>
      <c r="O323" s="66">
        <v>0</v>
      </c>
      <c r="P323" s="30">
        <v>0</v>
      </c>
      <c r="Q323" s="30">
        <v>0</v>
      </c>
      <c r="R323" s="30">
        <v>9</v>
      </c>
      <c r="S323" s="30">
        <v>1</v>
      </c>
      <c r="T323" s="30">
        <v>0</v>
      </c>
      <c r="U323" s="31">
        <v>0</v>
      </c>
      <c r="V323" s="67">
        <v>3</v>
      </c>
      <c r="W323" s="67">
        <f>9*1*2.5</f>
        <v>22.5</v>
      </c>
      <c r="X323" s="67">
        <v>9</v>
      </c>
      <c r="Y323" s="67" t="s">
        <v>2371</v>
      </c>
      <c r="Z323" s="67" t="s">
        <v>1909</v>
      </c>
      <c r="AC323" s="69" t="s">
        <v>2400</v>
      </c>
    </row>
    <row r="324" ht="26.4" spans="1:29">
      <c r="A324" s="29">
        <v>10032121</v>
      </c>
      <c r="B324" s="30">
        <v>5</v>
      </c>
      <c r="C324" s="63" t="s">
        <v>2401</v>
      </c>
      <c r="D324" s="64" t="s">
        <v>1845</v>
      </c>
      <c r="E324" s="65">
        <v>0</v>
      </c>
      <c r="F324" s="65">
        <v>27</v>
      </c>
      <c r="G324" s="30">
        <v>0</v>
      </c>
      <c r="H324" s="30">
        <v>0</v>
      </c>
      <c r="I324" s="30">
        <v>0</v>
      </c>
      <c r="J324" s="30">
        <v>0</v>
      </c>
      <c r="K324" s="30">
        <v>0</v>
      </c>
      <c r="L324" s="30" t="s">
        <v>52</v>
      </c>
      <c r="M324" s="30">
        <v>2</v>
      </c>
      <c r="N324" s="30">
        <v>0</v>
      </c>
      <c r="O324" s="66">
        <v>0</v>
      </c>
      <c r="P324" s="30">
        <v>0</v>
      </c>
      <c r="Q324" s="30">
        <v>0</v>
      </c>
      <c r="R324" s="30">
        <v>0</v>
      </c>
      <c r="S324" s="30">
        <v>1</v>
      </c>
      <c r="T324" s="30">
        <v>0</v>
      </c>
      <c r="U324" s="31">
        <v>0</v>
      </c>
      <c r="V324" s="67">
        <v>0</v>
      </c>
      <c r="W324" s="67">
        <f>0*1*2.5</f>
        <v>0</v>
      </c>
      <c r="X324" s="67">
        <v>0</v>
      </c>
      <c r="Z324" s="67" t="s">
        <v>1846</v>
      </c>
      <c r="AC324" s="69" t="s">
        <v>2402</v>
      </c>
    </row>
    <row r="325" ht="39.6" spans="1:28">
      <c r="A325" s="29">
        <v>10032221</v>
      </c>
      <c r="B325" s="30">
        <v>3</v>
      </c>
      <c r="C325" s="63" t="s">
        <v>778</v>
      </c>
      <c r="D325" s="64" t="s">
        <v>1828</v>
      </c>
      <c r="E325" s="65">
        <v>0</v>
      </c>
      <c r="F325" s="65">
        <v>9</v>
      </c>
      <c r="G325" s="30">
        <v>0</v>
      </c>
      <c r="H325" s="30">
        <v>0</v>
      </c>
      <c r="I325" s="30">
        <v>0</v>
      </c>
      <c r="J325" s="30">
        <v>0</v>
      </c>
      <c r="K325" s="30">
        <v>1</v>
      </c>
      <c r="L325" s="30" t="s">
        <v>158</v>
      </c>
      <c r="M325" s="30">
        <v>0</v>
      </c>
      <c r="N325" s="30">
        <v>1</v>
      </c>
      <c r="O325" s="66">
        <v>0</v>
      </c>
      <c r="P325" s="30">
        <v>0</v>
      </c>
      <c r="Q325" s="30">
        <v>0</v>
      </c>
      <c r="R325" s="30">
        <v>0</v>
      </c>
      <c r="S325" s="30">
        <v>1</v>
      </c>
      <c r="T325" s="30">
        <v>0</v>
      </c>
      <c r="U325" s="31">
        <v>0</v>
      </c>
      <c r="V325" s="67">
        <v>0</v>
      </c>
      <c r="W325" s="67">
        <f>0*1*2.5</f>
        <v>0</v>
      </c>
      <c r="X325" s="67">
        <v>0</v>
      </c>
      <c r="Z325" s="67" t="s">
        <v>1829</v>
      </c>
      <c r="AB325" s="69" t="s">
        <v>776</v>
      </c>
    </row>
    <row r="326" ht="52.8" spans="1:29">
      <c r="A326" s="29">
        <v>10032321</v>
      </c>
      <c r="B326" s="30">
        <v>5</v>
      </c>
      <c r="C326" s="63" t="s">
        <v>2403</v>
      </c>
      <c r="D326" s="64" t="s">
        <v>1801</v>
      </c>
      <c r="E326" s="65">
        <v>0</v>
      </c>
      <c r="F326" s="65">
        <v>0</v>
      </c>
      <c r="G326" s="30">
        <v>1</v>
      </c>
      <c r="H326" s="30">
        <v>0</v>
      </c>
      <c r="I326" s="30">
        <v>0</v>
      </c>
      <c r="J326" s="30">
        <v>0</v>
      </c>
      <c r="K326" s="30">
        <v>0</v>
      </c>
      <c r="L326" s="30" t="s">
        <v>1802</v>
      </c>
      <c r="M326" s="30">
        <v>0</v>
      </c>
      <c r="N326" s="30">
        <v>0</v>
      </c>
      <c r="O326" s="66">
        <v>0</v>
      </c>
      <c r="P326" s="30">
        <v>0</v>
      </c>
      <c r="Q326" s="30">
        <v>0</v>
      </c>
      <c r="R326" s="30">
        <v>0</v>
      </c>
      <c r="S326" s="30">
        <v>1</v>
      </c>
      <c r="T326" s="30">
        <v>0</v>
      </c>
      <c r="U326" s="31">
        <v>0</v>
      </c>
      <c r="V326" s="67">
        <v>0</v>
      </c>
      <c r="W326" s="67">
        <f>0*1*2.5</f>
        <v>0</v>
      </c>
      <c r="X326" s="67">
        <v>0</v>
      </c>
      <c r="Y326" s="67" t="s">
        <v>2404</v>
      </c>
      <c r="Z326" s="67" t="s">
        <v>1803</v>
      </c>
      <c r="AC326" s="69" t="s">
        <v>2405</v>
      </c>
    </row>
    <row r="327" ht="52.8" spans="1:29">
      <c r="A327" s="29">
        <v>10032421</v>
      </c>
      <c r="B327" s="30">
        <v>5</v>
      </c>
      <c r="C327" s="63" t="s">
        <v>2406</v>
      </c>
      <c r="D327" s="64" t="s">
        <v>1801</v>
      </c>
      <c r="E327" s="65">
        <v>0</v>
      </c>
      <c r="F327" s="65">
        <v>0</v>
      </c>
      <c r="G327" s="30">
        <v>0</v>
      </c>
      <c r="H327" s="30">
        <v>0</v>
      </c>
      <c r="I327" s="30">
        <v>0</v>
      </c>
      <c r="J327" s="30">
        <v>0</v>
      </c>
      <c r="K327" s="30">
        <v>1</v>
      </c>
      <c r="L327" s="30" t="s">
        <v>1802</v>
      </c>
      <c r="M327" s="30">
        <v>0</v>
      </c>
      <c r="N327" s="30">
        <v>0</v>
      </c>
      <c r="O327" s="66">
        <v>0</v>
      </c>
      <c r="P327" s="30">
        <v>0</v>
      </c>
      <c r="Q327" s="30">
        <v>0</v>
      </c>
      <c r="R327" s="30">
        <v>0</v>
      </c>
      <c r="S327" s="30">
        <v>1</v>
      </c>
      <c r="T327" s="30">
        <v>0</v>
      </c>
      <c r="U327" s="31">
        <v>0</v>
      </c>
      <c r="V327" s="67">
        <v>0</v>
      </c>
      <c r="W327" s="67">
        <f>0*1*2.5</f>
        <v>0</v>
      </c>
      <c r="X327" s="67">
        <v>0</v>
      </c>
      <c r="Y327" s="67" t="s">
        <v>2404</v>
      </c>
      <c r="Z327" s="67" t="s">
        <v>1803</v>
      </c>
      <c r="AC327" s="69" t="s">
        <v>2407</v>
      </c>
    </row>
    <row r="328" ht="52.8" spans="1:29">
      <c r="A328" s="29">
        <v>10032521</v>
      </c>
      <c r="B328" s="30">
        <v>5</v>
      </c>
      <c r="C328" s="63" t="s">
        <v>2408</v>
      </c>
      <c r="D328" s="64" t="s">
        <v>1801</v>
      </c>
      <c r="E328" s="65">
        <v>0</v>
      </c>
      <c r="F328" s="65">
        <v>0</v>
      </c>
      <c r="G328" s="30">
        <v>0</v>
      </c>
      <c r="H328" s="30">
        <v>0</v>
      </c>
      <c r="I328" s="30">
        <v>0</v>
      </c>
      <c r="J328" s="30">
        <v>0</v>
      </c>
      <c r="K328" s="30">
        <v>0</v>
      </c>
      <c r="L328" s="30" t="s">
        <v>1802</v>
      </c>
      <c r="M328" s="30">
        <v>0</v>
      </c>
      <c r="N328" s="30">
        <v>0</v>
      </c>
      <c r="O328" s="66">
        <v>0</v>
      </c>
      <c r="P328" s="30">
        <v>0</v>
      </c>
      <c r="Q328" s="30">
        <v>0</v>
      </c>
      <c r="R328" s="30">
        <v>1</v>
      </c>
      <c r="S328" s="30">
        <v>1</v>
      </c>
      <c r="T328" s="30">
        <v>0</v>
      </c>
      <c r="U328" s="31">
        <v>0</v>
      </c>
      <c r="V328" s="67">
        <v>0</v>
      </c>
      <c r="W328" s="67">
        <f>1*1*2.5</f>
        <v>2.5</v>
      </c>
      <c r="X328" s="67">
        <v>1</v>
      </c>
      <c r="Y328" s="67" t="s">
        <v>2404</v>
      </c>
      <c r="Z328" s="67" t="s">
        <v>1803</v>
      </c>
      <c r="AC328" s="69" t="s">
        <v>2409</v>
      </c>
    </row>
    <row r="329" ht="52.8" spans="1:29">
      <c r="A329" s="29">
        <v>10032621</v>
      </c>
      <c r="B329" s="30">
        <v>5</v>
      </c>
      <c r="C329" s="63" t="s">
        <v>2410</v>
      </c>
      <c r="D329" s="64" t="s">
        <v>1801</v>
      </c>
      <c r="E329" s="65">
        <v>0</v>
      </c>
      <c r="F329" s="65">
        <v>1</v>
      </c>
      <c r="G329" s="30">
        <v>0</v>
      </c>
      <c r="H329" s="30">
        <v>0</v>
      </c>
      <c r="I329" s="30">
        <v>0</v>
      </c>
      <c r="J329" s="30">
        <v>0</v>
      </c>
      <c r="K329" s="30">
        <v>0</v>
      </c>
      <c r="L329" s="30" t="s">
        <v>1802</v>
      </c>
      <c r="M329" s="30">
        <v>0</v>
      </c>
      <c r="N329" s="30">
        <v>0</v>
      </c>
      <c r="O329" s="66">
        <v>0</v>
      </c>
      <c r="P329" s="30">
        <v>0</v>
      </c>
      <c r="Q329" s="30">
        <v>0</v>
      </c>
      <c r="R329" s="30">
        <v>0</v>
      </c>
      <c r="S329" s="30">
        <v>1</v>
      </c>
      <c r="T329" s="30">
        <v>0</v>
      </c>
      <c r="U329" s="31">
        <v>0</v>
      </c>
      <c r="V329" s="67">
        <v>0</v>
      </c>
      <c r="W329" s="67">
        <f>0*1*2.5</f>
        <v>0</v>
      </c>
      <c r="X329" s="67">
        <v>0</v>
      </c>
      <c r="Y329" s="67" t="s">
        <v>2404</v>
      </c>
      <c r="Z329" s="67" t="s">
        <v>1803</v>
      </c>
      <c r="AC329" s="69" t="s">
        <v>2411</v>
      </c>
    </row>
    <row r="330" ht="26.4" spans="1:29">
      <c r="A330" s="29">
        <v>10032721</v>
      </c>
      <c r="B330" s="30">
        <v>5</v>
      </c>
      <c r="C330" s="63" t="s">
        <v>2412</v>
      </c>
      <c r="D330" s="64" t="s">
        <v>1907</v>
      </c>
      <c r="E330" s="65">
        <v>0</v>
      </c>
      <c r="F330" s="65">
        <v>0</v>
      </c>
      <c r="G330" s="30">
        <v>0</v>
      </c>
      <c r="H330" s="30">
        <v>0</v>
      </c>
      <c r="I330" s="30">
        <v>0</v>
      </c>
      <c r="J330" s="30">
        <v>0</v>
      </c>
      <c r="K330" s="30">
        <v>0</v>
      </c>
      <c r="L330" s="30" t="s">
        <v>1802</v>
      </c>
      <c r="M330" s="30">
        <v>0</v>
      </c>
      <c r="N330" s="30">
        <v>3</v>
      </c>
      <c r="O330" s="66">
        <v>0</v>
      </c>
      <c r="P330" s="30">
        <v>0</v>
      </c>
      <c r="Q330" s="30">
        <v>0</v>
      </c>
      <c r="R330" s="30">
        <v>13</v>
      </c>
      <c r="S330" s="30">
        <v>1</v>
      </c>
      <c r="T330" s="30">
        <v>0</v>
      </c>
      <c r="U330" s="31">
        <v>0</v>
      </c>
      <c r="V330" s="67">
        <v>5</v>
      </c>
      <c r="W330" s="67">
        <f>13*1*2.5</f>
        <v>32.5</v>
      </c>
      <c r="X330" s="67">
        <v>13</v>
      </c>
      <c r="Y330" s="67" t="s">
        <v>1913</v>
      </c>
      <c r="Z330" s="67" t="s">
        <v>1909</v>
      </c>
      <c r="AC330" s="69" t="s">
        <v>2207</v>
      </c>
    </row>
    <row r="331" ht="26.4" spans="1:29">
      <c r="A331" s="29">
        <v>10032821</v>
      </c>
      <c r="B331" s="30">
        <v>4</v>
      </c>
      <c r="C331" s="63" t="s">
        <v>2413</v>
      </c>
      <c r="D331" s="64" t="s">
        <v>1801</v>
      </c>
      <c r="E331" s="65">
        <v>0</v>
      </c>
      <c r="F331" s="65">
        <v>0</v>
      </c>
      <c r="G331" s="30">
        <v>2</v>
      </c>
      <c r="H331" s="30">
        <v>0</v>
      </c>
      <c r="I331" s="30">
        <v>0</v>
      </c>
      <c r="J331" s="30">
        <v>0</v>
      </c>
      <c r="K331" s="30">
        <v>0</v>
      </c>
      <c r="L331" s="30" t="s">
        <v>1802</v>
      </c>
      <c r="M331" s="30">
        <v>9</v>
      </c>
      <c r="N331" s="30">
        <v>0</v>
      </c>
      <c r="O331" s="66">
        <v>0</v>
      </c>
      <c r="P331" s="30">
        <v>0</v>
      </c>
      <c r="Q331" s="30">
        <v>0</v>
      </c>
      <c r="R331" s="30">
        <v>0</v>
      </c>
      <c r="S331" s="30">
        <v>1</v>
      </c>
      <c r="T331" s="30">
        <v>0</v>
      </c>
      <c r="U331" s="31">
        <v>0</v>
      </c>
      <c r="V331" s="67">
        <v>0</v>
      </c>
      <c r="W331" s="67">
        <f>0*1*2.5</f>
        <v>0</v>
      </c>
      <c r="X331" s="67">
        <v>0</v>
      </c>
      <c r="Z331" s="67" t="s">
        <v>2101</v>
      </c>
      <c r="AC331" s="69" t="s">
        <v>2414</v>
      </c>
    </row>
    <row r="332" spans="1:28">
      <c r="A332" s="29">
        <v>10032921</v>
      </c>
      <c r="B332" s="30">
        <v>4</v>
      </c>
      <c r="C332" s="63" t="s">
        <v>2415</v>
      </c>
      <c r="D332" s="64" t="s">
        <v>2275</v>
      </c>
      <c r="E332" s="65">
        <v>0</v>
      </c>
      <c r="F332" s="65">
        <v>18</v>
      </c>
      <c r="G332" s="30">
        <v>0</v>
      </c>
      <c r="H332" s="30">
        <v>0</v>
      </c>
      <c r="I332" s="30">
        <v>0</v>
      </c>
      <c r="J332" s="30">
        <v>0</v>
      </c>
      <c r="K332" s="30">
        <v>0</v>
      </c>
      <c r="L332" s="30" t="s">
        <v>1802</v>
      </c>
      <c r="M332" s="30">
        <v>0</v>
      </c>
      <c r="N332" s="30">
        <v>0</v>
      </c>
      <c r="O332" s="66">
        <v>0</v>
      </c>
      <c r="P332" s="30">
        <v>0</v>
      </c>
      <c r="Q332" s="30">
        <v>18</v>
      </c>
      <c r="R332" s="30">
        <v>0</v>
      </c>
      <c r="S332" s="30">
        <v>1</v>
      </c>
      <c r="T332" s="30">
        <v>0</v>
      </c>
      <c r="U332" s="31">
        <v>0</v>
      </c>
      <c r="V332" s="67">
        <v>8</v>
      </c>
      <c r="W332" s="67">
        <f>0*1*2.5</f>
        <v>0</v>
      </c>
      <c r="X332" s="67">
        <v>0</v>
      </c>
      <c r="Y332" s="67" t="s">
        <v>2253</v>
      </c>
      <c r="Z332" s="67" t="s">
        <v>2272</v>
      </c>
      <c r="AB332" s="69" t="s">
        <v>937</v>
      </c>
    </row>
    <row r="333" ht="39.6" spans="1:26">
      <c r="A333" s="29">
        <v>10033021</v>
      </c>
      <c r="B333" s="30">
        <v>6</v>
      </c>
      <c r="C333" s="63" t="s">
        <v>2416</v>
      </c>
      <c r="D333" s="64" t="s">
        <v>1881</v>
      </c>
      <c r="E333" s="65">
        <v>0</v>
      </c>
      <c r="F333" s="65">
        <v>2</v>
      </c>
      <c r="G333" s="30">
        <v>0</v>
      </c>
      <c r="H333" s="30">
        <v>0</v>
      </c>
      <c r="I333" s="30">
        <v>0</v>
      </c>
      <c r="J333" s="30">
        <v>0</v>
      </c>
      <c r="K333" s="30">
        <v>0</v>
      </c>
      <c r="L333" s="30" t="s">
        <v>115</v>
      </c>
      <c r="M333" s="30">
        <v>2</v>
      </c>
      <c r="N333" s="30">
        <v>0</v>
      </c>
      <c r="O333" s="66">
        <v>0</v>
      </c>
      <c r="P333" s="30">
        <v>0</v>
      </c>
      <c r="Q333" s="30">
        <v>0</v>
      </c>
      <c r="R333" s="30">
        <v>11</v>
      </c>
      <c r="S333" s="30">
        <v>3.2</v>
      </c>
      <c r="T333" s="30">
        <v>0</v>
      </c>
      <c r="U333" s="31">
        <v>0</v>
      </c>
      <c r="V333" s="67">
        <v>0</v>
      </c>
      <c r="W333" s="67">
        <f>11*3.2*2.5</f>
        <v>88</v>
      </c>
      <c r="X333" s="67">
        <v>11</v>
      </c>
      <c r="Y333" s="67" t="s">
        <v>2417</v>
      </c>
      <c r="Z333" s="67" t="s">
        <v>1883</v>
      </c>
    </row>
    <row r="334" ht="39.6" spans="1:28">
      <c r="A334" s="29">
        <v>10033121</v>
      </c>
      <c r="B334" s="30">
        <v>6</v>
      </c>
      <c r="C334" s="63" t="s">
        <v>932</v>
      </c>
      <c r="D334" s="64" t="s">
        <v>1828</v>
      </c>
      <c r="E334" s="65">
        <v>0</v>
      </c>
      <c r="F334" s="65">
        <v>10</v>
      </c>
      <c r="G334" s="30">
        <v>0</v>
      </c>
      <c r="H334" s="30">
        <v>0</v>
      </c>
      <c r="I334" s="30">
        <v>0</v>
      </c>
      <c r="J334" s="30">
        <v>0</v>
      </c>
      <c r="K334" s="30">
        <v>0</v>
      </c>
      <c r="L334" s="30" t="s">
        <v>158</v>
      </c>
      <c r="M334" s="30">
        <v>0</v>
      </c>
      <c r="N334" s="30">
        <v>0</v>
      </c>
      <c r="O334" s="66">
        <v>0</v>
      </c>
      <c r="P334" s="30">
        <v>0</v>
      </c>
      <c r="Q334" s="30">
        <v>0</v>
      </c>
      <c r="R334" s="30">
        <v>8</v>
      </c>
      <c r="S334" s="30">
        <v>2.8</v>
      </c>
      <c r="T334" s="30">
        <v>0.3</v>
      </c>
      <c r="U334" s="31">
        <v>0</v>
      </c>
      <c r="V334" s="67">
        <v>0</v>
      </c>
      <c r="W334" s="67">
        <f>8*2.8*2.5</f>
        <v>56</v>
      </c>
      <c r="X334" s="67">
        <f>8+MAX($X$2,0.3)*8*$X$1</f>
        <v>46.4</v>
      </c>
      <c r="Y334" s="67" t="s">
        <v>2418</v>
      </c>
      <c r="Z334" s="67" t="s">
        <v>1829</v>
      </c>
      <c r="AB334" s="69" t="s">
        <v>931</v>
      </c>
    </row>
    <row r="335" spans="1:28">
      <c r="A335" s="29">
        <v>10033221</v>
      </c>
      <c r="B335" s="30">
        <v>4</v>
      </c>
      <c r="C335" s="63" t="s">
        <v>2419</v>
      </c>
      <c r="D335" s="64" t="s">
        <v>2271</v>
      </c>
      <c r="E335" s="65">
        <v>0</v>
      </c>
      <c r="F335" s="65">
        <v>2</v>
      </c>
      <c r="G335" s="30">
        <v>0</v>
      </c>
      <c r="H335" s="30">
        <v>0</v>
      </c>
      <c r="I335" s="30">
        <v>0</v>
      </c>
      <c r="J335" s="30">
        <v>0</v>
      </c>
      <c r="K335" s="30">
        <v>0</v>
      </c>
      <c r="L335" s="30" t="s">
        <v>1802</v>
      </c>
      <c r="M335" s="30">
        <v>2</v>
      </c>
      <c r="N335" s="30">
        <v>0</v>
      </c>
      <c r="O335" s="66">
        <v>0</v>
      </c>
      <c r="P335" s="30">
        <v>0</v>
      </c>
      <c r="Q335" s="30">
        <v>0</v>
      </c>
      <c r="R335" s="30">
        <v>0</v>
      </c>
      <c r="S335" s="30">
        <v>1</v>
      </c>
      <c r="T335" s="30">
        <v>0</v>
      </c>
      <c r="U335" s="31">
        <v>0</v>
      </c>
      <c r="V335" s="67">
        <v>0</v>
      </c>
      <c r="W335" s="67">
        <f>0*1*2.5</f>
        <v>0</v>
      </c>
      <c r="X335" s="67">
        <v>0</v>
      </c>
      <c r="Z335" s="67" t="s">
        <v>2272</v>
      </c>
      <c r="AB335" s="69" t="s">
        <v>937</v>
      </c>
    </row>
    <row r="336" ht="26.4" spans="1:29">
      <c r="A336" s="29">
        <v>10033321</v>
      </c>
      <c r="B336" s="30">
        <v>5</v>
      </c>
      <c r="C336" s="63" t="s">
        <v>2420</v>
      </c>
      <c r="D336" s="64" t="s">
        <v>1927</v>
      </c>
      <c r="E336" s="65">
        <v>0</v>
      </c>
      <c r="F336" s="65">
        <v>0</v>
      </c>
      <c r="G336" s="30">
        <v>0</v>
      </c>
      <c r="H336" s="30">
        <v>0</v>
      </c>
      <c r="I336" s="30">
        <v>2</v>
      </c>
      <c r="J336" s="30">
        <v>0</v>
      </c>
      <c r="K336" s="30">
        <v>0</v>
      </c>
      <c r="L336" s="30" t="s">
        <v>1802</v>
      </c>
      <c r="M336" s="30">
        <v>0</v>
      </c>
      <c r="N336" s="30">
        <v>0</v>
      </c>
      <c r="O336" s="66">
        <v>14</v>
      </c>
      <c r="P336" s="30">
        <v>0</v>
      </c>
      <c r="Q336" s="30">
        <v>0</v>
      </c>
      <c r="R336" s="30">
        <v>0</v>
      </c>
      <c r="S336" s="30">
        <v>1</v>
      </c>
      <c r="T336" s="30">
        <v>0</v>
      </c>
      <c r="U336" s="31">
        <v>0</v>
      </c>
      <c r="V336" s="67">
        <v>7</v>
      </c>
      <c r="W336" s="67">
        <f>0*1*2.5</f>
        <v>0</v>
      </c>
      <c r="X336" s="67">
        <v>0</v>
      </c>
      <c r="Y336" s="67" t="s">
        <v>2194</v>
      </c>
      <c r="Z336" s="67" t="s">
        <v>1909</v>
      </c>
      <c r="AC336" s="69" t="s">
        <v>2216</v>
      </c>
    </row>
    <row r="337" ht="26.4" spans="1:29">
      <c r="A337" s="29">
        <v>10033421</v>
      </c>
      <c r="B337" s="30">
        <v>5</v>
      </c>
      <c r="C337" s="63" t="s">
        <v>2421</v>
      </c>
      <c r="D337" s="64" t="s">
        <v>1845</v>
      </c>
      <c r="E337" s="65">
        <v>0</v>
      </c>
      <c r="F337" s="65">
        <v>27</v>
      </c>
      <c r="G337" s="30">
        <v>0</v>
      </c>
      <c r="H337" s="30">
        <v>0</v>
      </c>
      <c r="I337" s="30">
        <v>0</v>
      </c>
      <c r="J337" s="30">
        <v>0</v>
      </c>
      <c r="K337" s="30">
        <v>0</v>
      </c>
      <c r="L337" s="30" t="s">
        <v>52</v>
      </c>
      <c r="M337" s="30">
        <v>0</v>
      </c>
      <c r="N337" s="30">
        <v>0</v>
      </c>
      <c r="O337" s="66">
        <v>0</v>
      </c>
      <c r="P337" s="30">
        <v>0</v>
      </c>
      <c r="Q337" s="30">
        <v>0</v>
      </c>
      <c r="R337" s="30">
        <v>6</v>
      </c>
      <c r="S337" s="30">
        <v>1</v>
      </c>
      <c r="T337" s="30">
        <v>0.3</v>
      </c>
      <c r="U337" s="31">
        <v>0</v>
      </c>
      <c r="V337" s="67">
        <v>0</v>
      </c>
      <c r="W337" s="67">
        <f>6*1*2.5</f>
        <v>15</v>
      </c>
      <c r="X337" s="67">
        <f>6+MAX($X$2,0.3)*6*$X$1</f>
        <v>34.8</v>
      </c>
      <c r="Y337" s="67" t="s">
        <v>2422</v>
      </c>
      <c r="Z337" s="67" t="s">
        <v>1846</v>
      </c>
      <c r="AC337" s="69" t="s">
        <v>2423</v>
      </c>
    </row>
    <row r="338" ht="26.4" spans="1:29">
      <c r="A338" s="29">
        <v>10033521</v>
      </c>
      <c r="B338" s="30">
        <v>5</v>
      </c>
      <c r="C338" s="63" t="s">
        <v>2424</v>
      </c>
      <c r="D338" s="64" t="s">
        <v>1940</v>
      </c>
      <c r="E338" s="65">
        <v>0</v>
      </c>
      <c r="F338" s="65">
        <v>0</v>
      </c>
      <c r="G338" s="30">
        <v>0</v>
      </c>
      <c r="H338" s="30">
        <v>12</v>
      </c>
      <c r="I338" s="30">
        <v>5</v>
      </c>
      <c r="J338" s="30">
        <v>0</v>
      </c>
      <c r="K338" s="30">
        <v>0</v>
      </c>
      <c r="L338" s="30" t="s">
        <v>1802</v>
      </c>
      <c r="M338" s="30">
        <v>0</v>
      </c>
      <c r="N338" s="30">
        <v>0</v>
      </c>
      <c r="O338" s="66">
        <v>0</v>
      </c>
      <c r="P338" s="30">
        <v>0</v>
      </c>
      <c r="Q338" s="30">
        <v>0</v>
      </c>
      <c r="R338" s="30">
        <v>0</v>
      </c>
      <c r="S338" s="30">
        <v>1</v>
      </c>
      <c r="T338" s="30">
        <v>0</v>
      </c>
      <c r="U338" s="31">
        <v>0</v>
      </c>
      <c r="V338" s="67">
        <v>6</v>
      </c>
      <c r="W338" s="67">
        <f t="shared" ref="W338:W343" si="9">0*1*2.5</f>
        <v>0</v>
      </c>
      <c r="X338" s="67">
        <v>0</v>
      </c>
      <c r="Y338" s="67" t="s">
        <v>1920</v>
      </c>
      <c r="Z338" s="67" t="s">
        <v>1909</v>
      </c>
      <c r="AC338" s="69" t="s">
        <v>2425</v>
      </c>
    </row>
    <row r="339" ht="26.4" spans="1:29">
      <c r="A339" s="29">
        <v>10033621</v>
      </c>
      <c r="B339" s="30">
        <v>5</v>
      </c>
      <c r="C339" s="63" t="s">
        <v>2426</v>
      </c>
      <c r="D339" s="64" t="s">
        <v>14</v>
      </c>
      <c r="E339" s="65">
        <v>0</v>
      </c>
      <c r="F339" s="65">
        <v>0</v>
      </c>
      <c r="G339" s="30">
        <v>0</v>
      </c>
      <c r="H339" s="30">
        <v>17</v>
      </c>
      <c r="I339" s="30">
        <v>0</v>
      </c>
      <c r="J339" s="30">
        <v>0</v>
      </c>
      <c r="K339" s="30">
        <v>2</v>
      </c>
      <c r="L339" s="30" t="s">
        <v>1802</v>
      </c>
      <c r="M339" s="30">
        <v>0</v>
      </c>
      <c r="N339" s="30">
        <v>0</v>
      </c>
      <c r="O339" s="66">
        <v>0</v>
      </c>
      <c r="P339" s="30">
        <v>0</v>
      </c>
      <c r="Q339" s="30">
        <v>0</v>
      </c>
      <c r="R339" s="30">
        <v>0</v>
      </c>
      <c r="S339" s="30">
        <v>1</v>
      </c>
      <c r="T339" s="30">
        <v>0</v>
      </c>
      <c r="U339" s="31">
        <v>0</v>
      </c>
      <c r="V339" s="67">
        <v>0</v>
      </c>
      <c r="W339" s="67">
        <f t="shared" si="9"/>
        <v>0</v>
      </c>
      <c r="X339" s="67">
        <v>0</v>
      </c>
      <c r="Z339" s="67" t="s">
        <v>2101</v>
      </c>
      <c r="AC339" s="69" t="s">
        <v>2423</v>
      </c>
    </row>
    <row r="340" ht="26.4" spans="1:29">
      <c r="A340" s="29">
        <v>10033721</v>
      </c>
      <c r="B340" s="30">
        <v>5</v>
      </c>
      <c r="C340" s="63" t="s">
        <v>2427</v>
      </c>
      <c r="D340" s="64" t="s">
        <v>1801</v>
      </c>
      <c r="E340" s="65">
        <v>0</v>
      </c>
      <c r="F340" s="65">
        <v>0</v>
      </c>
      <c r="G340" s="30">
        <v>0</v>
      </c>
      <c r="H340" s="30">
        <v>0</v>
      </c>
      <c r="I340" s="30">
        <v>2</v>
      </c>
      <c r="J340" s="30">
        <v>0</v>
      </c>
      <c r="K340" s="30">
        <v>0</v>
      </c>
      <c r="L340" s="30" t="s">
        <v>1802</v>
      </c>
      <c r="M340" s="30">
        <v>0</v>
      </c>
      <c r="N340" s="30">
        <v>0</v>
      </c>
      <c r="O340" s="66">
        <v>4</v>
      </c>
      <c r="P340" s="30">
        <v>0</v>
      </c>
      <c r="Q340" s="30">
        <v>0</v>
      </c>
      <c r="R340" s="30">
        <v>0</v>
      </c>
      <c r="S340" s="30">
        <v>1</v>
      </c>
      <c r="T340" s="30">
        <v>0</v>
      </c>
      <c r="U340" s="31">
        <v>0</v>
      </c>
      <c r="V340" s="67">
        <v>0</v>
      </c>
      <c r="W340" s="67">
        <f t="shared" si="9"/>
        <v>0</v>
      </c>
      <c r="X340" s="67">
        <v>0</v>
      </c>
      <c r="Y340" s="67" t="s">
        <v>2428</v>
      </c>
      <c r="Z340" s="67" t="s">
        <v>2248</v>
      </c>
      <c r="AC340" s="69" t="s">
        <v>2429</v>
      </c>
    </row>
    <row r="341" ht="39.6" spans="1:29">
      <c r="A341" s="29">
        <v>10033821</v>
      </c>
      <c r="B341" s="30">
        <v>4</v>
      </c>
      <c r="C341" s="63" t="s">
        <v>2430</v>
      </c>
      <c r="D341" s="64" t="s">
        <v>1940</v>
      </c>
      <c r="E341" s="65">
        <v>0</v>
      </c>
      <c r="F341" s="65">
        <v>0</v>
      </c>
      <c r="G341" s="30">
        <v>0</v>
      </c>
      <c r="H341" s="30">
        <v>8</v>
      </c>
      <c r="I341" s="30">
        <v>5</v>
      </c>
      <c r="J341" s="30">
        <v>0</v>
      </c>
      <c r="K341" s="30">
        <v>2</v>
      </c>
      <c r="L341" s="30" t="s">
        <v>1802</v>
      </c>
      <c r="M341" s="30">
        <v>0</v>
      </c>
      <c r="N341" s="30">
        <v>2</v>
      </c>
      <c r="O341" s="66">
        <v>0</v>
      </c>
      <c r="P341" s="30">
        <v>0</v>
      </c>
      <c r="Q341" s="30">
        <v>0</v>
      </c>
      <c r="R341" s="30">
        <v>0</v>
      </c>
      <c r="S341" s="30">
        <v>1</v>
      </c>
      <c r="T341" s="30">
        <v>0</v>
      </c>
      <c r="U341" s="31">
        <v>0</v>
      </c>
      <c r="V341" s="67">
        <v>5</v>
      </c>
      <c r="W341" s="67">
        <f t="shared" si="9"/>
        <v>0</v>
      </c>
      <c r="X341" s="67">
        <v>0</v>
      </c>
      <c r="Y341" s="67" t="s">
        <v>2431</v>
      </c>
      <c r="Z341" s="67" t="s">
        <v>1909</v>
      </c>
      <c r="AC341" s="69" t="s">
        <v>2432</v>
      </c>
    </row>
    <row r="342" ht="26.4" spans="1:29">
      <c r="A342" s="29">
        <v>10033921</v>
      </c>
      <c r="B342" s="30">
        <v>6</v>
      </c>
      <c r="C342" s="63" t="s">
        <v>2433</v>
      </c>
      <c r="D342" s="64" t="s">
        <v>1976</v>
      </c>
      <c r="E342" s="65">
        <v>0</v>
      </c>
      <c r="F342" s="65">
        <v>3</v>
      </c>
      <c r="G342" s="30">
        <v>0</v>
      </c>
      <c r="H342" s="30">
        <v>0</v>
      </c>
      <c r="I342" s="30">
        <v>15</v>
      </c>
      <c r="J342" s="30">
        <v>0</v>
      </c>
      <c r="K342" s="30">
        <v>3</v>
      </c>
      <c r="L342" s="30" t="s">
        <v>115</v>
      </c>
      <c r="M342" s="30">
        <v>0</v>
      </c>
      <c r="N342" s="30">
        <v>0</v>
      </c>
      <c r="O342" s="66">
        <v>0</v>
      </c>
      <c r="P342" s="30">
        <v>0</v>
      </c>
      <c r="Q342" s="30">
        <v>0</v>
      </c>
      <c r="R342" s="30">
        <v>0</v>
      </c>
      <c r="S342" s="30">
        <v>1</v>
      </c>
      <c r="T342" s="30">
        <v>0</v>
      </c>
      <c r="U342" s="31">
        <v>0</v>
      </c>
      <c r="V342" s="67">
        <v>0</v>
      </c>
      <c r="W342" s="67">
        <f t="shared" si="9"/>
        <v>0</v>
      </c>
      <c r="X342" s="67">
        <v>0</v>
      </c>
      <c r="Z342" s="67" t="s">
        <v>1977</v>
      </c>
      <c r="AC342" s="69" t="s">
        <v>2207</v>
      </c>
    </row>
    <row r="343" ht="39.6" spans="1:29">
      <c r="A343" s="29">
        <v>10034021</v>
      </c>
      <c r="B343" s="30">
        <v>6</v>
      </c>
      <c r="C343" s="63" t="s">
        <v>2434</v>
      </c>
      <c r="D343" s="64" t="s">
        <v>14</v>
      </c>
      <c r="E343" s="65">
        <v>0</v>
      </c>
      <c r="F343" s="65">
        <v>0</v>
      </c>
      <c r="G343" s="30">
        <v>0</v>
      </c>
      <c r="H343" s="30">
        <v>14</v>
      </c>
      <c r="I343" s="30">
        <v>0</v>
      </c>
      <c r="J343" s="30">
        <v>0</v>
      </c>
      <c r="K343" s="30">
        <v>1</v>
      </c>
      <c r="L343" s="30" t="s">
        <v>1802</v>
      </c>
      <c r="M343" s="30">
        <v>0</v>
      </c>
      <c r="N343" s="30">
        <v>0</v>
      </c>
      <c r="O343" s="66">
        <v>0</v>
      </c>
      <c r="P343" s="30">
        <v>0</v>
      </c>
      <c r="Q343" s="30">
        <v>0</v>
      </c>
      <c r="R343" s="30">
        <v>0</v>
      </c>
      <c r="S343" s="30">
        <v>1</v>
      </c>
      <c r="T343" s="30">
        <v>0</v>
      </c>
      <c r="U343" s="31">
        <v>0</v>
      </c>
      <c r="V343" s="67">
        <v>0</v>
      </c>
      <c r="W343" s="67">
        <f t="shared" si="9"/>
        <v>0</v>
      </c>
      <c r="X343" s="67">
        <v>0</v>
      </c>
      <c r="Z343" s="67" t="s">
        <v>1980</v>
      </c>
      <c r="AC343" s="69" t="s">
        <v>2435</v>
      </c>
    </row>
    <row r="344" ht="26.4" spans="1:29">
      <c r="A344" s="29">
        <v>10034121</v>
      </c>
      <c r="B344" s="30">
        <v>6</v>
      </c>
      <c r="C344" s="63" t="s">
        <v>2436</v>
      </c>
      <c r="D344" s="64" t="s">
        <v>1907</v>
      </c>
      <c r="E344" s="65">
        <v>0</v>
      </c>
      <c r="F344" s="65">
        <v>0</v>
      </c>
      <c r="G344" s="30">
        <v>0</v>
      </c>
      <c r="H344" s="30">
        <v>0</v>
      </c>
      <c r="I344" s="30">
        <v>0</v>
      </c>
      <c r="J344" s="30">
        <v>0</v>
      </c>
      <c r="K344" s="30">
        <v>0</v>
      </c>
      <c r="L344" s="30" t="s">
        <v>1802</v>
      </c>
      <c r="M344" s="30">
        <v>0</v>
      </c>
      <c r="N344" s="30">
        <v>0</v>
      </c>
      <c r="O344" s="66">
        <v>4</v>
      </c>
      <c r="P344" s="30">
        <v>0</v>
      </c>
      <c r="Q344" s="30">
        <v>0</v>
      </c>
      <c r="R344" s="30">
        <v>15</v>
      </c>
      <c r="S344" s="30">
        <v>1</v>
      </c>
      <c r="T344" s="30">
        <v>0</v>
      </c>
      <c r="U344" s="31">
        <v>0</v>
      </c>
      <c r="V344" s="67">
        <v>9</v>
      </c>
      <c r="W344" s="67">
        <f>15*1*2.5</f>
        <v>37.5</v>
      </c>
      <c r="X344" s="67">
        <v>15</v>
      </c>
      <c r="Y344" s="67" t="s">
        <v>2080</v>
      </c>
      <c r="Z344" s="67" t="s">
        <v>1909</v>
      </c>
      <c r="AC344" s="69" t="s">
        <v>2437</v>
      </c>
    </row>
    <row r="345" ht="26.4" spans="1:29">
      <c r="A345" s="29">
        <v>10034221</v>
      </c>
      <c r="B345" s="30">
        <v>6</v>
      </c>
      <c r="C345" s="63" t="s">
        <v>2438</v>
      </c>
      <c r="D345" s="64" t="s">
        <v>1940</v>
      </c>
      <c r="E345" s="65">
        <v>0</v>
      </c>
      <c r="F345" s="65">
        <v>0</v>
      </c>
      <c r="G345" s="30">
        <v>0</v>
      </c>
      <c r="H345" s="30">
        <v>5</v>
      </c>
      <c r="I345" s="30">
        <v>7</v>
      </c>
      <c r="J345" s="30">
        <v>12</v>
      </c>
      <c r="K345" s="30">
        <v>0</v>
      </c>
      <c r="L345" s="30" t="s">
        <v>1802</v>
      </c>
      <c r="M345" s="30">
        <v>2</v>
      </c>
      <c r="N345" s="30">
        <v>0</v>
      </c>
      <c r="O345" s="66">
        <v>0</v>
      </c>
      <c r="P345" s="30">
        <v>0</v>
      </c>
      <c r="Q345" s="30">
        <v>0</v>
      </c>
      <c r="R345" s="30">
        <v>0</v>
      </c>
      <c r="S345" s="30">
        <v>1</v>
      </c>
      <c r="T345" s="30">
        <v>0</v>
      </c>
      <c r="U345" s="31">
        <v>0</v>
      </c>
      <c r="V345" s="67">
        <v>6</v>
      </c>
      <c r="W345" s="67">
        <f t="shared" ref="W345:W352" si="10">0*1*2.5</f>
        <v>0</v>
      </c>
      <c r="X345" s="67">
        <v>0</v>
      </c>
      <c r="Y345" s="67" t="s">
        <v>2439</v>
      </c>
      <c r="Z345" s="67" t="s">
        <v>1909</v>
      </c>
      <c r="AC345" s="69" t="s">
        <v>2440</v>
      </c>
    </row>
    <row r="346" ht="26.4" spans="1:29">
      <c r="A346" s="29">
        <v>10034321</v>
      </c>
      <c r="B346" s="30">
        <v>6</v>
      </c>
      <c r="C346" s="63" t="s">
        <v>2441</v>
      </c>
      <c r="D346" s="64" t="s">
        <v>1845</v>
      </c>
      <c r="E346" s="65">
        <v>0</v>
      </c>
      <c r="F346" s="65">
        <v>29</v>
      </c>
      <c r="G346" s="30">
        <v>0</v>
      </c>
      <c r="H346" s="30">
        <v>0</v>
      </c>
      <c r="I346" s="30">
        <v>0</v>
      </c>
      <c r="J346" s="30">
        <v>0</v>
      </c>
      <c r="K346" s="30">
        <v>0</v>
      </c>
      <c r="L346" s="30" t="s">
        <v>52</v>
      </c>
      <c r="M346" s="30">
        <v>-2</v>
      </c>
      <c r="N346" s="30">
        <v>0</v>
      </c>
      <c r="O346" s="66">
        <v>0</v>
      </c>
      <c r="P346" s="30">
        <v>0</v>
      </c>
      <c r="Q346" s="30">
        <v>0</v>
      </c>
      <c r="R346" s="30">
        <v>0</v>
      </c>
      <c r="S346" s="30">
        <v>1</v>
      </c>
      <c r="T346" s="30">
        <v>0</v>
      </c>
      <c r="U346" s="31">
        <v>0</v>
      </c>
      <c r="V346" s="67">
        <v>0</v>
      </c>
      <c r="W346" s="67">
        <f t="shared" si="10"/>
        <v>0</v>
      </c>
      <c r="X346" s="67">
        <v>0</v>
      </c>
      <c r="Z346" s="67" t="s">
        <v>1846</v>
      </c>
      <c r="AC346" s="69" t="s">
        <v>2442</v>
      </c>
    </row>
    <row r="347" ht="26.4" spans="1:29">
      <c r="A347" s="29">
        <v>10034421</v>
      </c>
      <c r="B347" s="30">
        <v>5</v>
      </c>
      <c r="C347" s="63" t="s">
        <v>2443</v>
      </c>
      <c r="D347" s="64" t="s">
        <v>1801</v>
      </c>
      <c r="E347" s="65">
        <v>0</v>
      </c>
      <c r="F347" s="65">
        <v>10</v>
      </c>
      <c r="G347" s="30">
        <v>0</v>
      </c>
      <c r="H347" s="30">
        <v>0</v>
      </c>
      <c r="I347" s="30">
        <v>0</v>
      </c>
      <c r="J347" s="30">
        <v>0</v>
      </c>
      <c r="K347" s="30">
        <v>0</v>
      </c>
      <c r="L347" s="30" t="s">
        <v>158</v>
      </c>
      <c r="M347" s="30">
        <v>0</v>
      </c>
      <c r="N347" s="30">
        <v>0</v>
      </c>
      <c r="O347" s="66">
        <v>0</v>
      </c>
      <c r="P347" s="30">
        <v>0</v>
      </c>
      <c r="Q347" s="30">
        <v>0</v>
      </c>
      <c r="R347" s="30">
        <v>0</v>
      </c>
      <c r="S347" s="30">
        <v>1</v>
      </c>
      <c r="T347" s="30">
        <v>0</v>
      </c>
      <c r="U347" s="31">
        <v>0</v>
      </c>
      <c r="V347" s="67">
        <v>0</v>
      </c>
      <c r="W347" s="67">
        <f t="shared" si="10"/>
        <v>0</v>
      </c>
      <c r="X347" s="67">
        <v>0</v>
      </c>
      <c r="Z347" s="67" t="s">
        <v>2177</v>
      </c>
      <c r="AC347" s="69" t="s">
        <v>2444</v>
      </c>
    </row>
    <row r="348" ht="39.6" spans="1:29">
      <c r="A348" s="29">
        <v>10034521</v>
      </c>
      <c r="B348" s="30">
        <v>5</v>
      </c>
      <c r="C348" s="63" t="s">
        <v>2445</v>
      </c>
      <c r="D348" s="64" t="s">
        <v>1832</v>
      </c>
      <c r="E348" s="65">
        <v>0</v>
      </c>
      <c r="F348" s="65">
        <v>15</v>
      </c>
      <c r="G348" s="30">
        <v>0</v>
      </c>
      <c r="H348" s="30">
        <v>0</v>
      </c>
      <c r="I348" s="30">
        <v>0</v>
      </c>
      <c r="J348" s="30">
        <v>0</v>
      </c>
      <c r="K348" s="30">
        <v>0</v>
      </c>
      <c r="L348" s="30" t="s">
        <v>158</v>
      </c>
      <c r="M348" s="30">
        <v>0</v>
      </c>
      <c r="N348" s="30">
        <v>0</v>
      </c>
      <c r="O348" s="66">
        <v>0</v>
      </c>
      <c r="P348" s="30">
        <v>0</v>
      </c>
      <c r="Q348" s="30">
        <v>0</v>
      </c>
      <c r="R348" s="30">
        <v>0</v>
      </c>
      <c r="S348" s="30">
        <v>1</v>
      </c>
      <c r="T348" s="30">
        <v>0</v>
      </c>
      <c r="U348" s="31">
        <v>0</v>
      </c>
      <c r="V348" s="67">
        <v>0</v>
      </c>
      <c r="W348" s="67">
        <f t="shared" si="10"/>
        <v>0</v>
      </c>
      <c r="X348" s="67">
        <v>0</v>
      </c>
      <c r="Z348" s="67" t="s">
        <v>1834</v>
      </c>
      <c r="AB348" s="69" t="s">
        <v>2446</v>
      </c>
      <c r="AC348" s="69" t="s">
        <v>2447</v>
      </c>
    </row>
    <row r="349" ht="26.4" spans="1:29">
      <c r="A349" s="29">
        <v>10034621</v>
      </c>
      <c r="B349" s="30">
        <v>5</v>
      </c>
      <c r="C349" s="63" t="s">
        <v>2448</v>
      </c>
      <c r="D349" s="64" t="s">
        <v>1940</v>
      </c>
      <c r="E349" s="65">
        <v>0</v>
      </c>
      <c r="F349" s="65">
        <v>0</v>
      </c>
      <c r="G349" s="30">
        <v>0</v>
      </c>
      <c r="H349" s="30">
        <v>9</v>
      </c>
      <c r="I349" s="30">
        <v>10</v>
      </c>
      <c r="J349" s="30">
        <v>5</v>
      </c>
      <c r="K349" s="30">
        <v>0</v>
      </c>
      <c r="L349" s="30" t="s">
        <v>1802</v>
      </c>
      <c r="M349" s="30">
        <v>0</v>
      </c>
      <c r="N349" s="30">
        <v>0</v>
      </c>
      <c r="O349" s="66">
        <v>0</v>
      </c>
      <c r="P349" s="30">
        <v>0</v>
      </c>
      <c r="Q349" s="30">
        <v>0</v>
      </c>
      <c r="R349" s="30">
        <v>0</v>
      </c>
      <c r="S349" s="30">
        <v>1</v>
      </c>
      <c r="T349" s="30">
        <v>0</v>
      </c>
      <c r="U349" s="31">
        <v>0</v>
      </c>
      <c r="V349" s="67">
        <v>5</v>
      </c>
      <c r="W349" s="67">
        <f t="shared" si="10"/>
        <v>0</v>
      </c>
      <c r="X349" s="67">
        <v>0</v>
      </c>
      <c r="Y349" s="67" t="s">
        <v>1913</v>
      </c>
      <c r="Z349" s="67" t="s">
        <v>1909</v>
      </c>
      <c r="AC349" s="69" t="s">
        <v>2449</v>
      </c>
    </row>
    <row r="350" ht="26.4" spans="1:29">
      <c r="A350" s="29">
        <v>10034721</v>
      </c>
      <c r="B350" s="30">
        <v>5</v>
      </c>
      <c r="C350" s="63" t="s">
        <v>2450</v>
      </c>
      <c r="D350" s="64" t="s">
        <v>1988</v>
      </c>
      <c r="E350" s="65">
        <v>0</v>
      </c>
      <c r="F350" s="65">
        <v>2</v>
      </c>
      <c r="G350" s="30">
        <v>0</v>
      </c>
      <c r="H350" s="30">
        <v>0</v>
      </c>
      <c r="I350" s="30">
        <v>0</v>
      </c>
      <c r="J350" s="30">
        <v>0</v>
      </c>
      <c r="K350" s="30">
        <v>2</v>
      </c>
      <c r="L350" s="30" t="s">
        <v>1802</v>
      </c>
      <c r="M350" s="30">
        <v>0</v>
      </c>
      <c r="N350" s="30">
        <v>0</v>
      </c>
      <c r="O350" s="66">
        <v>0</v>
      </c>
      <c r="P350" s="30">
        <v>0</v>
      </c>
      <c r="Q350" s="30">
        <v>0</v>
      </c>
      <c r="R350" s="30">
        <v>0</v>
      </c>
      <c r="S350" s="30">
        <v>1</v>
      </c>
      <c r="T350" s="30">
        <v>0</v>
      </c>
      <c r="U350" s="31">
        <v>0</v>
      </c>
      <c r="V350" s="67">
        <v>0</v>
      </c>
      <c r="W350" s="67">
        <f t="shared" si="10"/>
        <v>0</v>
      </c>
      <c r="X350" s="67">
        <v>0</v>
      </c>
      <c r="Y350" s="67" t="s">
        <v>2451</v>
      </c>
      <c r="Z350" s="67" t="s">
        <v>2060</v>
      </c>
      <c r="AC350" s="69" t="s">
        <v>2452</v>
      </c>
    </row>
    <row r="351" ht="39.6" spans="1:29">
      <c r="A351" s="29">
        <v>10034821</v>
      </c>
      <c r="B351" s="30">
        <v>4</v>
      </c>
      <c r="C351" s="63" t="s">
        <v>2453</v>
      </c>
      <c r="D351" s="64" t="s">
        <v>1960</v>
      </c>
      <c r="E351" s="65">
        <v>0</v>
      </c>
      <c r="F351" s="65">
        <v>0</v>
      </c>
      <c r="G351" s="30">
        <v>0</v>
      </c>
      <c r="H351" s="30">
        <v>4</v>
      </c>
      <c r="I351" s="30">
        <v>0</v>
      </c>
      <c r="J351" s="30">
        <v>0</v>
      </c>
      <c r="K351" s="30">
        <v>4</v>
      </c>
      <c r="L351" s="30" t="s">
        <v>1802</v>
      </c>
      <c r="M351" s="30">
        <v>0</v>
      </c>
      <c r="N351" s="30">
        <v>0</v>
      </c>
      <c r="O351" s="66">
        <v>0</v>
      </c>
      <c r="P351" s="30">
        <v>0</v>
      </c>
      <c r="Q351" s="30">
        <v>0</v>
      </c>
      <c r="R351" s="30">
        <v>0</v>
      </c>
      <c r="S351" s="30">
        <v>1</v>
      </c>
      <c r="T351" s="30">
        <v>0</v>
      </c>
      <c r="U351" s="31">
        <v>0</v>
      </c>
      <c r="V351" s="67">
        <v>0</v>
      </c>
      <c r="W351" s="67">
        <f t="shared" si="10"/>
        <v>0</v>
      </c>
      <c r="X351" s="67">
        <v>0</v>
      </c>
      <c r="Y351" s="67" t="s">
        <v>2454</v>
      </c>
      <c r="Z351" s="67" t="s">
        <v>1980</v>
      </c>
      <c r="AC351" s="69" t="s">
        <v>2455</v>
      </c>
    </row>
    <row r="352" ht="52.8" spans="1:29">
      <c r="A352" s="29">
        <v>10034921</v>
      </c>
      <c r="B352" s="30">
        <v>6</v>
      </c>
      <c r="C352" s="63" t="s">
        <v>2456</v>
      </c>
      <c r="D352" s="64" t="s">
        <v>1801</v>
      </c>
      <c r="E352" s="65">
        <v>0</v>
      </c>
      <c r="F352" s="65">
        <v>0</v>
      </c>
      <c r="G352" s="30">
        <v>0</v>
      </c>
      <c r="H352" s="30">
        <v>0</v>
      </c>
      <c r="I352" s="30">
        <v>2</v>
      </c>
      <c r="J352" s="30">
        <v>0</v>
      </c>
      <c r="K352" s="30">
        <v>0</v>
      </c>
      <c r="L352" s="30" t="s">
        <v>1802</v>
      </c>
      <c r="M352" s="30">
        <v>5</v>
      </c>
      <c r="N352" s="30">
        <v>5</v>
      </c>
      <c r="O352" s="66">
        <v>0</v>
      </c>
      <c r="P352" s="30">
        <v>0</v>
      </c>
      <c r="Q352" s="30">
        <v>0</v>
      </c>
      <c r="R352" s="30">
        <v>0</v>
      </c>
      <c r="S352" s="30">
        <v>1</v>
      </c>
      <c r="T352" s="30">
        <v>0</v>
      </c>
      <c r="U352" s="31">
        <v>0</v>
      </c>
      <c r="V352" s="67">
        <v>0</v>
      </c>
      <c r="W352" s="67">
        <f t="shared" si="10"/>
        <v>0</v>
      </c>
      <c r="X352" s="67">
        <v>0</v>
      </c>
      <c r="Z352" s="67" t="s">
        <v>1803</v>
      </c>
      <c r="AC352" s="69" t="s">
        <v>2457</v>
      </c>
    </row>
    <row r="353" ht="39.6" spans="1:28">
      <c r="A353" s="29">
        <v>10035021</v>
      </c>
      <c r="B353" s="30">
        <v>6</v>
      </c>
      <c r="C353" s="63" t="s">
        <v>2458</v>
      </c>
      <c r="D353" s="64" t="s">
        <v>1828</v>
      </c>
      <c r="E353" s="65">
        <v>0</v>
      </c>
      <c r="F353" s="65">
        <v>11</v>
      </c>
      <c r="G353" s="30">
        <v>0</v>
      </c>
      <c r="H353" s="30">
        <v>0</v>
      </c>
      <c r="I353" s="30">
        <v>0</v>
      </c>
      <c r="J353" s="30">
        <v>0</v>
      </c>
      <c r="K353" s="30">
        <v>0</v>
      </c>
      <c r="L353" s="30" t="s">
        <v>158</v>
      </c>
      <c r="M353" s="30">
        <v>0</v>
      </c>
      <c r="N353" s="30">
        <v>0</v>
      </c>
      <c r="O353" s="66">
        <v>0</v>
      </c>
      <c r="P353" s="30">
        <v>0</v>
      </c>
      <c r="Q353" s="30">
        <v>0</v>
      </c>
      <c r="R353" s="30">
        <v>7</v>
      </c>
      <c r="S353" s="30">
        <v>2.7</v>
      </c>
      <c r="T353" s="30">
        <v>0.3</v>
      </c>
      <c r="U353" s="31">
        <v>0</v>
      </c>
      <c r="V353" s="67">
        <v>0</v>
      </c>
      <c r="W353" s="67">
        <f>7*2.7*2.5</f>
        <v>47.25</v>
      </c>
      <c r="X353" s="67">
        <f>7+MAX($X$2,0.3)*7*$X$1</f>
        <v>40.6</v>
      </c>
      <c r="Y353" s="67" t="s">
        <v>2459</v>
      </c>
      <c r="Z353" s="67" t="s">
        <v>1829</v>
      </c>
      <c r="AB353" s="69" t="s">
        <v>2460</v>
      </c>
    </row>
    <row r="354" ht="26.4" spans="1:28">
      <c r="A354" s="29">
        <v>10035121</v>
      </c>
      <c r="B354" s="30">
        <v>6</v>
      </c>
      <c r="C354" s="63" t="s">
        <v>946</v>
      </c>
      <c r="D354" s="64" t="s">
        <v>1845</v>
      </c>
      <c r="E354" s="65">
        <v>0</v>
      </c>
      <c r="F354" s="65">
        <v>25</v>
      </c>
      <c r="G354" s="30">
        <v>0</v>
      </c>
      <c r="H354" s="30">
        <v>0</v>
      </c>
      <c r="I354" s="30">
        <v>0</v>
      </c>
      <c r="J354" s="30">
        <v>0</v>
      </c>
      <c r="K354" s="30">
        <v>4</v>
      </c>
      <c r="L354" s="30" t="s">
        <v>1022</v>
      </c>
      <c r="M354" s="30">
        <v>0</v>
      </c>
      <c r="N354" s="30">
        <v>0</v>
      </c>
      <c r="O354" s="66">
        <v>0</v>
      </c>
      <c r="P354" s="30">
        <v>0</v>
      </c>
      <c r="Q354" s="30">
        <v>0</v>
      </c>
      <c r="R354" s="30">
        <v>0</v>
      </c>
      <c r="S354" s="30">
        <v>1</v>
      </c>
      <c r="T354" s="30">
        <v>0</v>
      </c>
      <c r="U354" s="31">
        <v>0</v>
      </c>
      <c r="V354" s="67">
        <v>0</v>
      </c>
      <c r="W354" s="67">
        <f>0*1*2.5</f>
        <v>0</v>
      </c>
      <c r="X354" s="67">
        <v>0</v>
      </c>
      <c r="Z354" s="67" t="s">
        <v>1846</v>
      </c>
      <c r="AB354" s="69" t="s">
        <v>945</v>
      </c>
    </row>
    <row r="355" ht="52.8" spans="1:29">
      <c r="A355" s="29">
        <v>10035221</v>
      </c>
      <c r="B355" s="30">
        <v>6</v>
      </c>
      <c r="C355" s="63" t="s">
        <v>2461</v>
      </c>
      <c r="D355" s="64" t="s">
        <v>1801</v>
      </c>
      <c r="E355" s="65">
        <v>0</v>
      </c>
      <c r="F355" s="65">
        <v>0</v>
      </c>
      <c r="G355" s="30">
        <v>0</v>
      </c>
      <c r="H355" s="30">
        <v>0</v>
      </c>
      <c r="I355" s="30">
        <v>0</v>
      </c>
      <c r="J355" s="30">
        <v>0</v>
      </c>
      <c r="K355" s="30">
        <v>0</v>
      </c>
      <c r="L355" s="30" t="s">
        <v>1802</v>
      </c>
      <c r="M355" s="30">
        <v>0</v>
      </c>
      <c r="N355" s="30">
        <v>6</v>
      </c>
      <c r="O355" s="66">
        <v>0</v>
      </c>
      <c r="P355" s="30">
        <v>0</v>
      </c>
      <c r="Q355" s="30">
        <v>0</v>
      </c>
      <c r="R355" s="30">
        <v>0</v>
      </c>
      <c r="S355" s="30">
        <v>1</v>
      </c>
      <c r="T355" s="30">
        <v>0</v>
      </c>
      <c r="U355" s="31">
        <v>0</v>
      </c>
      <c r="V355" s="67">
        <v>0</v>
      </c>
      <c r="W355" s="67">
        <f>0*1*2.5</f>
        <v>0</v>
      </c>
      <c r="X355" s="67">
        <v>0</v>
      </c>
      <c r="Z355" s="67" t="s">
        <v>1803</v>
      </c>
      <c r="AC355" s="69" t="s">
        <v>2462</v>
      </c>
    </row>
    <row r="356" ht="39.6" spans="1:29">
      <c r="A356" s="29">
        <v>10035321</v>
      </c>
      <c r="B356" s="30">
        <v>4</v>
      </c>
      <c r="C356" s="63" t="s">
        <v>2463</v>
      </c>
      <c r="D356" s="64" t="s">
        <v>1881</v>
      </c>
      <c r="E356" s="65">
        <v>0</v>
      </c>
      <c r="F356" s="65">
        <v>0</v>
      </c>
      <c r="G356" s="30">
        <v>0</v>
      </c>
      <c r="H356" s="30">
        <v>0</v>
      </c>
      <c r="I356" s="30">
        <v>0</v>
      </c>
      <c r="J356" s="30">
        <v>0</v>
      </c>
      <c r="K356" s="30">
        <v>0</v>
      </c>
      <c r="L356" s="30" t="s">
        <v>1802</v>
      </c>
      <c r="M356" s="30">
        <v>2</v>
      </c>
      <c r="N356" s="30">
        <v>0</v>
      </c>
      <c r="O356" s="66">
        <v>0</v>
      </c>
      <c r="P356" s="30">
        <v>0</v>
      </c>
      <c r="Q356" s="30">
        <v>0</v>
      </c>
      <c r="R356" s="30">
        <v>4</v>
      </c>
      <c r="S356" s="30">
        <v>1</v>
      </c>
      <c r="T356" s="30">
        <v>0</v>
      </c>
      <c r="U356" s="31">
        <v>0</v>
      </c>
      <c r="V356" s="67">
        <v>0</v>
      </c>
      <c r="W356" s="67">
        <f>4*1*2.5</f>
        <v>10</v>
      </c>
      <c r="X356" s="67">
        <v>4</v>
      </c>
      <c r="Y356" s="67" t="s">
        <v>2464</v>
      </c>
      <c r="Z356" s="67" t="s">
        <v>1883</v>
      </c>
      <c r="AC356" s="69" t="s">
        <v>2207</v>
      </c>
    </row>
    <row r="357" ht="26.4" spans="1:29">
      <c r="A357" s="29">
        <v>10035421</v>
      </c>
      <c r="B357" s="30">
        <v>4</v>
      </c>
      <c r="C357" s="63" t="s">
        <v>2465</v>
      </c>
      <c r="D357" s="64" t="s">
        <v>1801</v>
      </c>
      <c r="E357" s="65">
        <v>0</v>
      </c>
      <c r="F357" s="65">
        <v>0</v>
      </c>
      <c r="G357" s="30">
        <v>0</v>
      </c>
      <c r="H357" s="30">
        <v>2</v>
      </c>
      <c r="I357" s="30">
        <v>0</v>
      </c>
      <c r="J357" s="30">
        <v>0</v>
      </c>
      <c r="K357" s="30">
        <v>0</v>
      </c>
      <c r="L357" s="30" t="s">
        <v>1802</v>
      </c>
      <c r="M357" s="30">
        <v>7</v>
      </c>
      <c r="N357" s="30">
        <v>2</v>
      </c>
      <c r="O357" s="66">
        <v>0</v>
      </c>
      <c r="P357" s="30">
        <v>0</v>
      </c>
      <c r="Q357" s="30">
        <v>0</v>
      </c>
      <c r="R357" s="30">
        <v>0</v>
      </c>
      <c r="S357" s="30">
        <v>1</v>
      </c>
      <c r="T357" s="30">
        <v>0</v>
      </c>
      <c r="U357" s="31">
        <v>0</v>
      </c>
      <c r="V357" s="67">
        <v>0</v>
      </c>
      <c r="W357" s="67">
        <f>0*1*2.5</f>
        <v>0</v>
      </c>
      <c r="X357" s="67">
        <v>0</v>
      </c>
      <c r="Y357" s="67" t="s">
        <v>2466</v>
      </c>
      <c r="Z357" s="67" t="s">
        <v>2101</v>
      </c>
      <c r="AC357" s="69" t="s">
        <v>2216</v>
      </c>
    </row>
    <row r="358" ht="52.8" spans="1:29">
      <c r="A358" s="29">
        <v>10035521</v>
      </c>
      <c r="B358" s="30">
        <v>6</v>
      </c>
      <c r="C358" s="63" t="s">
        <v>2467</v>
      </c>
      <c r="D358" s="64" t="s">
        <v>1801</v>
      </c>
      <c r="E358" s="65">
        <v>-1</v>
      </c>
      <c r="F358" s="65">
        <v>3</v>
      </c>
      <c r="G358" s="30">
        <v>0</v>
      </c>
      <c r="H358" s="30">
        <v>0</v>
      </c>
      <c r="I358" s="30">
        <v>0</v>
      </c>
      <c r="J358" s="30">
        <v>0</v>
      </c>
      <c r="K358" s="30">
        <v>3</v>
      </c>
      <c r="L358" s="30" t="s">
        <v>1802</v>
      </c>
      <c r="M358" s="30">
        <v>0</v>
      </c>
      <c r="N358" s="30">
        <v>1</v>
      </c>
      <c r="O358" s="66">
        <v>0</v>
      </c>
      <c r="P358" s="30">
        <v>0</v>
      </c>
      <c r="Q358" s="30">
        <v>0</v>
      </c>
      <c r="R358" s="30">
        <v>0</v>
      </c>
      <c r="S358" s="30">
        <v>1</v>
      </c>
      <c r="T358" s="30">
        <v>0</v>
      </c>
      <c r="U358" s="31">
        <v>0</v>
      </c>
      <c r="V358" s="67">
        <v>0</v>
      </c>
      <c r="W358" s="67">
        <f>0*1*2.5</f>
        <v>0</v>
      </c>
      <c r="X358" s="67">
        <v>0</v>
      </c>
      <c r="Z358" s="67" t="s">
        <v>1803</v>
      </c>
      <c r="AC358" s="69" t="s">
        <v>2468</v>
      </c>
    </row>
    <row r="359" ht="52.8" spans="1:29">
      <c r="A359" s="29">
        <v>10035621</v>
      </c>
      <c r="B359" s="30">
        <v>6</v>
      </c>
      <c r="C359" s="63" t="s">
        <v>2469</v>
      </c>
      <c r="D359" s="64" t="s">
        <v>1801</v>
      </c>
      <c r="E359" s="65">
        <v>1</v>
      </c>
      <c r="F359" s="65">
        <v>3</v>
      </c>
      <c r="G359" s="30">
        <v>0</v>
      </c>
      <c r="H359" s="30">
        <v>0</v>
      </c>
      <c r="I359" s="30">
        <v>0</v>
      </c>
      <c r="J359" s="30">
        <v>0</v>
      </c>
      <c r="K359" s="30">
        <v>3</v>
      </c>
      <c r="L359" s="30" t="s">
        <v>1802</v>
      </c>
      <c r="M359" s="30">
        <v>0</v>
      </c>
      <c r="N359" s="30">
        <v>1</v>
      </c>
      <c r="O359" s="66">
        <v>0</v>
      </c>
      <c r="P359" s="30">
        <v>0</v>
      </c>
      <c r="Q359" s="30">
        <v>0</v>
      </c>
      <c r="R359" s="30">
        <v>0</v>
      </c>
      <c r="S359" s="30">
        <v>1</v>
      </c>
      <c r="T359" s="30">
        <v>0</v>
      </c>
      <c r="U359" s="31">
        <v>0</v>
      </c>
      <c r="V359" s="67">
        <v>0</v>
      </c>
      <c r="W359" s="67">
        <f>0*1*2.5</f>
        <v>0</v>
      </c>
      <c r="X359" s="67">
        <v>0</v>
      </c>
      <c r="Z359" s="67" t="s">
        <v>1803</v>
      </c>
      <c r="AC359" s="69" t="s">
        <v>2468</v>
      </c>
    </row>
    <row r="360" ht="39.6" spans="1:28">
      <c r="A360" s="29">
        <v>10035721</v>
      </c>
      <c r="B360" s="30">
        <v>4</v>
      </c>
      <c r="C360" s="63" t="s">
        <v>2470</v>
      </c>
      <c r="D360" s="64" t="s">
        <v>14</v>
      </c>
      <c r="E360" s="65">
        <v>0</v>
      </c>
      <c r="F360" s="65">
        <v>0</v>
      </c>
      <c r="G360" s="30">
        <v>0</v>
      </c>
      <c r="H360" s="30">
        <v>12</v>
      </c>
      <c r="I360" s="30">
        <v>0</v>
      </c>
      <c r="J360" s="30">
        <v>0</v>
      </c>
      <c r="K360" s="30">
        <v>0</v>
      </c>
      <c r="L360" s="30" t="s">
        <v>1802</v>
      </c>
      <c r="M360" s="30">
        <v>0</v>
      </c>
      <c r="N360" s="30">
        <v>0</v>
      </c>
      <c r="O360" s="66">
        <v>0</v>
      </c>
      <c r="P360" s="30">
        <v>0</v>
      </c>
      <c r="Q360" s="30">
        <v>0</v>
      </c>
      <c r="R360" s="30">
        <v>0</v>
      </c>
      <c r="S360" s="30">
        <v>1</v>
      </c>
      <c r="T360" s="30">
        <v>0</v>
      </c>
      <c r="U360" s="31">
        <v>0</v>
      </c>
      <c r="V360" s="67">
        <v>0</v>
      </c>
      <c r="W360" s="67">
        <f>0*1*2.5</f>
        <v>0</v>
      </c>
      <c r="X360" s="67">
        <v>0</v>
      </c>
      <c r="Z360" s="67" t="s">
        <v>1980</v>
      </c>
      <c r="AB360" s="69" t="s">
        <v>2471</v>
      </c>
    </row>
    <row r="361" ht="39.6" spans="1:28">
      <c r="A361" s="29">
        <v>10035821</v>
      </c>
      <c r="B361" s="30">
        <v>6</v>
      </c>
      <c r="C361" s="63" t="s">
        <v>2472</v>
      </c>
      <c r="D361" s="64" t="s">
        <v>1828</v>
      </c>
      <c r="E361" s="65">
        <v>0</v>
      </c>
      <c r="F361" s="65">
        <v>11</v>
      </c>
      <c r="G361" s="30">
        <v>0</v>
      </c>
      <c r="H361" s="30">
        <v>0</v>
      </c>
      <c r="I361" s="30">
        <v>0</v>
      </c>
      <c r="J361" s="30">
        <v>0</v>
      </c>
      <c r="K361" s="30">
        <v>0</v>
      </c>
      <c r="L361" s="30" t="s">
        <v>158</v>
      </c>
      <c r="M361" s="30">
        <v>-2</v>
      </c>
      <c r="N361" s="30">
        <v>0</v>
      </c>
      <c r="O361" s="66">
        <v>0</v>
      </c>
      <c r="P361" s="30">
        <v>0</v>
      </c>
      <c r="Q361" s="30">
        <v>0</v>
      </c>
      <c r="R361" s="30">
        <v>8</v>
      </c>
      <c r="S361" s="30">
        <v>2.8</v>
      </c>
      <c r="T361" s="30">
        <v>0.35</v>
      </c>
      <c r="U361" s="31">
        <v>0</v>
      </c>
      <c r="V361" s="67">
        <v>0</v>
      </c>
      <c r="W361" s="67">
        <f>8*2.8*2.5</f>
        <v>56</v>
      </c>
      <c r="X361" s="67">
        <f>8+MAX($X$2,0.35)*8*$X$1</f>
        <v>46.4</v>
      </c>
      <c r="Y361" s="67" t="s">
        <v>1901</v>
      </c>
      <c r="Z361" s="67" t="s">
        <v>1829</v>
      </c>
      <c r="AB361" s="69" t="s">
        <v>955</v>
      </c>
    </row>
    <row r="362" ht="26.4" spans="1:29">
      <c r="A362" s="29">
        <v>10035921</v>
      </c>
      <c r="B362" s="30">
        <v>6</v>
      </c>
      <c r="C362" s="63" t="s">
        <v>2473</v>
      </c>
      <c r="D362" s="64" t="s">
        <v>1907</v>
      </c>
      <c r="E362" s="65">
        <v>0</v>
      </c>
      <c r="F362" s="65">
        <v>0</v>
      </c>
      <c r="G362" s="30">
        <v>0</v>
      </c>
      <c r="H362" s="30">
        <v>0</v>
      </c>
      <c r="I362" s="30">
        <v>0</v>
      </c>
      <c r="J362" s="30">
        <v>0</v>
      </c>
      <c r="K362" s="30">
        <v>0</v>
      </c>
      <c r="L362" s="30" t="s">
        <v>1802</v>
      </c>
      <c r="M362" s="30">
        <v>6</v>
      </c>
      <c r="N362" s="30">
        <v>0</v>
      </c>
      <c r="O362" s="66">
        <v>0</v>
      </c>
      <c r="P362" s="30">
        <v>0</v>
      </c>
      <c r="Q362" s="30">
        <v>0</v>
      </c>
      <c r="R362" s="30">
        <v>13</v>
      </c>
      <c r="S362" s="30">
        <v>1</v>
      </c>
      <c r="T362" s="30">
        <v>0</v>
      </c>
      <c r="U362" s="31">
        <v>0</v>
      </c>
      <c r="V362" s="67">
        <v>5</v>
      </c>
      <c r="W362" s="67">
        <f>13*1*2.5</f>
        <v>32.5</v>
      </c>
      <c r="X362" s="67">
        <v>13</v>
      </c>
      <c r="Y362" s="67" t="s">
        <v>1913</v>
      </c>
      <c r="Z362" s="67" t="s">
        <v>1909</v>
      </c>
      <c r="AC362" s="69" t="s">
        <v>2474</v>
      </c>
    </row>
    <row r="363" ht="26.4" spans="1:29">
      <c r="A363" s="29">
        <v>10036021</v>
      </c>
      <c r="B363" s="30">
        <v>5</v>
      </c>
      <c r="C363" s="63" t="s">
        <v>2475</v>
      </c>
      <c r="D363" s="64" t="s">
        <v>1927</v>
      </c>
      <c r="E363" s="65">
        <v>0</v>
      </c>
      <c r="F363" s="65">
        <v>0</v>
      </c>
      <c r="G363" s="30">
        <v>0</v>
      </c>
      <c r="H363" s="30">
        <v>0</v>
      </c>
      <c r="I363" s="30">
        <v>0</v>
      </c>
      <c r="J363" s="30">
        <v>0</v>
      </c>
      <c r="K363" s="30">
        <v>0</v>
      </c>
      <c r="L363" s="30" t="s">
        <v>1802</v>
      </c>
      <c r="M363" s="30">
        <v>0</v>
      </c>
      <c r="N363" s="30">
        <v>2</v>
      </c>
      <c r="O363" s="66">
        <v>9</v>
      </c>
      <c r="P363" s="30">
        <v>0</v>
      </c>
      <c r="Q363" s="30">
        <v>0</v>
      </c>
      <c r="R363" s="30">
        <v>0</v>
      </c>
      <c r="S363" s="30">
        <v>1</v>
      </c>
      <c r="T363" s="30">
        <v>0</v>
      </c>
      <c r="U363" s="31">
        <v>0</v>
      </c>
      <c r="V363" s="67">
        <v>3</v>
      </c>
      <c r="W363" s="67">
        <f>0*1*2.5</f>
        <v>0</v>
      </c>
      <c r="X363" s="67">
        <v>0</v>
      </c>
      <c r="Y363" s="67" t="s">
        <v>2371</v>
      </c>
      <c r="Z363" s="67" t="s">
        <v>1909</v>
      </c>
      <c r="AC363" s="69" t="s">
        <v>2207</v>
      </c>
    </row>
    <row r="364" ht="39.6" spans="1:29">
      <c r="A364" s="29">
        <v>10036121</v>
      </c>
      <c r="B364" s="30">
        <v>4</v>
      </c>
      <c r="C364" s="63" t="s">
        <v>2476</v>
      </c>
      <c r="D364" s="64" t="s">
        <v>1952</v>
      </c>
      <c r="E364" s="65">
        <v>0</v>
      </c>
      <c r="F364" s="65">
        <v>0</v>
      </c>
      <c r="G364" s="30">
        <v>0</v>
      </c>
      <c r="H364" s="30">
        <v>0</v>
      </c>
      <c r="I364" s="30">
        <v>12</v>
      </c>
      <c r="J364" s="30">
        <v>3</v>
      </c>
      <c r="K364" s="30">
        <v>3</v>
      </c>
      <c r="L364" s="30" t="s">
        <v>1802</v>
      </c>
      <c r="M364" s="30">
        <v>0</v>
      </c>
      <c r="N364" s="30">
        <v>0</v>
      </c>
      <c r="O364" s="66">
        <v>0</v>
      </c>
      <c r="P364" s="30">
        <v>0</v>
      </c>
      <c r="Q364" s="30">
        <v>0</v>
      </c>
      <c r="R364" s="30">
        <v>0</v>
      </c>
      <c r="S364" s="30">
        <v>1</v>
      </c>
      <c r="T364" s="30">
        <v>0</v>
      </c>
      <c r="U364" s="31">
        <v>0</v>
      </c>
      <c r="V364" s="67">
        <v>4</v>
      </c>
      <c r="W364" s="67">
        <f>0*1*2.5</f>
        <v>0</v>
      </c>
      <c r="X364" s="67">
        <v>0</v>
      </c>
      <c r="Y364" s="67" t="s">
        <v>1908</v>
      </c>
      <c r="Z364" s="67" t="s">
        <v>1953</v>
      </c>
      <c r="AC364" s="69" t="s">
        <v>2432</v>
      </c>
    </row>
    <row r="365" ht="39.6" spans="1:29">
      <c r="A365" s="29">
        <v>10036221</v>
      </c>
      <c r="B365" s="30">
        <v>5</v>
      </c>
      <c r="C365" s="63" t="s">
        <v>2477</v>
      </c>
      <c r="D365" s="64" t="s">
        <v>1940</v>
      </c>
      <c r="E365" s="65">
        <v>0</v>
      </c>
      <c r="F365" s="65">
        <v>0</v>
      </c>
      <c r="G365" s="30">
        <v>0</v>
      </c>
      <c r="H365" s="30">
        <v>8</v>
      </c>
      <c r="I365" s="30">
        <v>6</v>
      </c>
      <c r="J365" s="30">
        <v>0</v>
      </c>
      <c r="K365" s="30">
        <v>0</v>
      </c>
      <c r="L365" s="30" t="s">
        <v>1802</v>
      </c>
      <c r="M365" s="30">
        <v>0</v>
      </c>
      <c r="N365" s="30">
        <v>5</v>
      </c>
      <c r="O365" s="66">
        <v>0</v>
      </c>
      <c r="P365" s="30">
        <v>0</v>
      </c>
      <c r="Q365" s="30">
        <v>0</v>
      </c>
      <c r="R365" s="30">
        <v>0</v>
      </c>
      <c r="S365" s="30">
        <v>1</v>
      </c>
      <c r="T365" s="30">
        <v>0</v>
      </c>
      <c r="U365" s="31">
        <v>0</v>
      </c>
      <c r="V365" s="67">
        <v>4</v>
      </c>
      <c r="W365" s="67">
        <f>0*1*2.5</f>
        <v>0</v>
      </c>
      <c r="X365" s="67">
        <v>0</v>
      </c>
      <c r="Y365" s="67" t="s">
        <v>1908</v>
      </c>
      <c r="Z365" s="67" t="s">
        <v>1909</v>
      </c>
      <c r="AB365" s="69" t="s">
        <v>967</v>
      </c>
      <c r="AC365" s="69" t="s">
        <v>2478</v>
      </c>
    </row>
    <row r="366" ht="26.4" spans="1:29">
      <c r="A366" s="29">
        <v>10036321</v>
      </c>
      <c r="B366" s="30">
        <v>6</v>
      </c>
      <c r="C366" s="63" t="s">
        <v>2479</v>
      </c>
      <c r="D366" s="64" t="s">
        <v>1845</v>
      </c>
      <c r="E366" s="65">
        <v>0</v>
      </c>
      <c r="F366" s="65">
        <v>28</v>
      </c>
      <c r="G366" s="30">
        <v>0</v>
      </c>
      <c r="H366" s="30">
        <v>0</v>
      </c>
      <c r="I366" s="30">
        <v>0</v>
      </c>
      <c r="J366" s="30">
        <v>0</v>
      </c>
      <c r="K366" s="30">
        <v>2</v>
      </c>
      <c r="L366" s="30" t="s">
        <v>52</v>
      </c>
      <c r="M366" s="30">
        <v>0</v>
      </c>
      <c r="N366" s="30">
        <v>0</v>
      </c>
      <c r="O366" s="66">
        <v>0</v>
      </c>
      <c r="P366" s="30">
        <v>0</v>
      </c>
      <c r="Q366" s="30">
        <v>0</v>
      </c>
      <c r="R366" s="30">
        <v>0</v>
      </c>
      <c r="S366" s="30">
        <v>1</v>
      </c>
      <c r="T366" s="30">
        <v>0</v>
      </c>
      <c r="U366" s="31">
        <v>0</v>
      </c>
      <c r="V366" s="67">
        <v>0</v>
      </c>
      <c r="W366" s="67">
        <f>0*1*2.5</f>
        <v>0</v>
      </c>
      <c r="X366" s="67">
        <v>0</v>
      </c>
      <c r="Z366" s="67" t="s">
        <v>1846</v>
      </c>
      <c r="AB366" s="69" t="s">
        <v>2480</v>
      </c>
      <c r="AC366" s="69" t="s">
        <v>2481</v>
      </c>
    </row>
    <row r="367" ht="118.8" spans="1:29">
      <c r="A367" s="29">
        <v>10036421</v>
      </c>
      <c r="B367" s="30">
        <v>6</v>
      </c>
      <c r="C367" s="63" t="s">
        <v>2482</v>
      </c>
      <c r="D367" s="64" t="s">
        <v>1988</v>
      </c>
      <c r="E367" s="65">
        <v>0</v>
      </c>
      <c r="F367" s="65">
        <v>7</v>
      </c>
      <c r="G367" s="30">
        <v>0</v>
      </c>
      <c r="H367" s="30">
        <v>0</v>
      </c>
      <c r="I367" s="30">
        <v>0</v>
      </c>
      <c r="J367" s="30">
        <v>0</v>
      </c>
      <c r="K367" s="30">
        <v>1</v>
      </c>
      <c r="L367" s="30" t="s">
        <v>1802</v>
      </c>
      <c r="M367" s="30">
        <v>0</v>
      </c>
      <c r="N367" s="30">
        <v>0</v>
      </c>
      <c r="O367" s="66">
        <v>0</v>
      </c>
      <c r="P367" s="30">
        <v>0</v>
      </c>
      <c r="Q367" s="30">
        <v>0</v>
      </c>
      <c r="R367" s="30">
        <v>0</v>
      </c>
      <c r="S367" s="30">
        <v>1</v>
      </c>
      <c r="T367" s="30">
        <v>0</v>
      </c>
      <c r="U367" s="31">
        <v>0</v>
      </c>
      <c r="V367" s="67">
        <v>0</v>
      </c>
      <c r="W367" s="67">
        <f>0*1*2.5</f>
        <v>0</v>
      </c>
      <c r="X367" s="67">
        <v>0</v>
      </c>
      <c r="Y367" s="67" t="s">
        <v>2483</v>
      </c>
      <c r="Z367" s="67" t="s">
        <v>2060</v>
      </c>
      <c r="AB367" s="69" t="s">
        <v>2484</v>
      </c>
      <c r="AC367" s="69" t="s">
        <v>2485</v>
      </c>
    </row>
    <row r="368" ht="26.4" spans="1:29">
      <c r="A368" s="29">
        <v>10036521</v>
      </c>
      <c r="B368" s="30">
        <v>4</v>
      </c>
      <c r="C368" s="63" t="s">
        <v>2486</v>
      </c>
      <c r="D368" s="64" t="s">
        <v>2089</v>
      </c>
      <c r="E368" s="65">
        <v>0</v>
      </c>
      <c r="F368" s="65">
        <v>0</v>
      </c>
      <c r="G368" s="30">
        <v>0</v>
      </c>
      <c r="H368" s="30">
        <v>0</v>
      </c>
      <c r="I368" s="30">
        <v>2</v>
      </c>
      <c r="J368" s="30">
        <v>0</v>
      </c>
      <c r="K368" s="30">
        <v>0</v>
      </c>
      <c r="L368" s="30" t="s">
        <v>1802</v>
      </c>
      <c r="M368" s="30">
        <v>0</v>
      </c>
      <c r="N368" s="30">
        <v>0</v>
      </c>
      <c r="O368" s="66">
        <v>9</v>
      </c>
      <c r="P368" s="30">
        <v>0</v>
      </c>
      <c r="Q368" s="30">
        <v>0</v>
      </c>
      <c r="R368" s="30">
        <v>2</v>
      </c>
      <c r="S368" s="30">
        <v>1</v>
      </c>
      <c r="T368" s="30">
        <v>0</v>
      </c>
      <c r="U368" s="31">
        <v>0</v>
      </c>
      <c r="V368" s="67">
        <v>5</v>
      </c>
      <c r="W368" s="67">
        <f>2*1*2.5</f>
        <v>5</v>
      </c>
      <c r="X368" s="67">
        <v>2</v>
      </c>
      <c r="Y368" s="67" t="s">
        <v>1913</v>
      </c>
      <c r="Z368" s="67" t="s">
        <v>2090</v>
      </c>
      <c r="AC368" s="69" t="s">
        <v>2487</v>
      </c>
    </row>
    <row r="369" ht="26.4" spans="1:29">
      <c r="A369" s="29">
        <v>10036621</v>
      </c>
      <c r="B369" s="30">
        <v>6</v>
      </c>
      <c r="C369" s="63" t="s">
        <v>2488</v>
      </c>
      <c r="D369" s="64" t="s">
        <v>1927</v>
      </c>
      <c r="E369" s="65">
        <v>0</v>
      </c>
      <c r="F369" s="65">
        <v>0</v>
      </c>
      <c r="G369" s="30">
        <v>0</v>
      </c>
      <c r="H369" s="30">
        <v>0</v>
      </c>
      <c r="I369" s="30">
        <v>2</v>
      </c>
      <c r="J369" s="30">
        <v>0</v>
      </c>
      <c r="K369" s="30">
        <v>0</v>
      </c>
      <c r="L369" s="30" t="s">
        <v>1802</v>
      </c>
      <c r="M369" s="30">
        <v>0</v>
      </c>
      <c r="N369" s="30">
        <v>0</v>
      </c>
      <c r="O369" s="66">
        <v>12</v>
      </c>
      <c r="P369" s="30">
        <v>0</v>
      </c>
      <c r="Q369" s="30">
        <v>0</v>
      </c>
      <c r="R369" s="30">
        <v>0</v>
      </c>
      <c r="S369" s="30">
        <v>1</v>
      </c>
      <c r="T369" s="30">
        <v>0</v>
      </c>
      <c r="U369" s="31">
        <v>0</v>
      </c>
      <c r="V369" s="67">
        <v>5</v>
      </c>
      <c r="W369" s="67">
        <f>0*1*2.5</f>
        <v>0</v>
      </c>
      <c r="X369" s="67">
        <v>0</v>
      </c>
      <c r="Y369" s="67" t="s">
        <v>1913</v>
      </c>
      <c r="Z369" s="67" t="s">
        <v>1909</v>
      </c>
      <c r="AB369" s="69" t="s">
        <v>2489</v>
      </c>
      <c r="AC369" s="69" t="s">
        <v>2490</v>
      </c>
    </row>
    <row r="370" ht="39.6" spans="1:29">
      <c r="A370" s="29">
        <v>10036721</v>
      </c>
      <c r="B370" s="30">
        <v>5</v>
      </c>
      <c r="C370" s="63" t="s">
        <v>2491</v>
      </c>
      <c r="D370" s="64" t="s">
        <v>1832</v>
      </c>
      <c r="E370" s="65">
        <v>0</v>
      </c>
      <c r="F370" s="65">
        <v>13</v>
      </c>
      <c r="G370" s="30">
        <v>0</v>
      </c>
      <c r="H370" s="30">
        <v>0</v>
      </c>
      <c r="I370" s="30">
        <v>0</v>
      </c>
      <c r="J370" s="30">
        <v>0</v>
      </c>
      <c r="K370" s="30">
        <v>0</v>
      </c>
      <c r="L370" s="30" t="s">
        <v>52</v>
      </c>
      <c r="M370" s="30">
        <v>0</v>
      </c>
      <c r="N370" s="30">
        <v>0</v>
      </c>
      <c r="O370" s="66">
        <v>0</v>
      </c>
      <c r="P370" s="30">
        <v>0</v>
      </c>
      <c r="Q370" s="30">
        <v>0</v>
      </c>
      <c r="R370" s="30">
        <v>2</v>
      </c>
      <c r="S370" s="30">
        <v>1</v>
      </c>
      <c r="T370" s="30">
        <v>0</v>
      </c>
      <c r="U370" s="31">
        <v>0</v>
      </c>
      <c r="V370" s="67">
        <v>0</v>
      </c>
      <c r="W370" s="67">
        <f>2*1*2.5</f>
        <v>5</v>
      </c>
      <c r="X370" s="67">
        <v>2</v>
      </c>
      <c r="Z370" s="67" t="s">
        <v>1834</v>
      </c>
      <c r="AB370" s="69" t="s">
        <v>2492</v>
      </c>
      <c r="AC370" s="69" t="s">
        <v>2493</v>
      </c>
    </row>
    <row r="371" ht="39.6" spans="1:29">
      <c r="A371" s="29">
        <v>10036821</v>
      </c>
      <c r="B371" s="30">
        <v>5</v>
      </c>
      <c r="C371" s="63" t="s">
        <v>2494</v>
      </c>
      <c r="D371" s="64" t="s">
        <v>1907</v>
      </c>
      <c r="E371" s="65">
        <v>0</v>
      </c>
      <c r="F371" s="65">
        <v>0</v>
      </c>
      <c r="G371" s="30">
        <v>0</v>
      </c>
      <c r="H371" s="30">
        <v>0</v>
      </c>
      <c r="I371" s="30">
        <v>0</v>
      </c>
      <c r="J371" s="30">
        <v>0</v>
      </c>
      <c r="K371" s="30">
        <v>0</v>
      </c>
      <c r="L371" s="30" t="s">
        <v>1802</v>
      </c>
      <c r="M371" s="30">
        <v>0</v>
      </c>
      <c r="N371" s="30">
        <v>2</v>
      </c>
      <c r="O371" s="66">
        <v>4</v>
      </c>
      <c r="P371" s="30">
        <v>0</v>
      </c>
      <c r="Q371" s="30">
        <v>0</v>
      </c>
      <c r="R371" s="30">
        <v>10</v>
      </c>
      <c r="S371" s="30">
        <v>1</v>
      </c>
      <c r="T371" s="30">
        <v>0</v>
      </c>
      <c r="U371" s="31">
        <v>0</v>
      </c>
      <c r="V371" s="67">
        <v>5</v>
      </c>
      <c r="W371" s="67">
        <f>10*1*2.5</f>
        <v>25</v>
      </c>
      <c r="X371" s="67">
        <v>10</v>
      </c>
      <c r="Y371" s="67" t="s">
        <v>2495</v>
      </c>
      <c r="Z371" s="67" t="s">
        <v>1909</v>
      </c>
      <c r="AC371" s="69" t="s">
        <v>2496</v>
      </c>
    </row>
    <row r="372" ht="26.4" spans="1:29">
      <c r="A372" s="29">
        <v>10036921</v>
      </c>
      <c r="B372" s="30">
        <v>5</v>
      </c>
      <c r="C372" s="63" t="s">
        <v>2497</v>
      </c>
      <c r="D372" s="64" t="s">
        <v>1907</v>
      </c>
      <c r="E372" s="65">
        <v>0</v>
      </c>
      <c r="F372" s="65">
        <v>0</v>
      </c>
      <c r="G372" s="30">
        <v>0</v>
      </c>
      <c r="H372" s="30">
        <v>0</v>
      </c>
      <c r="I372" s="30">
        <v>0</v>
      </c>
      <c r="J372" s="30">
        <v>0</v>
      </c>
      <c r="K372" s="30">
        <v>0</v>
      </c>
      <c r="L372" s="30" t="s">
        <v>1802</v>
      </c>
      <c r="M372" s="30">
        <v>1</v>
      </c>
      <c r="N372" s="30">
        <v>0</v>
      </c>
      <c r="O372" s="66">
        <v>0</v>
      </c>
      <c r="P372" s="30">
        <v>0</v>
      </c>
      <c r="Q372" s="30">
        <v>0</v>
      </c>
      <c r="R372" s="30">
        <v>12</v>
      </c>
      <c r="S372" s="30">
        <v>1</v>
      </c>
      <c r="T372" s="30">
        <v>0</v>
      </c>
      <c r="U372" s="31">
        <v>0</v>
      </c>
      <c r="V372" s="67">
        <v>6</v>
      </c>
      <c r="W372" s="67">
        <f>12*1*2.5</f>
        <v>30</v>
      </c>
      <c r="X372" s="67">
        <v>12</v>
      </c>
      <c r="Y372" s="67" t="s">
        <v>1920</v>
      </c>
      <c r="Z372" s="67" t="s">
        <v>2090</v>
      </c>
      <c r="AC372" s="69" t="s">
        <v>2203</v>
      </c>
    </row>
    <row r="373" ht="39.6" spans="1:29">
      <c r="A373" s="29">
        <v>10037021</v>
      </c>
      <c r="B373" s="30">
        <v>5</v>
      </c>
      <c r="C373" s="63" t="s">
        <v>2498</v>
      </c>
      <c r="D373" s="64" t="s">
        <v>2275</v>
      </c>
      <c r="E373" s="65">
        <v>0</v>
      </c>
      <c r="F373" s="65">
        <v>22</v>
      </c>
      <c r="G373" s="30">
        <v>0</v>
      </c>
      <c r="H373" s="30">
        <v>0</v>
      </c>
      <c r="I373" s="30">
        <v>0</v>
      </c>
      <c r="J373" s="30">
        <v>0</v>
      </c>
      <c r="K373" s="30">
        <v>0</v>
      </c>
      <c r="L373" s="30" t="s">
        <v>1802</v>
      </c>
      <c r="M373" s="30">
        <v>0</v>
      </c>
      <c r="N373" s="30">
        <v>0</v>
      </c>
      <c r="O373" s="66">
        <v>0</v>
      </c>
      <c r="P373" s="30">
        <v>0</v>
      </c>
      <c r="Q373" s="30">
        <v>26</v>
      </c>
      <c r="R373" s="30">
        <v>0</v>
      </c>
      <c r="S373" s="30">
        <v>1</v>
      </c>
      <c r="T373" s="30">
        <v>0</v>
      </c>
      <c r="U373" s="31">
        <v>0</v>
      </c>
      <c r="V373" s="67">
        <v>10</v>
      </c>
      <c r="W373" s="67">
        <f>0*1*2.5</f>
        <v>0</v>
      </c>
      <c r="X373" s="67">
        <v>0</v>
      </c>
      <c r="Y373" s="67" t="s">
        <v>2499</v>
      </c>
      <c r="Z373" s="67" t="s">
        <v>2272</v>
      </c>
      <c r="AC373" s="69" t="s">
        <v>2203</v>
      </c>
    </row>
    <row r="374" ht="26.4" spans="1:29">
      <c r="A374" s="29">
        <v>10037121</v>
      </c>
      <c r="B374" s="30">
        <v>5</v>
      </c>
      <c r="C374" s="63" t="s">
        <v>2500</v>
      </c>
      <c r="D374" s="64" t="s">
        <v>1845</v>
      </c>
      <c r="E374" s="65">
        <v>0</v>
      </c>
      <c r="F374" s="65">
        <v>28</v>
      </c>
      <c r="G374" s="30">
        <v>0</v>
      </c>
      <c r="H374" s="30">
        <v>0</v>
      </c>
      <c r="I374" s="30">
        <v>0</v>
      </c>
      <c r="J374" s="30">
        <v>0</v>
      </c>
      <c r="K374" s="30">
        <v>-1</v>
      </c>
      <c r="L374" s="30" t="s">
        <v>52</v>
      </c>
      <c r="M374" s="30">
        <v>-1</v>
      </c>
      <c r="N374" s="30">
        <v>0</v>
      </c>
      <c r="O374" s="66">
        <v>0</v>
      </c>
      <c r="P374" s="30">
        <v>0</v>
      </c>
      <c r="Q374" s="30">
        <v>0</v>
      </c>
      <c r="R374" s="30">
        <v>7</v>
      </c>
      <c r="S374" s="30">
        <v>1</v>
      </c>
      <c r="T374" s="30">
        <v>0.25</v>
      </c>
      <c r="U374" s="31">
        <v>0</v>
      </c>
      <c r="V374" s="67">
        <v>0</v>
      </c>
      <c r="W374" s="67">
        <f>7*1*2.5</f>
        <v>17.5</v>
      </c>
      <c r="X374" s="67">
        <f>7+MAX($X$2,0.25)*7*$X$1</f>
        <v>40.6</v>
      </c>
      <c r="Y374" s="67" t="s">
        <v>1851</v>
      </c>
      <c r="Z374" s="67" t="s">
        <v>1846</v>
      </c>
      <c r="AB374" s="69" t="s">
        <v>2501</v>
      </c>
      <c r="AC374" s="69" t="s">
        <v>2502</v>
      </c>
    </row>
    <row r="375" ht="26.4" spans="1:29">
      <c r="A375" s="29">
        <v>10037221</v>
      </c>
      <c r="B375" s="30">
        <v>6</v>
      </c>
      <c r="C375" s="63" t="s">
        <v>2503</v>
      </c>
      <c r="D375" s="64" t="s">
        <v>1907</v>
      </c>
      <c r="E375" s="65">
        <v>0</v>
      </c>
      <c r="F375" s="65">
        <v>0</v>
      </c>
      <c r="G375" s="30">
        <v>0</v>
      </c>
      <c r="H375" s="30">
        <v>0</v>
      </c>
      <c r="I375" s="30">
        <v>0</v>
      </c>
      <c r="J375" s="30">
        <v>0</v>
      </c>
      <c r="K375" s="30">
        <v>0</v>
      </c>
      <c r="L375" s="30" t="s">
        <v>1802</v>
      </c>
      <c r="M375" s="30">
        <v>2</v>
      </c>
      <c r="N375" s="30">
        <v>0</v>
      </c>
      <c r="O375" s="66">
        <v>0</v>
      </c>
      <c r="P375" s="30">
        <v>0</v>
      </c>
      <c r="Q375" s="30">
        <v>0</v>
      </c>
      <c r="R375" s="30">
        <v>11</v>
      </c>
      <c r="S375" s="30">
        <v>1</v>
      </c>
      <c r="T375" s="30">
        <v>0</v>
      </c>
      <c r="U375" s="31">
        <v>0</v>
      </c>
      <c r="V375" s="67">
        <v>5</v>
      </c>
      <c r="W375" s="67">
        <f>11*1*2.5</f>
        <v>27.5</v>
      </c>
      <c r="X375" s="67">
        <v>11</v>
      </c>
      <c r="Y375" s="67" t="s">
        <v>2504</v>
      </c>
      <c r="Z375" s="67" t="s">
        <v>1909</v>
      </c>
      <c r="AC375" s="69" t="s">
        <v>2505</v>
      </c>
    </row>
    <row r="376" ht="26.4" spans="1:29">
      <c r="A376" s="29">
        <v>10037321</v>
      </c>
      <c r="B376" s="30">
        <v>5</v>
      </c>
      <c r="C376" s="63" t="s">
        <v>2506</v>
      </c>
      <c r="D376" s="64" t="s">
        <v>1801</v>
      </c>
      <c r="E376" s="65">
        <v>0</v>
      </c>
      <c r="F376" s="65">
        <v>0</v>
      </c>
      <c r="G376" s="30">
        <v>0</v>
      </c>
      <c r="H376" s="30">
        <v>3</v>
      </c>
      <c r="I376" s="30">
        <v>0</v>
      </c>
      <c r="J376" s="30">
        <v>7</v>
      </c>
      <c r="K376" s="30">
        <v>3</v>
      </c>
      <c r="L376" s="30" t="s">
        <v>1802</v>
      </c>
      <c r="M376" s="30">
        <v>2</v>
      </c>
      <c r="N376" s="30">
        <v>0</v>
      </c>
      <c r="O376" s="66">
        <v>0</v>
      </c>
      <c r="P376" s="30">
        <v>0</v>
      </c>
      <c r="Q376" s="30">
        <v>0</v>
      </c>
      <c r="R376" s="30">
        <v>0</v>
      </c>
      <c r="S376" s="30">
        <v>1</v>
      </c>
      <c r="T376" s="30">
        <v>0</v>
      </c>
      <c r="U376" s="31">
        <v>0</v>
      </c>
      <c r="V376" s="67">
        <v>0</v>
      </c>
      <c r="W376" s="67">
        <f>0*1*2.5</f>
        <v>0</v>
      </c>
      <c r="X376" s="67">
        <v>0</v>
      </c>
      <c r="Z376" s="67" t="s">
        <v>2101</v>
      </c>
      <c r="AC376" s="69" t="s">
        <v>2507</v>
      </c>
    </row>
    <row r="377" ht="39.6" spans="1:29">
      <c r="A377" s="29">
        <v>10037421</v>
      </c>
      <c r="B377" s="30">
        <v>5</v>
      </c>
      <c r="C377" s="63" t="s">
        <v>2508</v>
      </c>
      <c r="D377" s="64" t="s">
        <v>1805</v>
      </c>
      <c r="E377" s="65">
        <v>0</v>
      </c>
      <c r="F377" s="65">
        <v>2</v>
      </c>
      <c r="G377" s="30">
        <v>0</v>
      </c>
      <c r="H377" s="30">
        <v>0</v>
      </c>
      <c r="I377" s="30">
        <v>8</v>
      </c>
      <c r="J377" s="30">
        <v>0</v>
      </c>
      <c r="K377" s="30">
        <v>0</v>
      </c>
      <c r="L377" s="30" t="s">
        <v>115</v>
      </c>
      <c r="M377" s="30">
        <v>0</v>
      </c>
      <c r="N377" s="30">
        <v>0</v>
      </c>
      <c r="O377" s="66">
        <v>0</v>
      </c>
      <c r="P377" s="30">
        <v>0</v>
      </c>
      <c r="Q377" s="30">
        <v>0</v>
      </c>
      <c r="R377" s="30">
        <v>5</v>
      </c>
      <c r="S377" s="30">
        <v>2.2</v>
      </c>
      <c r="T377" s="30">
        <v>0.35</v>
      </c>
      <c r="U377" s="31">
        <v>0</v>
      </c>
      <c r="V377" s="67">
        <v>0</v>
      </c>
      <c r="W377" s="67">
        <f>5*2.2*2.5</f>
        <v>27.5</v>
      </c>
      <c r="X377" s="67">
        <f>5+MAX($X$2,0.35)*5*$X$1</f>
        <v>29</v>
      </c>
      <c r="Y377" s="67" t="s">
        <v>1889</v>
      </c>
      <c r="Z377" s="67" t="s">
        <v>1807</v>
      </c>
      <c r="AC377" s="69" t="s">
        <v>2509</v>
      </c>
    </row>
    <row r="378" ht="79.2" spans="1:29">
      <c r="A378" s="29">
        <v>10037521</v>
      </c>
      <c r="B378" s="30">
        <v>6</v>
      </c>
      <c r="C378" s="63" t="s">
        <v>2510</v>
      </c>
      <c r="D378" s="64" t="s">
        <v>1940</v>
      </c>
      <c r="E378" s="65">
        <v>0</v>
      </c>
      <c r="F378" s="65">
        <v>0</v>
      </c>
      <c r="G378" s="30">
        <v>0</v>
      </c>
      <c r="H378" s="30">
        <v>15</v>
      </c>
      <c r="I378" s="30">
        <v>5</v>
      </c>
      <c r="J378" s="30">
        <v>0</v>
      </c>
      <c r="K378" s="30">
        <v>0</v>
      </c>
      <c r="L378" s="30" t="s">
        <v>1802</v>
      </c>
      <c r="M378" s="30">
        <v>0</v>
      </c>
      <c r="N378" s="30">
        <v>0</v>
      </c>
      <c r="O378" s="66">
        <v>0</v>
      </c>
      <c r="P378" s="30">
        <v>0</v>
      </c>
      <c r="Q378" s="30">
        <v>0</v>
      </c>
      <c r="R378" s="30">
        <v>0</v>
      </c>
      <c r="S378" s="30">
        <v>1</v>
      </c>
      <c r="T378" s="30">
        <v>0</v>
      </c>
      <c r="U378" s="31">
        <v>0</v>
      </c>
      <c r="V378" s="67">
        <v>6</v>
      </c>
      <c r="W378" s="67">
        <f>0*1*2.5</f>
        <v>0</v>
      </c>
      <c r="X378" s="67">
        <v>0</v>
      </c>
      <c r="Y378" s="67" t="s">
        <v>1920</v>
      </c>
      <c r="Z378" s="67" t="s">
        <v>1909</v>
      </c>
      <c r="AB378" s="69" t="s">
        <v>2511</v>
      </c>
      <c r="AC378" s="69" t="s">
        <v>2512</v>
      </c>
    </row>
    <row r="379" ht="39.6" spans="1:29">
      <c r="A379" s="29">
        <v>10037621</v>
      </c>
      <c r="B379" s="30">
        <v>6</v>
      </c>
      <c r="C379" s="63" t="s">
        <v>2513</v>
      </c>
      <c r="D379" s="64" t="s">
        <v>1881</v>
      </c>
      <c r="E379" s="65">
        <v>0</v>
      </c>
      <c r="F379" s="65">
        <v>0</v>
      </c>
      <c r="G379" s="30">
        <v>0</v>
      </c>
      <c r="H379" s="30">
        <v>0</v>
      </c>
      <c r="I379" s="30">
        <v>0</v>
      </c>
      <c r="J379" s="30">
        <v>0</v>
      </c>
      <c r="K379" s="30">
        <v>0</v>
      </c>
      <c r="L379" s="30" t="s">
        <v>1802</v>
      </c>
      <c r="M379" s="30">
        <v>2</v>
      </c>
      <c r="N379" s="30">
        <v>0</v>
      </c>
      <c r="O379" s="66">
        <v>0</v>
      </c>
      <c r="P379" s="30">
        <v>0</v>
      </c>
      <c r="Q379" s="30">
        <v>0</v>
      </c>
      <c r="R379" s="30">
        <v>10</v>
      </c>
      <c r="S379" s="30">
        <v>3</v>
      </c>
      <c r="T379" s="30">
        <v>0.25</v>
      </c>
      <c r="U379" s="31">
        <v>0</v>
      </c>
      <c r="V379" s="67">
        <v>0</v>
      </c>
      <c r="W379" s="67">
        <f>10*3*2.5</f>
        <v>75</v>
      </c>
      <c r="X379" s="67">
        <f>10+MAX($X$2,0.25)*10*$X$1</f>
        <v>58</v>
      </c>
      <c r="Y379" s="67" t="s">
        <v>2514</v>
      </c>
      <c r="Z379" s="67" t="s">
        <v>1883</v>
      </c>
      <c r="AC379" s="69" t="s">
        <v>2515</v>
      </c>
    </row>
    <row r="380" ht="39.6" spans="1:29">
      <c r="A380" s="29">
        <v>10037721</v>
      </c>
      <c r="B380" s="30">
        <v>5</v>
      </c>
      <c r="C380" s="63" t="s">
        <v>2516</v>
      </c>
      <c r="D380" s="64" t="s">
        <v>14</v>
      </c>
      <c r="E380" s="65">
        <v>0</v>
      </c>
      <c r="F380" s="65">
        <v>0</v>
      </c>
      <c r="G380" s="30">
        <v>0</v>
      </c>
      <c r="H380" s="30">
        <v>12</v>
      </c>
      <c r="I380" s="30">
        <v>0</v>
      </c>
      <c r="J380" s="30">
        <v>0</v>
      </c>
      <c r="K380" s="30">
        <v>2</v>
      </c>
      <c r="L380" s="30" t="s">
        <v>1802</v>
      </c>
      <c r="M380" s="30">
        <v>2</v>
      </c>
      <c r="N380" s="30">
        <v>0</v>
      </c>
      <c r="O380" s="66">
        <v>0</v>
      </c>
      <c r="P380" s="30">
        <v>0</v>
      </c>
      <c r="Q380" s="30">
        <v>0</v>
      </c>
      <c r="R380" s="30">
        <v>0</v>
      </c>
      <c r="S380" s="30">
        <v>1</v>
      </c>
      <c r="T380" s="30">
        <v>0</v>
      </c>
      <c r="U380" s="31">
        <v>0</v>
      </c>
      <c r="V380" s="67">
        <v>0</v>
      </c>
      <c r="W380" s="67">
        <f>0*1*2.5</f>
        <v>0</v>
      </c>
      <c r="X380" s="67">
        <v>0</v>
      </c>
      <c r="Z380" s="67" t="s">
        <v>1980</v>
      </c>
      <c r="AB380" s="69" t="s">
        <v>2517</v>
      </c>
      <c r="AC380" s="69" t="s">
        <v>2518</v>
      </c>
    </row>
    <row r="381" ht="26.4" spans="1:29">
      <c r="A381" s="29">
        <v>10037821</v>
      </c>
      <c r="B381" s="30">
        <v>6</v>
      </c>
      <c r="C381" s="63" t="s">
        <v>2519</v>
      </c>
      <c r="D381" s="64" t="s">
        <v>1927</v>
      </c>
      <c r="E381" s="65">
        <v>0</v>
      </c>
      <c r="F381" s="65">
        <v>0</v>
      </c>
      <c r="G381" s="30">
        <v>0</v>
      </c>
      <c r="H381" s="30">
        <v>0</v>
      </c>
      <c r="I381" s="30">
        <v>0</v>
      </c>
      <c r="J381" s="30">
        <v>0</v>
      </c>
      <c r="K381" s="30">
        <v>0</v>
      </c>
      <c r="L381" s="30" t="s">
        <v>1802</v>
      </c>
      <c r="M381" s="30">
        <v>0</v>
      </c>
      <c r="N381" s="30">
        <v>0</v>
      </c>
      <c r="O381" s="66">
        <v>13</v>
      </c>
      <c r="P381" s="30">
        <v>0</v>
      </c>
      <c r="Q381" s="30">
        <v>0</v>
      </c>
      <c r="R381" s="30">
        <v>5</v>
      </c>
      <c r="S381" s="30">
        <v>1</v>
      </c>
      <c r="T381" s="30">
        <v>0</v>
      </c>
      <c r="U381" s="31">
        <v>0</v>
      </c>
      <c r="V381" s="67">
        <v>7</v>
      </c>
      <c r="W381" s="67">
        <f>5*1*2.5</f>
        <v>12.5</v>
      </c>
      <c r="X381" s="67">
        <v>5</v>
      </c>
      <c r="Y381" s="67" t="s">
        <v>2194</v>
      </c>
      <c r="Z381" s="67" t="s">
        <v>1909</v>
      </c>
      <c r="AC381" s="69" t="s">
        <v>2520</v>
      </c>
    </row>
    <row r="382" ht="52.8" spans="1:29">
      <c r="A382" s="29">
        <v>10037921</v>
      </c>
      <c r="B382" s="30">
        <v>5</v>
      </c>
      <c r="C382" s="63" t="s">
        <v>2521</v>
      </c>
      <c r="D382" s="64" t="s">
        <v>1952</v>
      </c>
      <c r="E382" s="65">
        <v>0</v>
      </c>
      <c r="F382" s="65">
        <v>0</v>
      </c>
      <c r="G382" s="30">
        <v>0</v>
      </c>
      <c r="H382" s="30">
        <v>0</v>
      </c>
      <c r="I382" s="30">
        <v>3</v>
      </c>
      <c r="J382" s="30">
        <v>3</v>
      </c>
      <c r="K382" s="30">
        <v>0</v>
      </c>
      <c r="L382" s="30" t="s">
        <v>1802</v>
      </c>
      <c r="M382" s="30">
        <v>9</v>
      </c>
      <c r="N382" s="30">
        <v>6</v>
      </c>
      <c r="O382" s="66">
        <v>0</v>
      </c>
      <c r="P382" s="30">
        <v>0</v>
      </c>
      <c r="Q382" s="30">
        <v>0</v>
      </c>
      <c r="R382" s="30">
        <v>0</v>
      </c>
      <c r="S382" s="30">
        <v>1</v>
      </c>
      <c r="T382" s="30">
        <v>0</v>
      </c>
      <c r="U382" s="31">
        <v>0</v>
      </c>
      <c r="V382" s="67">
        <v>4</v>
      </c>
      <c r="W382" s="67">
        <f>0*1*2.5</f>
        <v>0</v>
      </c>
      <c r="X382" s="67">
        <v>0</v>
      </c>
      <c r="Y382" s="67" t="s">
        <v>1908</v>
      </c>
      <c r="Z382" s="67" t="s">
        <v>1953</v>
      </c>
      <c r="AC382" s="69" t="s">
        <v>2522</v>
      </c>
    </row>
    <row r="383" ht="39.6" spans="1:29">
      <c r="A383" s="29">
        <v>10038021</v>
      </c>
      <c r="B383" s="30">
        <v>4</v>
      </c>
      <c r="C383" s="63" t="s">
        <v>2523</v>
      </c>
      <c r="D383" s="64" t="s">
        <v>14</v>
      </c>
      <c r="E383" s="65">
        <v>0</v>
      </c>
      <c r="F383" s="65">
        <v>0</v>
      </c>
      <c r="G383" s="30">
        <v>0</v>
      </c>
      <c r="H383" s="30">
        <v>11</v>
      </c>
      <c r="I383" s="30">
        <v>5</v>
      </c>
      <c r="J383" s="30">
        <v>0</v>
      </c>
      <c r="K383" s="30">
        <v>2</v>
      </c>
      <c r="L383" s="30" t="s">
        <v>1802</v>
      </c>
      <c r="M383" s="30">
        <v>0</v>
      </c>
      <c r="N383" s="30">
        <v>0</v>
      </c>
      <c r="O383" s="66">
        <v>0</v>
      </c>
      <c r="P383" s="30">
        <v>0</v>
      </c>
      <c r="Q383" s="30">
        <v>0</v>
      </c>
      <c r="R383" s="30">
        <v>0</v>
      </c>
      <c r="S383" s="30">
        <v>1</v>
      </c>
      <c r="T383" s="30">
        <v>0</v>
      </c>
      <c r="U383" s="31">
        <v>0</v>
      </c>
      <c r="V383" s="67">
        <v>0</v>
      </c>
      <c r="W383" s="67">
        <f>0*1*2.5</f>
        <v>0</v>
      </c>
      <c r="X383" s="67">
        <v>0</v>
      </c>
      <c r="Z383" s="67" t="s">
        <v>1980</v>
      </c>
      <c r="AB383" s="69" t="s">
        <v>2218</v>
      </c>
      <c r="AC383" s="69" t="s">
        <v>2524</v>
      </c>
    </row>
    <row r="384" ht="26.4" spans="1:29">
      <c r="A384" s="29">
        <v>10038121</v>
      </c>
      <c r="B384" s="30">
        <v>5</v>
      </c>
      <c r="C384" s="63" t="s">
        <v>2525</v>
      </c>
      <c r="D384" s="64" t="s">
        <v>1801</v>
      </c>
      <c r="E384" s="65">
        <v>0</v>
      </c>
      <c r="F384" s="65">
        <v>0</v>
      </c>
      <c r="G384" s="30">
        <v>9</v>
      </c>
      <c r="H384" s="30">
        <v>0</v>
      </c>
      <c r="I384" s="30">
        <v>0</v>
      </c>
      <c r="J384" s="30">
        <v>0</v>
      </c>
      <c r="K384" s="30">
        <v>0</v>
      </c>
      <c r="L384" s="30" t="s">
        <v>1802</v>
      </c>
      <c r="M384" s="30">
        <v>0</v>
      </c>
      <c r="N384" s="30">
        <v>0</v>
      </c>
      <c r="O384" s="66">
        <v>0</v>
      </c>
      <c r="P384" s="30">
        <v>0</v>
      </c>
      <c r="Q384" s="30">
        <v>0</v>
      </c>
      <c r="R384" s="30">
        <v>0</v>
      </c>
      <c r="S384" s="30">
        <v>1</v>
      </c>
      <c r="T384" s="30">
        <v>0</v>
      </c>
      <c r="U384" s="31">
        <v>0</v>
      </c>
      <c r="V384" s="67">
        <v>0</v>
      </c>
      <c r="W384" s="67">
        <f>0*1*2.5</f>
        <v>0</v>
      </c>
      <c r="X384" s="67">
        <v>0</v>
      </c>
      <c r="Z384" s="67" t="s">
        <v>1996</v>
      </c>
      <c r="AC384" s="69" t="s">
        <v>2526</v>
      </c>
    </row>
    <row r="385" ht="26.4" spans="1:29">
      <c r="A385" s="29">
        <v>10038221</v>
      </c>
      <c r="B385" s="30">
        <v>6</v>
      </c>
      <c r="C385" s="63" t="s">
        <v>2527</v>
      </c>
      <c r="D385" s="64" t="s">
        <v>1845</v>
      </c>
      <c r="E385" s="65">
        <v>0</v>
      </c>
      <c r="F385" s="65">
        <v>29</v>
      </c>
      <c r="G385" s="30">
        <v>0</v>
      </c>
      <c r="H385" s="30">
        <v>0</v>
      </c>
      <c r="I385" s="30">
        <v>0</v>
      </c>
      <c r="J385" s="30">
        <v>0</v>
      </c>
      <c r="K385" s="30">
        <v>-2</v>
      </c>
      <c r="L385" s="30" t="s">
        <v>1022</v>
      </c>
      <c r="M385" s="30">
        <v>-5</v>
      </c>
      <c r="N385" s="30">
        <v>0</v>
      </c>
      <c r="O385" s="66">
        <v>0</v>
      </c>
      <c r="P385" s="30">
        <v>0</v>
      </c>
      <c r="Q385" s="30">
        <v>0</v>
      </c>
      <c r="R385" s="30">
        <v>0</v>
      </c>
      <c r="S385" s="30">
        <v>1</v>
      </c>
      <c r="T385" s="30">
        <v>0</v>
      </c>
      <c r="U385" s="31">
        <v>0</v>
      </c>
      <c r="V385" s="67">
        <v>0</v>
      </c>
      <c r="W385" s="67">
        <f>0*1*2.5</f>
        <v>0</v>
      </c>
      <c r="X385" s="67">
        <v>0</v>
      </c>
      <c r="Z385" s="67" t="s">
        <v>1846</v>
      </c>
      <c r="AB385" s="69" t="s">
        <v>2528</v>
      </c>
      <c r="AC385" s="69" t="s">
        <v>2529</v>
      </c>
    </row>
    <row r="386" ht="39.6" spans="1:29">
      <c r="A386" s="29">
        <v>10038321</v>
      </c>
      <c r="B386" s="30">
        <v>5</v>
      </c>
      <c r="C386" s="63" t="s">
        <v>2530</v>
      </c>
      <c r="D386" s="64" t="s">
        <v>1960</v>
      </c>
      <c r="E386" s="65">
        <v>0</v>
      </c>
      <c r="F386" s="65">
        <v>0</v>
      </c>
      <c r="G386" s="30">
        <v>0</v>
      </c>
      <c r="H386" s="30">
        <v>0</v>
      </c>
      <c r="I386" s="30">
        <v>0</v>
      </c>
      <c r="J386" s="30">
        <v>3</v>
      </c>
      <c r="K386" s="30">
        <v>3</v>
      </c>
      <c r="L386" s="30" t="s">
        <v>1802</v>
      </c>
      <c r="M386" s="30">
        <v>0</v>
      </c>
      <c r="N386" s="30">
        <v>0</v>
      </c>
      <c r="O386" s="66">
        <v>0</v>
      </c>
      <c r="P386" s="30">
        <v>0</v>
      </c>
      <c r="Q386" s="30">
        <v>0</v>
      </c>
      <c r="R386" s="30">
        <v>10</v>
      </c>
      <c r="S386" s="30">
        <v>3.3</v>
      </c>
      <c r="T386" s="30">
        <v>0.75</v>
      </c>
      <c r="U386" s="31">
        <v>0</v>
      </c>
      <c r="V386" s="67">
        <v>0</v>
      </c>
      <c r="W386" s="67">
        <f>10*3.3*2.5</f>
        <v>82.5</v>
      </c>
      <c r="X386" s="67">
        <f>10+MAX($X$2,0.75)*10*$X$1</f>
        <v>58</v>
      </c>
      <c r="Y386" s="67" t="s">
        <v>2531</v>
      </c>
      <c r="Z386" s="67" t="s">
        <v>1883</v>
      </c>
      <c r="AC386" s="69" t="s">
        <v>2532</v>
      </c>
    </row>
    <row r="387" ht="39.6" spans="1:28">
      <c r="A387" s="29">
        <v>10038421</v>
      </c>
      <c r="B387" s="30">
        <v>4</v>
      </c>
      <c r="C387" s="63" t="s">
        <v>1000</v>
      </c>
      <c r="D387" s="64" t="s">
        <v>1828</v>
      </c>
      <c r="E387" s="65">
        <v>0</v>
      </c>
      <c r="F387" s="65">
        <v>4</v>
      </c>
      <c r="G387" s="30">
        <v>0</v>
      </c>
      <c r="H387" s="30">
        <v>0</v>
      </c>
      <c r="I387" s="30">
        <v>0</v>
      </c>
      <c r="J387" s="30">
        <v>0</v>
      </c>
      <c r="K387" s="30">
        <v>0</v>
      </c>
      <c r="L387" s="30" t="s">
        <v>158</v>
      </c>
      <c r="M387" s="30">
        <v>0</v>
      </c>
      <c r="N387" s="30">
        <v>2</v>
      </c>
      <c r="O387" s="66">
        <v>0</v>
      </c>
      <c r="P387" s="30">
        <v>0</v>
      </c>
      <c r="Q387" s="30">
        <v>0</v>
      </c>
      <c r="R387" s="30">
        <v>0</v>
      </c>
      <c r="S387" s="30">
        <v>1</v>
      </c>
      <c r="T387" s="30">
        <v>0</v>
      </c>
      <c r="U387" s="31">
        <v>0</v>
      </c>
      <c r="V387" s="67">
        <v>0</v>
      </c>
      <c r="W387" s="67">
        <f t="shared" ref="W387:W393" si="11">0*1*2.5</f>
        <v>0</v>
      </c>
      <c r="X387" s="67">
        <v>0</v>
      </c>
      <c r="Z387" s="67" t="s">
        <v>1829</v>
      </c>
      <c r="AB387" s="69" t="s">
        <v>999</v>
      </c>
    </row>
    <row r="388" spans="1:28">
      <c r="A388" s="29">
        <v>10038521</v>
      </c>
      <c r="B388" s="30">
        <v>6</v>
      </c>
      <c r="C388" s="63" t="s">
        <v>986</v>
      </c>
      <c r="D388" s="64" t="s">
        <v>1845</v>
      </c>
      <c r="E388" s="65">
        <v>0</v>
      </c>
      <c r="F388" s="65">
        <v>28</v>
      </c>
      <c r="G388" s="30">
        <v>0</v>
      </c>
      <c r="H388" s="30">
        <v>0</v>
      </c>
      <c r="I388" s="30">
        <v>0</v>
      </c>
      <c r="J388" s="30">
        <v>0</v>
      </c>
      <c r="K388" s="30">
        <v>2</v>
      </c>
      <c r="L388" s="30" t="s">
        <v>52</v>
      </c>
      <c r="M388" s="30">
        <v>0</v>
      </c>
      <c r="N388" s="30">
        <v>0</v>
      </c>
      <c r="O388" s="66">
        <v>0</v>
      </c>
      <c r="P388" s="30">
        <v>0</v>
      </c>
      <c r="Q388" s="30">
        <v>0</v>
      </c>
      <c r="R388" s="30">
        <v>0</v>
      </c>
      <c r="S388" s="30">
        <v>1</v>
      </c>
      <c r="T388" s="30">
        <v>0</v>
      </c>
      <c r="U388" s="31">
        <v>0</v>
      </c>
      <c r="V388" s="67">
        <v>0</v>
      </c>
      <c r="W388" s="67">
        <f t="shared" si="11"/>
        <v>0</v>
      </c>
      <c r="X388" s="67">
        <v>0</v>
      </c>
      <c r="Y388" s="67" t="s">
        <v>2533</v>
      </c>
      <c r="Z388" s="67" t="s">
        <v>984</v>
      </c>
      <c r="AB388" s="69" t="s">
        <v>2534</v>
      </c>
    </row>
    <row r="389" ht="26.4" spans="1:28">
      <c r="A389" s="29">
        <v>10038621</v>
      </c>
      <c r="B389" s="30">
        <v>3</v>
      </c>
      <c r="C389" s="63" t="s">
        <v>994</v>
      </c>
      <c r="D389" s="64" t="s">
        <v>1845</v>
      </c>
      <c r="E389" s="65">
        <v>0</v>
      </c>
      <c r="F389" s="65">
        <v>17</v>
      </c>
      <c r="G389" s="30">
        <v>0</v>
      </c>
      <c r="H389" s="30">
        <v>0</v>
      </c>
      <c r="I389" s="30">
        <v>0</v>
      </c>
      <c r="J389" s="30">
        <v>0</v>
      </c>
      <c r="K389" s="30">
        <v>0</v>
      </c>
      <c r="L389" s="30" t="s">
        <v>52</v>
      </c>
      <c r="M389" s="30">
        <v>0</v>
      </c>
      <c r="N389" s="30">
        <v>0</v>
      </c>
      <c r="O389" s="66">
        <v>0</v>
      </c>
      <c r="P389" s="30">
        <v>0</v>
      </c>
      <c r="Q389" s="30">
        <v>0</v>
      </c>
      <c r="R389" s="30">
        <v>0</v>
      </c>
      <c r="S389" s="30">
        <v>1</v>
      </c>
      <c r="T389" s="30">
        <v>0</v>
      </c>
      <c r="U389" s="31">
        <v>0</v>
      </c>
      <c r="V389" s="67">
        <v>0</v>
      </c>
      <c r="W389" s="67">
        <f t="shared" si="11"/>
        <v>0</v>
      </c>
      <c r="X389" s="67">
        <v>0</v>
      </c>
      <c r="Z389" s="67" t="s">
        <v>1846</v>
      </c>
      <c r="AB389" s="69" t="s">
        <v>993</v>
      </c>
    </row>
    <row r="390" ht="26.4" spans="1:29">
      <c r="A390" s="29">
        <v>10038721</v>
      </c>
      <c r="B390" s="30">
        <v>4</v>
      </c>
      <c r="C390" s="63" t="s">
        <v>2535</v>
      </c>
      <c r="D390" s="64" t="s">
        <v>1940</v>
      </c>
      <c r="E390" s="65">
        <v>0</v>
      </c>
      <c r="F390" s="65">
        <v>0</v>
      </c>
      <c r="G390" s="30">
        <v>0</v>
      </c>
      <c r="H390" s="30">
        <v>3</v>
      </c>
      <c r="I390" s="30">
        <v>3</v>
      </c>
      <c r="J390" s="30">
        <v>5</v>
      </c>
      <c r="K390" s="30">
        <v>0</v>
      </c>
      <c r="L390" s="30" t="s">
        <v>1802</v>
      </c>
      <c r="M390" s="30">
        <v>0</v>
      </c>
      <c r="N390" s="30">
        <v>2</v>
      </c>
      <c r="O390" s="66">
        <v>0</v>
      </c>
      <c r="P390" s="30">
        <v>0</v>
      </c>
      <c r="Q390" s="30">
        <v>0</v>
      </c>
      <c r="R390" s="30">
        <v>0</v>
      </c>
      <c r="S390" s="30">
        <v>1</v>
      </c>
      <c r="T390" s="30">
        <v>0</v>
      </c>
      <c r="U390" s="31">
        <v>0</v>
      </c>
      <c r="V390" s="67">
        <v>5</v>
      </c>
      <c r="W390" s="67">
        <f t="shared" si="11"/>
        <v>0</v>
      </c>
      <c r="X390" s="67">
        <v>0</v>
      </c>
      <c r="Y390" s="67" t="s">
        <v>2536</v>
      </c>
      <c r="Z390" s="67" t="s">
        <v>1909</v>
      </c>
      <c r="AC390" s="69" t="s">
        <v>2207</v>
      </c>
    </row>
    <row r="391" ht="52.8" spans="1:29">
      <c r="A391" s="29">
        <v>10038821</v>
      </c>
      <c r="B391" s="30">
        <v>4</v>
      </c>
      <c r="C391" s="63" t="s">
        <v>2537</v>
      </c>
      <c r="D391" s="64" t="s">
        <v>1801</v>
      </c>
      <c r="E391" s="65">
        <v>0</v>
      </c>
      <c r="F391" s="65">
        <v>12</v>
      </c>
      <c r="G391" s="30">
        <v>0</v>
      </c>
      <c r="H391" s="30">
        <v>0</v>
      </c>
      <c r="I391" s="30">
        <v>0</v>
      </c>
      <c r="J391" s="30">
        <v>0</v>
      </c>
      <c r="K391" s="30">
        <v>-5</v>
      </c>
      <c r="L391" s="30" t="s">
        <v>1802</v>
      </c>
      <c r="M391" s="30">
        <v>0</v>
      </c>
      <c r="N391" s="30">
        <v>0</v>
      </c>
      <c r="O391" s="66">
        <v>0</v>
      </c>
      <c r="P391" s="30">
        <v>0</v>
      </c>
      <c r="Q391" s="30">
        <v>0</v>
      </c>
      <c r="R391" s="30">
        <v>0</v>
      </c>
      <c r="S391" s="30">
        <v>1</v>
      </c>
      <c r="T391" s="30">
        <v>0</v>
      </c>
      <c r="U391" s="31">
        <v>0</v>
      </c>
      <c r="V391" s="67">
        <v>0</v>
      </c>
      <c r="W391" s="67">
        <f t="shared" si="11"/>
        <v>0</v>
      </c>
      <c r="X391" s="67">
        <v>0</v>
      </c>
      <c r="Z391" s="67" t="s">
        <v>1803</v>
      </c>
      <c r="AC391" s="69" t="s">
        <v>2538</v>
      </c>
    </row>
    <row r="392" ht="26.4" spans="1:29">
      <c r="A392" s="29">
        <v>10038921</v>
      </c>
      <c r="B392" s="30">
        <v>4</v>
      </c>
      <c r="C392" s="63" t="s">
        <v>2539</v>
      </c>
      <c r="D392" s="64" t="s">
        <v>1976</v>
      </c>
      <c r="E392" s="65">
        <v>0</v>
      </c>
      <c r="F392" s="65">
        <v>0</v>
      </c>
      <c r="G392" s="30">
        <v>0</v>
      </c>
      <c r="H392" s="30">
        <v>0</v>
      </c>
      <c r="I392" s="30">
        <v>12</v>
      </c>
      <c r="J392" s="30">
        <v>3</v>
      </c>
      <c r="K392" s="30">
        <v>0</v>
      </c>
      <c r="L392" s="30" t="s">
        <v>1802</v>
      </c>
      <c r="M392" s="30">
        <v>3</v>
      </c>
      <c r="N392" s="30">
        <v>0</v>
      </c>
      <c r="O392" s="66">
        <v>0</v>
      </c>
      <c r="P392" s="30">
        <v>0</v>
      </c>
      <c r="Q392" s="30">
        <v>0</v>
      </c>
      <c r="R392" s="30">
        <v>0</v>
      </c>
      <c r="S392" s="30">
        <v>1</v>
      </c>
      <c r="T392" s="30">
        <v>0</v>
      </c>
      <c r="U392" s="31">
        <v>0</v>
      </c>
      <c r="V392" s="67">
        <v>0</v>
      </c>
      <c r="W392" s="67">
        <f t="shared" si="11"/>
        <v>0</v>
      </c>
      <c r="X392" s="67">
        <v>0</v>
      </c>
      <c r="Z392" s="67" t="s">
        <v>1977</v>
      </c>
      <c r="AC392" s="69" t="s">
        <v>2540</v>
      </c>
    </row>
    <row r="393" ht="26.4" spans="1:29">
      <c r="A393" s="29">
        <v>10039021</v>
      </c>
      <c r="B393" s="30">
        <v>5</v>
      </c>
      <c r="C393" s="63" t="s">
        <v>2541</v>
      </c>
      <c r="D393" s="64" t="s">
        <v>1927</v>
      </c>
      <c r="E393" s="65">
        <v>0</v>
      </c>
      <c r="F393" s="65">
        <v>0</v>
      </c>
      <c r="G393" s="30">
        <v>0</v>
      </c>
      <c r="H393" s="30">
        <v>0</v>
      </c>
      <c r="I393" s="30">
        <v>0</v>
      </c>
      <c r="J393" s="30">
        <v>0</v>
      </c>
      <c r="K393" s="30">
        <v>3</v>
      </c>
      <c r="L393" s="30" t="s">
        <v>1802</v>
      </c>
      <c r="M393" s="30">
        <v>0</v>
      </c>
      <c r="N393" s="30">
        <v>0</v>
      </c>
      <c r="O393" s="66">
        <v>14</v>
      </c>
      <c r="P393" s="30">
        <v>0</v>
      </c>
      <c r="Q393" s="30">
        <v>0</v>
      </c>
      <c r="R393" s="30">
        <v>0</v>
      </c>
      <c r="S393" s="30">
        <v>1</v>
      </c>
      <c r="T393" s="30">
        <v>0</v>
      </c>
      <c r="U393" s="31">
        <v>0</v>
      </c>
      <c r="V393" s="67">
        <v>9</v>
      </c>
      <c r="W393" s="67">
        <f t="shared" si="11"/>
        <v>0</v>
      </c>
      <c r="X393" s="67">
        <v>0</v>
      </c>
      <c r="Y393" s="67" t="s">
        <v>2080</v>
      </c>
      <c r="Z393" s="67" t="s">
        <v>1909</v>
      </c>
      <c r="AC393" s="69" t="s">
        <v>2216</v>
      </c>
    </row>
    <row r="394" ht="39.6" spans="1:28">
      <c r="A394" s="29">
        <v>10039121</v>
      </c>
      <c r="B394" s="30">
        <v>5</v>
      </c>
      <c r="C394" s="63" t="s">
        <v>2542</v>
      </c>
      <c r="D394" s="64" t="s">
        <v>2283</v>
      </c>
      <c r="E394" s="65">
        <v>0</v>
      </c>
      <c r="F394" s="65">
        <v>11</v>
      </c>
      <c r="G394" s="30">
        <v>0</v>
      </c>
      <c r="H394" s="30">
        <v>0</v>
      </c>
      <c r="I394" s="30">
        <v>0</v>
      </c>
      <c r="J394" s="30">
        <v>0</v>
      </c>
      <c r="K394" s="30">
        <v>0</v>
      </c>
      <c r="L394" s="30" t="s">
        <v>1802</v>
      </c>
      <c r="M394" s="30">
        <v>0</v>
      </c>
      <c r="N394" s="30">
        <v>0</v>
      </c>
      <c r="O394" s="66">
        <v>0</v>
      </c>
      <c r="P394" s="30">
        <v>27</v>
      </c>
      <c r="Q394" s="30">
        <v>0</v>
      </c>
      <c r="R394" s="30">
        <v>16</v>
      </c>
      <c r="S394" s="30">
        <v>3.9</v>
      </c>
      <c r="T394" s="30">
        <v>0.7</v>
      </c>
      <c r="U394" s="31">
        <v>0</v>
      </c>
      <c r="V394" s="67">
        <v>8</v>
      </c>
      <c r="W394" s="67">
        <f>16*3.9*2.5</f>
        <v>156</v>
      </c>
      <c r="X394" s="67">
        <f>16+MAX($X$2,0.7)*16*$X$1</f>
        <v>92.8</v>
      </c>
      <c r="Y394" s="67" t="s">
        <v>2543</v>
      </c>
      <c r="Z394" s="67" t="s">
        <v>2280</v>
      </c>
      <c r="AB394" s="69" t="s">
        <v>1008</v>
      </c>
    </row>
    <row r="395" ht="39.6" spans="1:28">
      <c r="A395" s="29">
        <v>10039221</v>
      </c>
      <c r="B395" s="30">
        <v>4</v>
      </c>
      <c r="C395" s="63" t="s">
        <v>1006</v>
      </c>
      <c r="D395" s="64" t="s">
        <v>1832</v>
      </c>
      <c r="E395" s="65">
        <v>0</v>
      </c>
      <c r="F395" s="65">
        <v>10</v>
      </c>
      <c r="G395" s="30">
        <v>0</v>
      </c>
      <c r="H395" s="30">
        <v>0</v>
      </c>
      <c r="I395" s="30">
        <v>0</v>
      </c>
      <c r="J395" s="30">
        <v>0</v>
      </c>
      <c r="K395" s="30">
        <v>0</v>
      </c>
      <c r="L395" s="30" t="s">
        <v>52</v>
      </c>
      <c r="M395" s="30">
        <v>0</v>
      </c>
      <c r="N395" s="30">
        <v>0</v>
      </c>
      <c r="O395" s="66">
        <v>0</v>
      </c>
      <c r="P395" s="30">
        <v>0</v>
      </c>
      <c r="Q395" s="30">
        <v>0</v>
      </c>
      <c r="R395" s="30">
        <v>0</v>
      </c>
      <c r="S395" s="30">
        <v>1</v>
      </c>
      <c r="T395" s="30">
        <v>0</v>
      </c>
      <c r="U395" s="31">
        <v>0</v>
      </c>
      <c r="V395" s="67">
        <v>0</v>
      </c>
      <c r="W395" s="67">
        <f>0*1*2.5</f>
        <v>0</v>
      </c>
      <c r="X395" s="67">
        <v>0</v>
      </c>
      <c r="Z395" s="67" t="s">
        <v>1834</v>
      </c>
      <c r="AB395" s="69" t="s">
        <v>1005</v>
      </c>
    </row>
    <row r="396" ht="39.6" spans="1:29">
      <c r="A396" s="29">
        <v>10039321</v>
      </c>
      <c r="B396" s="30">
        <v>4</v>
      </c>
      <c r="C396" s="63" t="s">
        <v>2544</v>
      </c>
      <c r="D396" s="64" t="s">
        <v>1828</v>
      </c>
      <c r="E396" s="65">
        <v>0</v>
      </c>
      <c r="F396" s="65">
        <v>9</v>
      </c>
      <c r="G396" s="30">
        <v>0</v>
      </c>
      <c r="H396" s="30">
        <v>0</v>
      </c>
      <c r="I396" s="30">
        <v>0</v>
      </c>
      <c r="J396" s="30">
        <v>0</v>
      </c>
      <c r="K396" s="30">
        <v>1</v>
      </c>
      <c r="L396" s="30" t="s">
        <v>52</v>
      </c>
      <c r="M396" s="30">
        <v>1</v>
      </c>
      <c r="N396" s="30">
        <v>0</v>
      </c>
      <c r="O396" s="66">
        <v>0</v>
      </c>
      <c r="P396" s="30">
        <v>0</v>
      </c>
      <c r="Q396" s="30">
        <v>0</v>
      </c>
      <c r="R396" s="30">
        <v>0</v>
      </c>
      <c r="S396" s="30">
        <v>1</v>
      </c>
      <c r="T396" s="30">
        <v>0</v>
      </c>
      <c r="U396" s="31">
        <v>0</v>
      </c>
      <c r="V396" s="67">
        <v>0</v>
      </c>
      <c r="W396" s="67">
        <f>0*1*2.5</f>
        <v>0</v>
      </c>
      <c r="X396" s="67">
        <v>0</v>
      </c>
      <c r="Z396" s="67" t="s">
        <v>1829</v>
      </c>
      <c r="AC396" s="69" t="s">
        <v>2545</v>
      </c>
    </row>
    <row r="397" ht="26.4" spans="1:29">
      <c r="A397" s="29">
        <v>10039421</v>
      </c>
      <c r="B397" s="30">
        <v>5</v>
      </c>
      <c r="C397" s="63" t="s">
        <v>2546</v>
      </c>
      <c r="D397" s="64" t="s">
        <v>1940</v>
      </c>
      <c r="E397" s="65">
        <v>0</v>
      </c>
      <c r="F397" s="65">
        <v>0</v>
      </c>
      <c r="G397" s="30">
        <v>0</v>
      </c>
      <c r="H397" s="30">
        <v>8</v>
      </c>
      <c r="I397" s="30">
        <v>3</v>
      </c>
      <c r="J397" s="30">
        <v>0</v>
      </c>
      <c r="K397" s="30">
        <v>0</v>
      </c>
      <c r="L397" s="30" t="s">
        <v>1802</v>
      </c>
      <c r="M397" s="30">
        <v>0</v>
      </c>
      <c r="N397" s="30">
        <v>0</v>
      </c>
      <c r="O397" s="66">
        <v>0</v>
      </c>
      <c r="P397" s="30">
        <v>0</v>
      </c>
      <c r="Q397" s="30">
        <v>0</v>
      </c>
      <c r="R397" s="30">
        <v>9</v>
      </c>
      <c r="S397" s="30">
        <v>1</v>
      </c>
      <c r="T397" s="30">
        <v>0</v>
      </c>
      <c r="U397" s="31">
        <v>0</v>
      </c>
      <c r="V397" s="67">
        <v>5</v>
      </c>
      <c r="W397" s="67">
        <f>9*1*2.5</f>
        <v>22.5</v>
      </c>
      <c r="X397" s="67">
        <v>9</v>
      </c>
      <c r="Y397" s="67" t="s">
        <v>1913</v>
      </c>
      <c r="Z397" s="67" t="s">
        <v>1909</v>
      </c>
      <c r="AC397" s="69" t="s">
        <v>2547</v>
      </c>
    </row>
    <row r="398" ht="26.4" spans="1:29">
      <c r="A398" s="29">
        <v>10039521</v>
      </c>
      <c r="B398" s="30">
        <v>6</v>
      </c>
      <c r="C398" s="63" t="s">
        <v>2548</v>
      </c>
      <c r="D398" s="64" t="s">
        <v>1927</v>
      </c>
      <c r="E398" s="65">
        <v>0</v>
      </c>
      <c r="F398" s="65">
        <v>0</v>
      </c>
      <c r="G398" s="30">
        <v>0</v>
      </c>
      <c r="H398" s="30">
        <v>0</v>
      </c>
      <c r="I398" s="30">
        <v>2</v>
      </c>
      <c r="J398" s="30">
        <v>0</v>
      </c>
      <c r="K398" s="30">
        <v>2</v>
      </c>
      <c r="L398" s="30" t="s">
        <v>1802</v>
      </c>
      <c r="M398" s="30">
        <v>0</v>
      </c>
      <c r="N398" s="30">
        <v>0</v>
      </c>
      <c r="O398" s="66">
        <v>14</v>
      </c>
      <c r="P398" s="30">
        <v>0</v>
      </c>
      <c r="Q398" s="30">
        <v>0</v>
      </c>
      <c r="R398" s="30">
        <v>0</v>
      </c>
      <c r="S398" s="30">
        <v>1</v>
      </c>
      <c r="T398" s="30">
        <v>0</v>
      </c>
      <c r="U398" s="31">
        <v>0</v>
      </c>
      <c r="V398" s="67">
        <v>7</v>
      </c>
      <c r="W398" s="67">
        <f t="shared" ref="W398:W403" si="12">0*1*2.5</f>
        <v>0</v>
      </c>
      <c r="X398" s="67">
        <v>0</v>
      </c>
      <c r="Y398" s="67" t="s">
        <v>2194</v>
      </c>
      <c r="Z398" s="67" t="s">
        <v>1909</v>
      </c>
      <c r="AB398" s="69" t="s">
        <v>2178</v>
      </c>
      <c r="AC398" s="69" t="s">
        <v>2549</v>
      </c>
    </row>
    <row r="399" ht="26.4" spans="1:29">
      <c r="A399" s="29">
        <v>10039621</v>
      </c>
      <c r="B399" s="30">
        <v>6</v>
      </c>
      <c r="C399" s="63" t="s">
        <v>2550</v>
      </c>
      <c r="D399" s="64" t="s">
        <v>1845</v>
      </c>
      <c r="E399" s="65">
        <v>0</v>
      </c>
      <c r="F399" s="65">
        <v>30</v>
      </c>
      <c r="G399" s="30">
        <v>0</v>
      </c>
      <c r="H399" s="30">
        <v>0</v>
      </c>
      <c r="I399" s="30">
        <v>0</v>
      </c>
      <c r="J399" s="30">
        <v>0</v>
      </c>
      <c r="K399" s="30">
        <v>0</v>
      </c>
      <c r="L399" s="30" t="s">
        <v>1022</v>
      </c>
      <c r="M399" s="30">
        <v>-2</v>
      </c>
      <c r="N399" s="30">
        <v>0</v>
      </c>
      <c r="O399" s="66">
        <v>0</v>
      </c>
      <c r="P399" s="30">
        <v>0</v>
      </c>
      <c r="Q399" s="30">
        <v>0</v>
      </c>
      <c r="R399" s="30">
        <v>0</v>
      </c>
      <c r="S399" s="30">
        <v>1</v>
      </c>
      <c r="T399" s="30">
        <v>0</v>
      </c>
      <c r="U399" s="31">
        <v>0</v>
      </c>
      <c r="V399" s="67">
        <v>0</v>
      </c>
      <c r="W399" s="67">
        <f t="shared" si="12"/>
        <v>0</v>
      </c>
      <c r="X399" s="67">
        <v>0</v>
      </c>
      <c r="Z399" s="67" t="s">
        <v>1846</v>
      </c>
      <c r="AB399" s="69" t="s">
        <v>2551</v>
      </c>
      <c r="AC399" s="69" t="s">
        <v>2552</v>
      </c>
    </row>
    <row r="400" ht="26.4" spans="1:29">
      <c r="A400" s="29">
        <v>10039721</v>
      </c>
      <c r="B400" s="30">
        <v>5</v>
      </c>
      <c r="C400" s="63" t="s">
        <v>2553</v>
      </c>
      <c r="D400" s="64" t="s">
        <v>1801</v>
      </c>
      <c r="E400" s="65">
        <v>0</v>
      </c>
      <c r="F400" s="65">
        <v>0</v>
      </c>
      <c r="G400" s="30">
        <v>0</v>
      </c>
      <c r="H400" s="30">
        <v>0</v>
      </c>
      <c r="I400" s="30">
        <v>0</v>
      </c>
      <c r="J400" s="30">
        <v>0</v>
      </c>
      <c r="K400" s="30">
        <v>2</v>
      </c>
      <c r="L400" s="30" t="s">
        <v>1802</v>
      </c>
      <c r="M400" s="30">
        <v>0</v>
      </c>
      <c r="N400" s="30">
        <v>0</v>
      </c>
      <c r="O400" s="66">
        <v>0</v>
      </c>
      <c r="P400" s="30">
        <v>0</v>
      </c>
      <c r="Q400" s="30">
        <v>0</v>
      </c>
      <c r="R400" s="30">
        <v>0</v>
      </c>
      <c r="S400" s="30">
        <v>1</v>
      </c>
      <c r="T400" s="30">
        <v>0</v>
      </c>
      <c r="U400" s="31">
        <v>0</v>
      </c>
      <c r="V400" s="67">
        <v>0</v>
      </c>
      <c r="W400" s="67">
        <f t="shared" si="12"/>
        <v>0</v>
      </c>
      <c r="X400" s="67">
        <v>0</v>
      </c>
      <c r="Y400" s="67" t="s">
        <v>2554</v>
      </c>
      <c r="Z400" s="67" t="s">
        <v>2177</v>
      </c>
      <c r="AC400" s="69" t="s">
        <v>2555</v>
      </c>
    </row>
    <row r="401" ht="39.6" spans="1:29">
      <c r="A401" s="29">
        <v>10039821</v>
      </c>
      <c r="B401" s="30">
        <v>5</v>
      </c>
      <c r="C401" s="63" t="s">
        <v>2556</v>
      </c>
      <c r="D401" s="64" t="s">
        <v>1960</v>
      </c>
      <c r="E401" s="65">
        <v>0</v>
      </c>
      <c r="F401" s="65">
        <v>0</v>
      </c>
      <c r="G401" s="30">
        <v>0</v>
      </c>
      <c r="H401" s="30">
        <v>0</v>
      </c>
      <c r="I401" s="30">
        <v>0</v>
      </c>
      <c r="J401" s="30">
        <v>12</v>
      </c>
      <c r="K401" s="30">
        <v>6</v>
      </c>
      <c r="L401" s="30" t="s">
        <v>1802</v>
      </c>
      <c r="M401" s="30">
        <v>3</v>
      </c>
      <c r="N401" s="30">
        <v>3</v>
      </c>
      <c r="O401" s="66">
        <v>0</v>
      </c>
      <c r="P401" s="30">
        <v>0</v>
      </c>
      <c r="Q401" s="30">
        <v>0</v>
      </c>
      <c r="R401" s="30">
        <v>0</v>
      </c>
      <c r="S401" s="30">
        <v>1</v>
      </c>
      <c r="T401" s="30">
        <v>0</v>
      </c>
      <c r="U401" s="31">
        <v>0</v>
      </c>
      <c r="V401" s="67">
        <v>0</v>
      </c>
      <c r="W401" s="67">
        <f t="shared" si="12"/>
        <v>0</v>
      </c>
      <c r="X401" s="67">
        <v>0</v>
      </c>
      <c r="Z401" s="67" t="s">
        <v>1883</v>
      </c>
      <c r="AC401" s="69" t="s">
        <v>2557</v>
      </c>
    </row>
    <row r="402" ht="52.8" spans="1:29">
      <c r="A402" s="29">
        <v>10039921</v>
      </c>
      <c r="B402" s="30">
        <v>4</v>
      </c>
      <c r="C402" s="63" t="s">
        <v>2558</v>
      </c>
      <c r="D402" s="64" t="s">
        <v>1801</v>
      </c>
      <c r="E402" s="65">
        <v>0</v>
      </c>
      <c r="F402" s="65">
        <v>1</v>
      </c>
      <c r="G402" s="30">
        <v>2</v>
      </c>
      <c r="H402" s="30">
        <v>0</v>
      </c>
      <c r="I402" s="30">
        <v>3</v>
      </c>
      <c r="J402" s="30">
        <v>0</v>
      </c>
      <c r="K402" s="30">
        <v>0</v>
      </c>
      <c r="L402" s="30" t="s">
        <v>1802</v>
      </c>
      <c r="M402" s="30">
        <v>0</v>
      </c>
      <c r="N402" s="30">
        <v>3</v>
      </c>
      <c r="O402" s="66">
        <v>0</v>
      </c>
      <c r="P402" s="30">
        <v>0</v>
      </c>
      <c r="Q402" s="30">
        <v>0</v>
      </c>
      <c r="R402" s="30">
        <v>0</v>
      </c>
      <c r="S402" s="30">
        <v>1</v>
      </c>
      <c r="T402" s="30">
        <v>0</v>
      </c>
      <c r="U402" s="31">
        <v>0</v>
      </c>
      <c r="V402" s="67">
        <v>0</v>
      </c>
      <c r="W402" s="67">
        <f t="shared" si="12"/>
        <v>0</v>
      </c>
      <c r="X402" s="67">
        <v>0</v>
      </c>
      <c r="Z402" s="67" t="s">
        <v>1803</v>
      </c>
      <c r="AC402" s="69" t="s">
        <v>2559</v>
      </c>
    </row>
    <row r="403" ht="26.4" spans="1:29">
      <c r="A403" s="29">
        <v>10040021</v>
      </c>
      <c r="B403" s="30">
        <v>5</v>
      </c>
      <c r="C403" s="63" t="s">
        <v>2560</v>
      </c>
      <c r="D403" s="64" t="s">
        <v>2089</v>
      </c>
      <c r="E403" s="65">
        <v>0</v>
      </c>
      <c r="F403" s="65">
        <v>0</v>
      </c>
      <c r="G403" s="30">
        <v>0</v>
      </c>
      <c r="H403" s="30">
        <v>0</v>
      </c>
      <c r="I403" s="30">
        <v>2</v>
      </c>
      <c r="J403" s="30">
        <v>0</v>
      </c>
      <c r="K403" s="30">
        <v>0</v>
      </c>
      <c r="L403" s="30" t="s">
        <v>1802</v>
      </c>
      <c r="M403" s="30">
        <v>0</v>
      </c>
      <c r="N403" s="30">
        <v>0</v>
      </c>
      <c r="O403" s="66">
        <v>11</v>
      </c>
      <c r="P403" s="30">
        <v>0</v>
      </c>
      <c r="Q403" s="30">
        <v>0</v>
      </c>
      <c r="R403" s="30">
        <v>0</v>
      </c>
      <c r="S403" s="30">
        <v>1</v>
      </c>
      <c r="T403" s="30">
        <v>0</v>
      </c>
      <c r="U403" s="31">
        <v>0</v>
      </c>
      <c r="V403" s="67">
        <v>5</v>
      </c>
      <c r="W403" s="67">
        <f t="shared" si="12"/>
        <v>0</v>
      </c>
      <c r="X403" s="67">
        <v>0</v>
      </c>
      <c r="Y403" s="67" t="s">
        <v>1913</v>
      </c>
      <c r="Z403" s="67" t="s">
        <v>2090</v>
      </c>
      <c r="AC403" s="69" t="s">
        <v>2538</v>
      </c>
    </row>
    <row r="404" ht="39.6" spans="1:29">
      <c r="A404" s="29">
        <v>10040121</v>
      </c>
      <c r="B404" s="30">
        <v>4</v>
      </c>
      <c r="C404" s="63" t="s">
        <v>2561</v>
      </c>
      <c r="D404" s="64" t="s">
        <v>1881</v>
      </c>
      <c r="E404" s="65">
        <v>0</v>
      </c>
      <c r="F404" s="65">
        <v>3</v>
      </c>
      <c r="G404" s="30">
        <v>0</v>
      </c>
      <c r="H404" s="30">
        <v>0</v>
      </c>
      <c r="I404" s="30">
        <v>0</v>
      </c>
      <c r="J404" s="30">
        <v>0</v>
      </c>
      <c r="K404" s="30">
        <v>2</v>
      </c>
      <c r="L404" s="30" t="s">
        <v>1802</v>
      </c>
      <c r="M404" s="30">
        <v>2</v>
      </c>
      <c r="N404" s="30">
        <v>0</v>
      </c>
      <c r="O404" s="66">
        <v>0</v>
      </c>
      <c r="P404" s="30">
        <v>0</v>
      </c>
      <c r="Q404" s="30">
        <v>0</v>
      </c>
      <c r="R404" s="30">
        <v>9</v>
      </c>
      <c r="S404" s="30">
        <v>3.1</v>
      </c>
      <c r="T404" s="30">
        <v>0.35</v>
      </c>
      <c r="U404" s="31">
        <v>0</v>
      </c>
      <c r="V404" s="67">
        <v>0</v>
      </c>
      <c r="W404" s="67">
        <f>9*3.1*2.5</f>
        <v>69.75</v>
      </c>
      <c r="X404" s="67">
        <f>9+MAX($X$2,0.35)*9*$X$1</f>
        <v>52.2</v>
      </c>
      <c r="Y404" s="67" t="s">
        <v>1898</v>
      </c>
      <c r="Z404" s="67" t="s">
        <v>1883</v>
      </c>
      <c r="AC404" s="69" t="s">
        <v>2207</v>
      </c>
    </row>
    <row r="405" ht="39.6" spans="1:29">
      <c r="A405" s="29">
        <v>10040221</v>
      </c>
      <c r="B405" s="30">
        <v>5</v>
      </c>
      <c r="C405" s="63" t="s">
        <v>2562</v>
      </c>
      <c r="D405" s="64" t="s">
        <v>1805</v>
      </c>
      <c r="E405" s="65">
        <v>0</v>
      </c>
      <c r="F405" s="65">
        <v>2</v>
      </c>
      <c r="G405" s="30">
        <v>0</v>
      </c>
      <c r="H405" s="30">
        <v>0</v>
      </c>
      <c r="I405" s="30">
        <v>0</v>
      </c>
      <c r="J405" s="30">
        <v>0</v>
      </c>
      <c r="K405" s="30">
        <v>0</v>
      </c>
      <c r="L405" s="30" t="s">
        <v>115</v>
      </c>
      <c r="M405" s="30">
        <v>0</v>
      </c>
      <c r="N405" s="30">
        <v>0</v>
      </c>
      <c r="O405" s="66">
        <v>0</v>
      </c>
      <c r="P405" s="30">
        <v>0</v>
      </c>
      <c r="Q405" s="30">
        <v>0</v>
      </c>
      <c r="R405" s="30">
        <v>14</v>
      </c>
      <c r="S405" s="30">
        <v>3.2</v>
      </c>
      <c r="T405" s="30">
        <v>0.4</v>
      </c>
      <c r="U405" s="31">
        <v>0</v>
      </c>
      <c r="V405" s="67">
        <v>0</v>
      </c>
      <c r="W405" s="67">
        <f>14*3.2*2.5</f>
        <v>112</v>
      </c>
      <c r="X405" s="67">
        <f>14+MAX($X$2,0.4)*14*$X$1</f>
        <v>81.2</v>
      </c>
      <c r="Y405" s="67" t="s">
        <v>2563</v>
      </c>
      <c r="Z405" s="67" t="s">
        <v>1807</v>
      </c>
      <c r="AC405" s="69" t="s">
        <v>2564</v>
      </c>
    </row>
    <row r="406" ht="39.6" spans="1:29">
      <c r="A406" s="29">
        <v>10040321</v>
      </c>
      <c r="B406" s="30">
        <v>5</v>
      </c>
      <c r="C406" s="63" t="s">
        <v>2565</v>
      </c>
      <c r="D406" s="64" t="s">
        <v>1927</v>
      </c>
      <c r="E406" s="65">
        <v>0</v>
      </c>
      <c r="F406" s="65">
        <v>0</v>
      </c>
      <c r="G406" s="30">
        <v>0</v>
      </c>
      <c r="H406" s="30">
        <v>0</v>
      </c>
      <c r="I406" s="30">
        <v>0</v>
      </c>
      <c r="J406" s="30">
        <v>0</v>
      </c>
      <c r="K406" s="30">
        <v>2</v>
      </c>
      <c r="L406" s="30" t="s">
        <v>1802</v>
      </c>
      <c r="M406" s="30">
        <v>0</v>
      </c>
      <c r="N406" s="30">
        <v>0</v>
      </c>
      <c r="O406" s="66">
        <v>10</v>
      </c>
      <c r="P406" s="30">
        <v>0</v>
      </c>
      <c r="Q406" s="30">
        <v>0</v>
      </c>
      <c r="R406" s="30">
        <v>0</v>
      </c>
      <c r="S406" s="30">
        <v>0</v>
      </c>
      <c r="T406" s="30">
        <v>0</v>
      </c>
      <c r="U406" s="31">
        <v>0</v>
      </c>
      <c r="V406" s="67">
        <v>6</v>
      </c>
      <c r="W406" s="67">
        <f>0*0*2.5</f>
        <v>0</v>
      </c>
      <c r="X406" s="67">
        <v>0</v>
      </c>
      <c r="Y406" s="67" t="s">
        <v>2566</v>
      </c>
      <c r="Z406" s="67" t="s">
        <v>1909</v>
      </c>
      <c r="AC406" s="69" t="s">
        <v>2567</v>
      </c>
    </row>
    <row r="407" ht="39.6" spans="1:29">
      <c r="A407" s="29">
        <v>10040421</v>
      </c>
      <c r="B407" s="30">
        <v>4</v>
      </c>
      <c r="C407" s="63" t="s">
        <v>2568</v>
      </c>
      <c r="D407" s="64" t="s">
        <v>1845</v>
      </c>
      <c r="E407" s="65">
        <v>0</v>
      </c>
      <c r="F407" s="65">
        <v>22</v>
      </c>
      <c r="G407" s="30">
        <v>0</v>
      </c>
      <c r="H407" s="30">
        <v>0</v>
      </c>
      <c r="I407" s="30">
        <v>0</v>
      </c>
      <c r="J407" s="30">
        <v>3</v>
      </c>
      <c r="K407" s="30">
        <v>7</v>
      </c>
      <c r="L407" s="30" t="s">
        <v>52</v>
      </c>
      <c r="M407" s="30">
        <v>0</v>
      </c>
      <c r="N407" s="30">
        <v>3</v>
      </c>
      <c r="O407" s="66">
        <v>0</v>
      </c>
      <c r="P407" s="30">
        <v>0</v>
      </c>
      <c r="Q407" s="30">
        <v>0</v>
      </c>
      <c r="R407" s="30">
        <v>4</v>
      </c>
      <c r="S407" s="30">
        <v>1</v>
      </c>
      <c r="T407" s="30">
        <v>0.25</v>
      </c>
      <c r="U407" s="31">
        <v>0</v>
      </c>
      <c r="V407" s="67">
        <v>0</v>
      </c>
      <c r="W407" s="67">
        <f>4*1*2.5</f>
        <v>10</v>
      </c>
      <c r="X407" s="67">
        <f>4+MAX($X$2,0.25)*4*$X$1</f>
        <v>23.2</v>
      </c>
      <c r="Y407" s="67" t="s">
        <v>1851</v>
      </c>
      <c r="Z407" s="67" t="s">
        <v>1846</v>
      </c>
      <c r="AC407" s="69" t="s">
        <v>2569</v>
      </c>
    </row>
    <row r="408" ht="39.6" spans="1:28">
      <c r="A408" s="29">
        <v>10040521</v>
      </c>
      <c r="B408" s="30">
        <v>4</v>
      </c>
      <c r="C408" s="63" t="s">
        <v>2570</v>
      </c>
      <c r="D408" s="64" t="s">
        <v>2283</v>
      </c>
      <c r="E408" s="65">
        <v>0</v>
      </c>
      <c r="F408" s="65">
        <v>15</v>
      </c>
      <c r="G408" s="30">
        <v>0</v>
      </c>
      <c r="H408" s="30">
        <v>0</v>
      </c>
      <c r="I408" s="30">
        <v>0</v>
      </c>
      <c r="J408" s="30">
        <v>0</v>
      </c>
      <c r="K408" s="30">
        <v>0</v>
      </c>
      <c r="L408" s="30" t="s">
        <v>1802</v>
      </c>
      <c r="M408" s="30">
        <v>0</v>
      </c>
      <c r="N408" s="30">
        <v>0</v>
      </c>
      <c r="O408" s="66">
        <v>0</v>
      </c>
      <c r="P408" s="30">
        <v>20</v>
      </c>
      <c r="Q408" s="30">
        <v>0</v>
      </c>
      <c r="R408" s="30">
        <v>15</v>
      </c>
      <c r="S408" s="30">
        <v>3.7</v>
      </c>
      <c r="T408" s="30">
        <v>0.65</v>
      </c>
      <c r="U408" s="31">
        <v>0</v>
      </c>
      <c r="V408" s="67">
        <v>9</v>
      </c>
      <c r="W408" s="67">
        <f>15*3.7*2.5</f>
        <v>138.75</v>
      </c>
      <c r="X408" s="67">
        <f>15+MAX($X$2,0.65)*15*$X$1</f>
        <v>87</v>
      </c>
      <c r="Y408" s="67" t="s">
        <v>2571</v>
      </c>
      <c r="Z408" s="67" t="s">
        <v>2280</v>
      </c>
      <c r="AB408" s="69" t="s">
        <v>1035</v>
      </c>
    </row>
    <row r="409" spans="1:28">
      <c r="A409" s="29">
        <v>10040621</v>
      </c>
      <c r="B409" s="30">
        <v>4</v>
      </c>
      <c r="C409" s="63" t="s">
        <v>2572</v>
      </c>
      <c r="D409" s="64" t="s">
        <v>2279</v>
      </c>
      <c r="E409" s="65">
        <v>0</v>
      </c>
      <c r="F409" s="65">
        <v>0</v>
      </c>
      <c r="G409" s="30">
        <v>0</v>
      </c>
      <c r="H409" s="30">
        <v>0</v>
      </c>
      <c r="I409" s="30">
        <v>0</v>
      </c>
      <c r="J409" s="30">
        <v>0</v>
      </c>
      <c r="K409" s="30">
        <v>2</v>
      </c>
      <c r="L409" s="30" t="s">
        <v>1802</v>
      </c>
      <c r="M409" s="30">
        <v>2</v>
      </c>
      <c r="N409" s="30">
        <v>0</v>
      </c>
      <c r="O409" s="66">
        <v>0</v>
      </c>
      <c r="P409" s="30">
        <v>0</v>
      </c>
      <c r="Q409" s="30">
        <v>0</v>
      </c>
      <c r="R409" s="30">
        <v>0</v>
      </c>
      <c r="S409" s="30">
        <v>0</v>
      </c>
      <c r="T409" s="30">
        <v>0</v>
      </c>
      <c r="U409" s="31">
        <v>0</v>
      </c>
      <c r="V409" s="67">
        <v>0</v>
      </c>
      <c r="W409" s="67">
        <f>0*0*2.5</f>
        <v>0</v>
      </c>
      <c r="X409" s="67">
        <v>0</v>
      </c>
      <c r="Z409" s="67" t="s">
        <v>2280</v>
      </c>
      <c r="AB409" s="69" t="s">
        <v>2573</v>
      </c>
    </row>
    <row r="410" ht="39.6" spans="1:28">
      <c r="A410" s="29">
        <v>10040721</v>
      </c>
      <c r="B410" s="30">
        <v>5</v>
      </c>
      <c r="C410" s="63" t="s">
        <v>2574</v>
      </c>
      <c r="D410" s="64" t="s">
        <v>2575</v>
      </c>
      <c r="E410" s="65">
        <v>0</v>
      </c>
      <c r="F410" s="65">
        <v>20</v>
      </c>
      <c r="G410" s="30">
        <v>0</v>
      </c>
      <c r="H410" s="30">
        <v>0</v>
      </c>
      <c r="I410" s="30">
        <v>0</v>
      </c>
      <c r="J410" s="30">
        <v>0</v>
      </c>
      <c r="K410" s="30">
        <v>0</v>
      </c>
      <c r="L410" s="30" t="s">
        <v>1802</v>
      </c>
      <c r="M410" s="30">
        <v>0</v>
      </c>
      <c r="N410" s="30">
        <v>0</v>
      </c>
      <c r="O410" s="66">
        <v>0</v>
      </c>
      <c r="P410" s="30">
        <v>24</v>
      </c>
      <c r="Q410" s="30">
        <v>0</v>
      </c>
      <c r="R410" s="30">
        <v>18</v>
      </c>
      <c r="S410" s="30">
        <v>3.8</v>
      </c>
      <c r="T410" s="30">
        <v>0.78</v>
      </c>
      <c r="U410" s="31">
        <v>0</v>
      </c>
      <c r="V410" s="67">
        <v>10</v>
      </c>
      <c r="W410" s="67">
        <f>18*3.8*2.5</f>
        <v>171</v>
      </c>
      <c r="X410" s="67">
        <f>18+MAX($X$2,0.78)*18*$X$1</f>
        <v>104.4</v>
      </c>
      <c r="Y410" s="67" t="s">
        <v>2576</v>
      </c>
      <c r="Z410" s="67" t="s">
        <v>2577</v>
      </c>
      <c r="AB410" s="69" t="s">
        <v>1267</v>
      </c>
    </row>
    <row r="411" spans="1:28">
      <c r="A411" s="29">
        <v>10040821</v>
      </c>
      <c r="B411" s="30">
        <v>5</v>
      </c>
      <c r="C411" s="63" t="s">
        <v>2578</v>
      </c>
      <c r="D411" s="64" t="s">
        <v>2279</v>
      </c>
      <c r="E411" s="65">
        <v>0</v>
      </c>
      <c r="F411" s="65">
        <v>0</v>
      </c>
      <c r="G411" s="30">
        <v>0</v>
      </c>
      <c r="H411" s="30">
        <v>0</v>
      </c>
      <c r="I411" s="30">
        <v>0</v>
      </c>
      <c r="J411" s="30">
        <v>0</v>
      </c>
      <c r="K411" s="30">
        <v>3</v>
      </c>
      <c r="L411" s="30" t="s">
        <v>1802</v>
      </c>
      <c r="M411" s="30">
        <v>-2</v>
      </c>
      <c r="N411" s="30">
        <v>0</v>
      </c>
      <c r="O411" s="66">
        <v>0</v>
      </c>
      <c r="P411" s="30">
        <v>0</v>
      </c>
      <c r="Q411" s="30">
        <v>0</v>
      </c>
      <c r="R411" s="30">
        <v>0</v>
      </c>
      <c r="S411" s="30">
        <v>0</v>
      </c>
      <c r="T411" s="30">
        <v>0</v>
      </c>
      <c r="U411" s="31">
        <v>0</v>
      </c>
      <c r="V411" s="67">
        <v>0</v>
      </c>
      <c r="W411" s="67">
        <f>0*0*2.5</f>
        <v>0</v>
      </c>
      <c r="X411" s="67">
        <v>0</v>
      </c>
      <c r="Z411" s="67" t="s">
        <v>2577</v>
      </c>
      <c r="AB411" s="69" t="s">
        <v>1267</v>
      </c>
    </row>
    <row r="412" ht="39.6" spans="1:28">
      <c r="A412" s="29">
        <v>10040921</v>
      </c>
      <c r="B412" s="30">
        <v>5</v>
      </c>
      <c r="C412" s="63" t="s">
        <v>2579</v>
      </c>
      <c r="D412" s="64" t="s">
        <v>1881</v>
      </c>
      <c r="E412" s="65">
        <v>0</v>
      </c>
      <c r="F412" s="65">
        <v>2</v>
      </c>
      <c r="G412" s="30">
        <v>0</v>
      </c>
      <c r="H412" s="30">
        <v>0</v>
      </c>
      <c r="I412" s="30">
        <v>0</v>
      </c>
      <c r="J412" s="30">
        <v>0</v>
      </c>
      <c r="K412" s="30">
        <v>0</v>
      </c>
      <c r="L412" s="30" t="s">
        <v>115</v>
      </c>
      <c r="M412" s="30">
        <v>1</v>
      </c>
      <c r="N412" s="30">
        <v>0</v>
      </c>
      <c r="O412" s="66">
        <v>0</v>
      </c>
      <c r="P412" s="30">
        <v>0</v>
      </c>
      <c r="Q412" s="30">
        <v>0</v>
      </c>
      <c r="R412" s="30">
        <v>9</v>
      </c>
      <c r="S412" s="30">
        <v>3</v>
      </c>
      <c r="T412" s="30">
        <v>0.38</v>
      </c>
      <c r="U412" s="31">
        <v>0</v>
      </c>
      <c r="V412" s="67">
        <v>0</v>
      </c>
      <c r="W412" s="67">
        <f>9*3*2.5</f>
        <v>67.5</v>
      </c>
      <c r="X412" s="67">
        <f>9+MAX($X$2,0.38)*9*$X$1</f>
        <v>52.2</v>
      </c>
      <c r="Y412" s="67" t="s">
        <v>2580</v>
      </c>
      <c r="Z412" s="67" t="s">
        <v>1883</v>
      </c>
      <c r="AB412" s="69" t="s">
        <v>1617</v>
      </c>
    </row>
    <row r="413" ht="39.6" spans="1:29">
      <c r="A413" s="29">
        <v>10041021</v>
      </c>
      <c r="B413" s="30">
        <v>5</v>
      </c>
      <c r="C413" s="63" t="s">
        <v>2581</v>
      </c>
      <c r="D413" s="64" t="s">
        <v>2575</v>
      </c>
      <c r="E413" s="65">
        <v>0</v>
      </c>
      <c r="F413" s="65">
        <v>26</v>
      </c>
      <c r="G413" s="30">
        <v>0</v>
      </c>
      <c r="H413" s="30">
        <v>0</v>
      </c>
      <c r="I413" s="30">
        <v>0</v>
      </c>
      <c r="J413" s="30">
        <v>0</v>
      </c>
      <c r="K413" s="30">
        <v>0</v>
      </c>
      <c r="L413" s="30" t="s">
        <v>1802</v>
      </c>
      <c r="M413" s="30">
        <v>0</v>
      </c>
      <c r="N413" s="30">
        <v>0</v>
      </c>
      <c r="O413" s="66">
        <v>0</v>
      </c>
      <c r="P413" s="30">
        <v>20</v>
      </c>
      <c r="Q413" s="30">
        <v>0</v>
      </c>
      <c r="R413" s="30">
        <v>8</v>
      </c>
      <c r="S413" s="30">
        <v>3</v>
      </c>
      <c r="T413" s="30">
        <v>0.6</v>
      </c>
      <c r="U413" s="31">
        <v>0</v>
      </c>
      <c r="V413" s="67">
        <v>9</v>
      </c>
      <c r="W413" s="67">
        <f>8*3*2.5</f>
        <v>60</v>
      </c>
      <c r="X413" s="67">
        <f>8+MAX($X$2,0.6)*8*$X$1</f>
        <v>46.4</v>
      </c>
      <c r="Y413" s="67" t="s">
        <v>2582</v>
      </c>
      <c r="Z413" s="67" t="s">
        <v>2577</v>
      </c>
      <c r="AB413" s="69" t="s">
        <v>779</v>
      </c>
      <c r="AC413" s="69" t="s">
        <v>2216</v>
      </c>
    </row>
    <row r="414" ht="39.6" spans="1:29">
      <c r="A414" s="29">
        <v>10041121</v>
      </c>
      <c r="B414" s="30">
        <v>5</v>
      </c>
      <c r="C414" s="63" t="s">
        <v>2583</v>
      </c>
      <c r="D414" s="64" t="s">
        <v>1832</v>
      </c>
      <c r="E414" s="65">
        <v>0</v>
      </c>
      <c r="F414" s="65">
        <v>10</v>
      </c>
      <c r="G414" s="30">
        <v>0</v>
      </c>
      <c r="H414" s="30">
        <v>0</v>
      </c>
      <c r="I414" s="30">
        <v>0</v>
      </c>
      <c r="J414" s="30">
        <v>0</v>
      </c>
      <c r="K414" s="30">
        <v>5</v>
      </c>
      <c r="L414" s="30" t="s">
        <v>158</v>
      </c>
      <c r="M414" s="30">
        <v>0</v>
      </c>
      <c r="N414" s="30">
        <v>0</v>
      </c>
      <c r="O414" s="66">
        <v>0</v>
      </c>
      <c r="P414" s="30">
        <v>0</v>
      </c>
      <c r="Q414" s="30">
        <v>0</v>
      </c>
      <c r="R414" s="30">
        <v>3</v>
      </c>
      <c r="S414" s="30">
        <v>1.2</v>
      </c>
      <c r="T414" s="30">
        <v>0</v>
      </c>
      <c r="U414" s="31">
        <v>0</v>
      </c>
      <c r="V414" s="67">
        <v>0</v>
      </c>
      <c r="W414" s="67">
        <f>3*1.2*2.5</f>
        <v>9</v>
      </c>
      <c r="X414" s="67">
        <v>3</v>
      </c>
      <c r="Y414" s="67" t="s">
        <v>2584</v>
      </c>
      <c r="Z414" s="67" t="s">
        <v>2585</v>
      </c>
      <c r="AC414" s="69" t="s">
        <v>2375</v>
      </c>
    </row>
    <row r="415" ht="26.4" spans="1:28">
      <c r="A415" s="29">
        <v>10041221</v>
      </c>
      <c r="B415" s="30">
        <v>5</v>
      </c>
      <c r="C415" s="63" t="s">
        <v>2586</v>
      </c>
      <c r="D415" s="64" t="s">
        <v>1845</v>
      </c>
      <c r="E415" s="65">
        <v>0</v>
      </c>
      <c r="F415" s="65">
        <v>16</v>
      </c>
      <c r="G415" s="30">
        <v>0</v>
      </c>
      <c r="H415" s="30">
        <v>0</v>
      </c>
      <c r="I415" s="30">
        <v>0</v>
      </c>
      <c r="J415" s="30">
        <v>0</v>
      </c>
      <c r="K415" s="30">
        <v>0</v>
      </c>
      <c r="L415" s="30" t="s">
        <v>1022</v>
      </c>
      <c r="M415" s="30">
        <v>0</v>
      </c>
      <c r="N415" s="30">
        <v>0</v>
      </c>
      <c r="O415" s="66">
        <v>0</v>
      </c>
      <c r="P415" s="30">
        <v>0</v>
      </c>
      <c r="Q415" s="30">
        <v>0</v>
      </c>
      <c r="R415" s="30">
        <v>0</v>
      </c>
      <c r="S415" s="30">
        <v>1</v>
      </c>
      <c r="T415" s="30">
        <v>0</v>
      </c>
      <c r="U415" s="31">
        <v>0</v>
      </c>
      <c r="V415" s="67">
        <v>0</v>
      </c>
      <c r="W415" s="67">
        <f>0*1*2.5</f>
        <v>0</v>
      </c>
      <c r="X415" s="67">
        <v>0</v>
      </c>
      <c r="Z415" s="67" t="s">
        <v>1846</v>
      </c>
      <c r="AB415" s="69" t="s">
        <v>1021</v>
      </c>
    </row>
    <row r="416" ht="26.4" spans="1:28">
      <c r="A416" s="29">
        <v>10041321</v>
      </c>
      <c r="B416" s="30">
        <v>5</v>
      </c>
      <c r="C416" s="63" t="s">
        <v>2587</v>
      </c>
      <c r="D416" s="64" t="s">
        <v>2275</v>
      </c>
      <c r="E416" s="65">
        <v>0</v>
      </c>
      <c r="F416" s="65">
        <v>21</v>
      </c>
      <c r="G416" s="30">
        <v>0</v>
      </c>
      <c r="H416" s="30">
        <v>0</v>
      </c>
      <c r="I416" s="30">
        <v>0</v>
      </c>
      <c r="J416" s="30">
        <v>0</v>
      </c>
      <c r="K416" s="30">
        <v>0</v>
      </c>
      <c r="L416" s="30" t="s">
        <v>1802</v>
      </c>
      <c r="M416" s="30">
        <v>0</v>
      </c>
      <c r="N416" s="30">
        <v>0</v>
      </c>
      <c r="O416" s="66">
        <v>0</v>
      </c>
      <c r="P416" s="30">
        <v>0</v>
      </c>
      <c r="Q416" s="30">
        <v>25</v>
      </c>
      <c r="R416" s="30">
        <v>0</v>
      </c>
      <c r="S416" s="30">
        <v>1</v>
      </c>
      <c r="T416" s="30">
        <v>0</v>
      </c>
      <c r="U416" s="31">
        <v>0</v>
      </c>
      <c r="V416" s="67">
        <v>10</v>
      </c>
      <c r="W416" s="67">
        <f>0*1*2.5</f>
        <v>0</v>
      </c>
      <c r="X416" s="67">
        <v>0</v>
      </c>
      <c r="Y416" s="67" t="s">
        <v>2276</v>
      </c>
      <c r="Z416" s="67" t="s">
        <v>2272</v>
      </c>
      <c r="AB416" s="69" t="s">
        <v>1031</v>
      </c>
    </row>
    <row r="417" spans="1:28">
      <c r="A417" s="29">
        <v>10041421</v>
      </c>
      <c r="B417" s="30">
        <v>4</v>
      </c>
      <c r="C417" s="63" t="s">
        <v>2588</v>
      </c>
      <c r="D417" s="64" t="s">
        <v>2271</v>
      </c>
      <c r="E417" s="65">
        <v>0</v>
      </c>
      <c r="F417" s="65">
        <v>0</v>
      </c>
      <c r="G417" s="30">
        <v>0</v>
      </c>
      <c r="H417" s="30">
        <v>0</v>
      </c>
      <c r="I417" s="30">
        <v>0</v>
      </c>
      <c r="J417" s="30">
        <v>0</v>
      </c>
      <c r="K417" s="30">
        <v>0</v>
      </c>
      <c r="L417" s="30" t="s">
        <v>1802</v>
      </c>
      <c r="M417" s="30">
        <v>2</v>
      </c>
      <c r="N417" s="30">
        <v>0</v>
      </c>
      <c r="O417" s="66">
        <v>0</v>
      </c>
      <c r="P417" s="30">
        <v>0</v>
      </c>
      <c r="Q417" s="30">
        <v>0</v>
      </c>
      <c r="R417" s="30">
        <v>0</v>
      </c>
      <c r="S417" s="30">
        <v>1</v>
      </c>
      <c r="T417" s="30">
        <v>0</v>
      </c>
      <c r="U417" s="31">
        <v>0</v>
      </c>
      <c r="V417" s="67">
        <v>0</v>
      </c>
      <c r="W417" s="67">
        <f>0*1*2.5</f>
        <v>0</v>
      </c>
      <c r="X417" s="67">
        <v>0</v>
      </c>
      <c r="Z417" s="67" t="s">
        <v>2272</v>
      </c>
      <c r="AB417" s="69" t="s">
        <v>1031</v>
      </c>
    </row>
    <row r="418" ht="39.6" spans="1:29">
      <c r="A418" s="29">
        <v>10041521</v>
      </c>
      <c r="B418" s="30">
        <v>5</v>
      </c>
      <c r="C418" s="63" t="s">
        <v>2589</v>
      </c>
      <c r="D418" s="64" t="s">
        <v>14</v>
      </c>
      <c r="E418" s="65">
        <v>0</v>
      </c>
      <c r="F418" s="65">
        <v>0</v>
      </c>
      <c r="G418" s="30">
        <v>0</v>
      </c>
      <c r="H418" s="30">
        <v>11</v>
      </c>
      <c r="I418" s="30">
        <v>10</v>
      </c>
      <c r="J418" s="30">
        <v>0</v>
      </c>
      <c r="K418" s="30">
        <v>0</v>
      </c>
      <c r="L418" s="30" t="s">
        <v>1802</v>
      </c>
      <c r="M418" s="30">
        <v>0</v>
      </c>
      <c r="N418" s="30">
        <v>0</v>
      </c>
      <c r="O418" s="66">
        <v>0</v>
      </c>
      <c r="P418" s="30">
        <v>0</v>
      </c>
      <c r="Q418" s="30">
        <v>0</v>
      </c>
      <c r="R418" s="30">
        <v>0</v>
      </c>
      <c r="S418" s="30">
        <v>1</v>
      </c>
      <c r="T418" s="30">
        <v>0</v>
      </c>
      <c r="U418" s="31">
        <v>0</v>
      </c>
      <c r="V418" s="67">
        <v>0</v>
      </c>
      <c r="W418" s="67">
        <f>0*1*2.5</f>
        <v>0</v>
      </c>
      <c r="X418" s="67">
        <v>0</v>
      </c>
      <c r="Z418" s="67" t="s">
        <v>1980</v>
      </c>
      <c r="AC418" s="69" t="s">
        <v>2590</v>
      </c>
    </row>
    <row r="419" ht="39.6" spans="1:29">
      <c r="A419" s="29">
        <v>10041621</v>
      </c>
      <c r="B419" s="30">
        <v>4</v>
      </c>
      <c r="C419" s="63" t="s">
        <v>2591</v>
      </c>
      <c r="D419" s="64" t="s">
        <v>1952</v>
      </c>
      <c r="E419" s="65">
        <v>0</v>
      </c>
      <c r="F419" s="65">
        <v>0</v>
      </c>
      <c r="G419" s="30">
        <v>0</v>
      </c>
      <c r="H419" s="30">
        <v>0</v>
      </c>
      <c r="I419" s="30">
        <v>5</v>
      </c>
      <c r="J419" s="30">
        <v>3</v>
      </c>
      <c r="K419" s="30">
        <v>0</v>
      </c>
      <c r="L419" s="30" t="s">
        <v>1802</v>
      </c>
      <c r="M419" s="30">
        <v>0</v>
      </c>
      <c r="N419" s="30">
        <v>2</v>
      </c>
      <c r="O419" s="66">
        <v>0</v>
      </c>
      <c r="P419" s="30">
        <v>0</v>
      </c>
      <c r="Q419" s="30">
        <v>0</v>
      </c>
      <c r="R419" s="30">
        <v>8</v>
      </c>
      <c r="S419" s="30">
        <v>1</v>
      </c>
      <c r="T419" s="30">
        <v>0</v>
      </c>
      <c r="U419" s="31">
        <v>0</v>
      </c>
      <c r="V419" s="67">
        <v>4</v>
      </c>
      <c r="W419" s="67">
        <f>8*1*2.5</f>
        <v>20</v>
      </c>
      <c r="X419" s="67">
        <v>8</v>
      </c>
      <c r="Y419" s="67" t="s">
        <v>1908</v>
      </c>
      <c r="Z419" s="67" t="s">
        <v>1953</v>
      </c>
      <c r="AC419" s="69" t="s">
        <v>2592</v>
      </c>
    </row>
    <row r="420" ht="39.6" spans="1:29">
      <c r="A420" s="29">
        <v>10041721</v>
      </c>
      <c r="B420" s="30">
        <v>6</v>
      </c>
      <c r="C420" s="63" t="s">
        <v>2593</v>
      </c>
      <c r="D420" s="64" t="s">
        <v>1845</v>
      </c>
      <c r="E420" s="65">
        <v>0</v>
      </c>
      <c r="F420" s="65">
        <v>27</v>
      </c>
      <c r="G420" s="30">
        <v>0</v>
      </c>
      <c r="H420" s="30">
        <v>0</v>
      </c>
      <c r="I420" s="30">
        <v>0</v>
      </c>
      <c r="J420" s="30">
        <v>0</v>
      </c>
      <c r="K420" s="30">
        <v>3</v>
      </c>
      <c r="L420" s="30" t="s">
        <v>52</v>
      </c>
      <c r="M420" s="30">
        <v>0</v>
      </c>
      <c r="N420" s="30">
        <v>0</v>
      </c>
      <c r="O420" s="66">
        <v>0</v>
      </c>
      <c r="P420" s="30">
        <v>0</v>
      </c>
      <c r="Q420" s="30">
        <v>0</v>
      </c>
      <c r="R420" s="30">
        <v>0</v>
      </c>
      <c r="S420" s="30">
        <v>1</v>
      </c>
      <c r="T420" s="30">
        <v>0</v>
      </c>
      <c r="U420" s="31">
        <v>0</v>
      </c>
      <c r="V420" s="67">
        <v>0</v>
      </c>
      <c r="W420" s="67">
        <f>0*1*2.5</f>
        <v>0</v>
      </c>
      <c r="X420" s="67">
        <v>0</v>
      </c>
      <c r="Z420" s="67" t="s">
        <v>1846</v>
      </c>
      <c r="AC420" s="69" t="s">
        <v>2594</v>
      </c>
    </row>
    <row r="421" ht="26.4" spans="1:28">
      <c r="A421" s="29">
        <v>10041821</v>
      </c>
      <c r="B421" s="30">
        <v>5</v>
      </c>
      <c r="C421" s="63" t="s">
        <v>2595</v>
      </c>
      <c r="D421" s="64" t="s">
        <v>1927</v>
      </c>
      <c r="E421" s="65">
        <v>0</v>
      </c>
      <c r="F421" s="65">
        <v>0</v>
      </c>
      <c r="G421" s="30">
        <v>0</v>
      </c>
      <c r="H421" s="30">
        <v>0</v>
      </c>
      <c r="I421" s="30">
        <v>0</v>
      </c>
      <c r="J421" s="30">
        <v>3</v>
      </c>
      <c r="K421" s="30">
        <v>0</v>
      </c>
      <c r="L421" s="30" t="s">
        <v>1802</v>
      </c>
      <c r="M421" s="30">
        <v>0</v>
      </c>
      <c r="N421" s="30">
        <v>2</v>
      </c>
      <c r="O421" s="66">
        <v>11</v>
      </c>
      <c r="P421" s="30">
        <v>0</v>
      </c>
      <c r="Q421" s="30">
        <v>0</v>
      </c>
      <c r="R421" s="30">
        <v>5</v>
      </c>
      <c r="S421" s="30">
        <v>1</v>
      </c>
      <c r="T421" s="30">
        <v>0</v>
      </c>
      <c r="U421" s="31">
        <v>0</v>
      </c>
      <c r="V421" s="67">
        <v>6</v>
      </c>
      <c r="W421" s="67">
        <f>5*1*2.5</f>
        <v>12.5</v>
      </c>
      <c r="X421" s="67">
        <v>5</v>
      </c>
      <c r="Y421" s="67" t="s">
        <v>1920</v>
      </c>
      <c r="Z421" s="67" t="s">
        <v>1909</v>
      </c>
      <c r="AB421" s="69" t="s">
        <v>1522</v>
      </c>
    </row>
    <row r="422" ht="26.4" spans="1:28">
      <c r="A422" s="29">
        <v>10041921</v>
      </c>
      <c r="B422" s="30">
        <v>5</v>
      </c>
      <c r="C422" s="63" t="s">
        <v>2596</v>
      </c>
      <c r="D422" s="64" t="s">
        <v>1907</v>
      </c>
      <c r="E422" s="65">
        <v>0</v>
      </c>
      <c r="F422" s="65">
        <v>0</v>
      </c>
      <c r="G422" s="30">
        <v>0</v>
      </c>
      <c r="H422" s="30">
        <v>0</v>
      </c>
      <c r="I422" s="30">
        <v>0</v>
      </c>
      <c r="J422" s="30">
        <v>0</v>
      </c>
      <c r="K422" s="30">
        <v>0</v>
      </c>
      <c r="L422" s="30" t="s">
        <v>1802</v>
      </c>
      <c r="M422" s="30">
        <v>2</v>
      </c>
      <c r="N422" s="30">
        <v>0</v>
      </c>
      <c r="O422" s="66">
        <v>0</v>
      </c>
      <c r="P422" s="30">
        <v>0</v>
      </c>
      <c r="Q422" s="30">
        <v>0</v>
      </c>
      <c r="R422" s="30">
        <v>12</v>
      </c>
      <c r="S422" s="30">
        <v>1</v>
      </c>
      <c r="T422" s="30">
        <v>0</v>
      </c>
      <c r="U422" s="31">
        <v>0</v>
      </c>
      <c r="V422" s="67">
        <v>6</v>
      </c>
      <c r="W422" s="67">
        <f>12*1*2.5</f>
        <v>30</v>
      </c>
      <c r="X422" s="67">
        <v>12</v>
      </c>
      <c r="Y422" s="67" t="s">
        <v>1920</v>
      </c>
      <c r="Z422" s="67" t="s">
        <v>1909</v>
      </c>
      <c r="AB422" s="69" t="s">
        <v>1672</v>
      </c>
    </row>
    <row r="423" ht="26.4" spans="1:29">
      <c r="A423" s="29">
        <v>10042021</v>
      </c>
      <c r="B423" s="30">
        <v>5</v>
      </c>
      <c r="C423" s="63" t="s">
        <v>2597</v>
      </c>
      <c r="D423" s="64" t="s">
        <v>1940</v>
      </c>
      <c r="E423" s="65">
        <v>0</v>
      </c>
      <c r="F423" s="65">
        <v>0</v>
      </c>
      <c r="G423" s="30">
        <v>0</v>
      </c>
      <c r="H423" s="30">
        <v>15</v>
      </c>
      <c r="I423" s="30">
        <v>2</v>
      </c>
      <c r="J423" s="30">
        <v>0</v>
      </c>
      <c r="K423" s="30">
        <v>0</v>
      </c>
      <c r="L423" s="30" t="s">
        <v>1802</v>
      </c>
      <c r="M423" s="30">
        <v>0</v>
      </c>
      <c r="N423" s="30">
        <v>0</v>
      </c>
      <c r="O423" s="66">
        <v>0</v>
      </c>
      <c r="P423" s="30">
        <v>0</v>
      </c>
      <c r="Q423" s="30">
        <v>0</v>
      </c>
      <c r="R423" s="30">
        <v>0</v>
      </c>
      <c r="S423" s="30">
        <v>1</v>
      </c>
      <c r="T423" s="30">
        <v>0</v>
      </c>
      <c r="U423" s="31">
        <v>0</v>
      </c>
      <c r="V423" s="67">
        <v>6</v>
      </c>
      <c r="W423" s="67">
        <f>0*1*2.5</f>
        <v>0</v>
      </c>
      <c r="X423" s="67">
        <v>0</v>
      </c>
      <c r="Y423" s="67" t="s">
        <v>1920</v>
      </c>
      <c r="Z423" s="67" t="s">
        <v>1909</v>
      </c>
      <c r="AC423" s="69" t="s">
        <v>2598</v>
      </c>
    </row>
    <row r="424" ht="39.6" spans="1:29">
      <c r="A424" s="29">
        <v>10042121</v>
      </c>
      <c r="B424" s="30">
        <v>4</v>
      </c>
      <c r="C424" s="63" t="s">
        <v>2599</v>
      </c>
      <c r="D424" s="64" t="s">
        <v>1805</v>
      </c>
      <c r="E424" s="65">
        <v>0</v>
      </c>
      <c r="F424" s="65">
        <v>1</v>
      </c>
      <c r="G424" s="30">
        <v>0</v>
      </c>
      <c r="H424" s="30">
        <v>0</v>
      </c>
      <c r="I424" s="30">
        <v>0</v>
      </c>
      <c r="J424" s="30">
        <v>0</v>
      </c>
      <c r="K424" s="30">
        <v>1</v>
      </c>
      <c r="L424" s="30" t="s">
        <v>115</v>
      </c>
      <c r="M424" s="30">
        <v>0</v>
      </c>
      <c r="N424" s="30">
        <v>0</v>
      </c>
      <c r="O424" s="66">
        <v>0</v>
      </c>
      <c r="P424" s="30">
        <v>0</v>
      </c>
      <c r="Q424" s="30">
        <v>0</v>
      </c>
      <c r="R424" s="30">
        <v>0</v>
      </c>
      <c r="S424" s="30">
        <v>1</v>
      </c>
      <c r="T424" s="30">
        <v>0</v>
      </c>
      <c r="U424" s="31">
        <v>0</v>
      </c>
      <c r="V424" s="67">
        <v>0</v>
      </c>
      <c r="W424" s="67">
        <f>0*1*2.5</f>
        <v>0</v>
      </c>
      <c r="X424" s="67">
        <v>0</v>
      </c>
      <c r="Y424" s="67" t="s">
        <v>2600</v>
      </c>
      <c r="Z424" s="67" t="s">
        <v>1807</v>
      </c>
      <c r="AC424" s="69" t="s">
        <v>2375</v>
      </c>
    </row>
    <row r="425" ht="39.6" spans="1:29">
      <c r="A425" s="29">
        <v>10042221</v>
      </c>
      <c r="B425" s="30">
        <v>4</v>
      </c>
      <c r="C425" s="63" t="s">
        <v>2601</v>
      </c>
      <c r="D425" s="64" t="s">
        <v>2089</v>
      </c>
      <c r="E425" s="65">
        <v>0</v>
      </c>
      <c r="F425" s="65">
        <v>0</v>
      </c>
      <c r="G425" s="30">
        <v>0</v>
      </c>
      <c r="H425" s="30">
        <v>0</v>
      </c>
      <c r="I425" s="30">
        <v>0</v>
      </c>
      <c r="J425" s="30">
        <v>0</v>
      </c>
      <c r="K425" s="30">
        <v>0</v>
      </c>
      <c r="L425" s="30" t="s">
        <v>1802</v>
      </c>
      <c r="M425" s="30">
        <v>0</v>
      </c>
      <c r="N425" s="30">
        <v>0</v>
      </c>
      <c r="O425" s="66">
        <v>10</v>
      </c>
      <c r="P425" s="30">
        <v>0</v>
      </c>
      <c r="Q425" s="30">
        <v>0</v>
      </c>
      <c r="R425" s="30">
        <v>0</v>
      </c>
      <c r="S425" s="30">
        <v>1</v>
      </c>
      <c r="T425" s="30">
        <v>0</v>
      </c>
      <c r="U425" s="31">
        <v>0</v>
      </c>
      <c r="V425" s="67">
        <v>4</v>
      </c>
      <c r="W425" s="67">
        <f>0*1*2.5</f>
        <v>0</v>
      </c>
      <c r="X425" s="67">
        <v>0</v>
      </c>
      <c r="Y425" s="67" t="s">
        <v>1908</v>
      </c>
      <c r="Z425" s="67" t="s">
        <v>2090</v>
      </c>
      <c r="AC425" s="69" t="s">
        <v>2602</v>
      </c>
    </row>
    <row r="426" ht="39.6" spans="1:29">
      <c r="A426" s="29">
        <v>10042321</v>
      </c>
      <c r="B426" s="30">
        <v>5</v>
      </c>
      <c r="C426" s="63" t="s">
        <v>2603</v>
      </c>
      <c r="D426" s="64" t="s">
        <v>1805</v>
      </c>
      <c r="E426" s="65">
        <v>0</v>
      </c>
      <c r="F426" s="65">
        <v>4</v>
      </c>
      <c r="G426" s="30">
        <v>0</v>
      </c>
      <c r="H426" s="30">
        <v>0</v>
      </c>
      <c r="I426" s="30">
        <v>0</v>
      </c>
      <c r="J426" s="30">
        <v>3</v>
      </c>
      <c r="K426" s="30">
        <v>0</v>
      </c>
      <c r="L426" s="30" t="s">
        <v>115</v>
      </c>
      <c r="M426" s="30">
        <v>2</v>
      </c>
      <c r="N426" s="30">
        <v>0</v>
      </c>
      <c r="O426" s="66">
        <v>0</v>
      </c>
      <c r="P426" s="30">
        <v>0</v>
      </c>
      <c r="Q426" s="30">
        <v>0</v>
      </c>
      <c r="R426" s="30">
        <v>10</v>
      </c>
      <c r="S426" s="30">
        <v>3</v>
      </c>
      <c r="T426" s="30">
        <v>0.55</v>
      </c>
      <c r="U426" s="31">
        <v>0</v>
      </c>
      <c r="V426" s="67">
        <v>0</v>
      </c>
      <c r="W426" s="67">
        <f>10*3*2.5</f>
        <v>75</v>
      </c>
      <c r="X426" s="67">
        <f>10+MAX($X$2,0.55)*10*$X$1</f>
        <v>58</v>
      </c>
      <c r="Y426" s="67" t="s">
        <v>2604</v>
      </c>
      <c r="Z426" s="67" t="s">
        <v>1807</v>
      </c>
      <c r="AC426" s="69" t="s">
        <v>2605</v>
      </c>
    </row>
    <row r="427" ht="26.4" spans="1:29">
      <c r="A427" s="29">
        <v>10042421</v>
      </c>
      <c r="B427" s="30">
        <v>5</v>
      </c>
      <c r="C427" s="63" t="s">
        <v>2606</v>
      </c>
      <c r="D427" s="64" t="s">
        <v>1927</v>
      </c>
      <c r="E427" s="65">
        <v>0</v>
      </c>
      <c r="F427" s="65">
        <v>0</v>
      </c>
      <c r="G427" s="30">
        <v>0</v>
      </c>
      <c r="H427" s="30">
        <v>0</v>
      </c>
      <c r="I427" s="30">
        <v>3</v>
      </c>
      <c r="J427" s="30">
        <v>0</v>
      </c>
      <c r="K427" s="30">
        <v>5</v>
      </c>
      <c r="L427" s="30" t="s">
        <v>1802</v>
      </c>
      <c r="M427" s="30">
        <v>0</v>
      </c>
      <c r="N427" s="30">
        <v>1</v>
      </c>
      <c r="O427" s="66">
        <v>14</v>
      </c>
      <c r="P427" s="30">
        <v>0</v>
      </c>
      <c r="Q427" s="30">
        <v>0</v>
      </c>
      <c r="R427" s="30">
        <v>0</v>
      </c>
      <c r="S427" s="30">
        <v>1</v>
      </c>
      <c r="T427" s="30">
        <v>0</v>
      </c>
      <c r="U427" s="31">
        <v>0</v>
      </c>
      <c r="V427" s="67">
        <v>6</v>
      </c>
      <c r="W427" s="67">
        <f>0*1*2.5</f>
        <v>0</v>
      </c>
      <c r="X427" s="67">
        <v>0</v>
      </c>
      <c r="Y427" s="67" t="s">
        <v>1920</v>
      </c>
      <c r="Z427" s="67" t="s">
        <v>1909</v>
      </c>
      <c r="AC427" s="69" t="s">
        <v>2607</v>
      </c>
    </row>
    <row r="428" ht="39.6" spans="1:28">
      <c r="A428" s="29">
        <v>10042521</v>
      </c>
      <c r="B428" s="30">
        <v>5</v>
      </c>
      <c r="C428" s="63" t="s">
        <v>2608</v>
      </c>
      <c r="D428" s="64" t="s">
        <v>2283</v>
      </c>
      <c r="E428" s="65">
        <v>0</v>
      </c>
      <c r="F428" s="65">
        <v>10</v>
      </c>
      <c r="G428" s="30">
        <v>0</v>
      </c>
      <c r="H428" s="30">
        <v>0</v>
      </c>
      <c r="I428" s="30">
        <v>0</v>
      </c>
      <c r="J428" s="30">
        <v>0</v>
      </c>
      <c r="K428" s="30">
        <v>0</v>
      </c>
      <c r="L428" s="30" t="s">
        <v>1802</v>
      </c>
      <c r="M428" s="30">
        <v>0</v>
      </c>
      <c r="N428" s="30">
        <v>0</v>
      </c>
      <c r="O428" s="66">
        <v>0</v>
      </c>
      <c r="P428" s="30">
        <v>28</v>
      </c>
      <c r="Q428" s="30">
        <v>0</v>
      </c>
      <c r="R428" s="30">
        <v>17</v>
      </c>
      <c r="S428" s="30">
        <v>4</v>
      </c>
      <c r="T428" s="30">
        <v>0.7</v>
      </c>
      <c r="U428" s="31">
        <v>0</v>
      </c>
      <c r="V428" s="67">
        <v>8</v>
      </c>
      <c r="W428" s="67">
        <f>17*4*2.5</f>
        <v>170</v>
      </c>
      <c r="X428" s="67">
        <f>17+MAX($X$2,0.7)*17*$X$1</f>
        <v>98.6</v>
      </c>
      <c r="Y428" s="67" t="s">
        <v>2609</v>
      </c>
      <c r="Z428" s="67" t="s">
        <v>2280</v>
      </c>
      <c r="AB428" s="69" t="s">
        <v>1046</v>
      </c>
    </row>
    <row r="429" spans="1:28">
      <c r="A429" s="29">
        <v>10042621</v>
      </c>
      <c r="B429" s="30">
        <v>5</v>
      </c>
      <c r="C429" s="63" t="s">
        <v>2610</v>
      </c>
      <c r="D429" s="64" t="s">
        <v>2279</v>
      </c>
      <c r="E429" s="65">
        <v>0</v>
      </c>
      <c r="F429" s="65">
        <v>3</v>
      </c>
      <c r="G429" s="30">
        <v>0</v>
      </c>
      <c r="H429" s="30">
        <v>0</v>
      </c>
      <c r="I429" s="30">
        <v>0</v>
      </c>
      <c r="J429" s="30">
        <v>0</v>
      </c>
      <c r="K429" s="30">
        <v>1</v>
      </c>
      <c r="L429" s="30" t="s">
        <v>1802</v>
      </c>
      <c r="M429" s="30">
        <v>0</v>
      </c>
      <c r="N429" s="30">
        <v>0</v>
      </c>
      <c r="O429" s="66">
        <v>0</v>
      </c>
      <c r="P429" s="30">
        <v>0</v>
      </c>
      <c r="Q429" s="30">
        <v>0</v>
      </c>
      <c r="R429" s="30">
        <v>0</v>
      </c>
      <c r="S429" s="30">
        <v>1</v>
      </c>
      <c r="T429" s="30">
        <v>0</v>
      </c>
      <c r="U429" s="31">
        <v>0</v>
      </c>
      <c r="V429" s="67">
        <v>0</v>
      </c>
      <c r="W429" s="67">
        <f>0*1*2.5</f>
        <v>0</v>
      </c>
      <c r="X429" s="67">
        <v>0</v>
      </c>
      <c r="Z429" s="67" t="s">
        <v>2280</v>
      </c>
      <c r="AB429" s="69" t="s">
        <v>1046</v>
      </c>
    </row>
    <row r="430" ht="52.8" spans="1:28">
      <c r="A430" s="29">
        <v>10042721</v>
      </c>
      <c r="B430" s="30">
        <v>3</v>
      </c>
      <c r="C430" s="63" t="s">
        <v>2611</v>
      </c>
      <c r="D430" s="64" t="s">
        <v>1801</v>
      </c>
      <c r="E430" s="65">
        <v>0</v>
      </c>
      <c r="F430" s="65">
        <v>0</v>
      </c>
      <c r="G430" s="30">
        <v>0</v>
      </c>
      <c r="H430" s="30">
        <v>0</v>
      </c>
      <c r="I430" s="30">
        <v>3</v>
      </c>
      <c r="J430" s="30">
        <v>0</v>
      </c>
      <c r="K430" s="30">
        <v>0</v>
      </c>
      <c r="L430" s="30" t="s">
        <v>1802</v>
      </c>
      <c r="M430" s="30">
        <v>8</v>
      </c>
      <c r="N430" s="30">
        <v>2</v>
      </c>
      <c r="O430" s="66">
        <v>0</v>
      </c>
      <c r="P430" s="30">
        <v>0</v>
      </c>
      <c r="Q430" s="30">
        <v>0</v>
      </c>
      <c r="R430" s="30">
        <v>0</v>
      </c>
      <c r="S430" s="30">
        <v>1</v>
      </c>
      <c r="T430" s="30">
        <v>0</v>
      </c>
      <c r="U430" s="31">
        <v>0</v>
      </c>
      <c r="V430" s="67">
        <v>0</v>
      </c>
      <c r="W430" s="67">
        <f>0*1*2.5</f>
        <v>0</v>
      </c>
      <c r="X430" s="67">
        <v>0</v>
      </c>
      <c r="Z430" s="67" t="s">
        <v>1803</v>
      </c>
      <c r="AB430" s="69" t="s">
        <v>1061</v>
      </c>
    </row>
    <row r="431" ht="26.4" spans="1:29">
      <c r="A431" s="29">
        <v>10042821</v>
      </c>
      <c r="B431" s="30">
        <v>5</v>
      </c>
      <c r="C431" s="63" t="s">
        <v>2612</v>
      </c>
      <c r="D431" s="64" t="s">
        <v>1927</v>
      </c>
      <c r="E431" s="65">
        <v>0</v>
      </c>
      <c r="F431" s="65">
        <v>0</v>
      </c>
      <c r="G431" s="30">
        <v>0</v>
      </c>
      <c r="H431" s="30">
        <v>0</v>
      </c>
      <c r="I431" s="30">
        <v>0</v>
      </c>
      <c r="J431" s="30">
        <v>0</v>
      </c>
      <c r="K431" s="30">
        <v>1</v>
      </c>
      <c r="L431" s="30" t="s">
        <v>1802</v>
      </c>
      <c r="M431" s="30">
        <v>0</v>
      </c>
      <c r="N431" s="30">
        <v>0</v>
      </c>
      <c r="O431" s="66">
        <v>8</v>
      </c>
      <c r="P431" s="30">
        <v>0</v>
      </c>
      <c r="Q431" s="30">
        <v>0</v>
      </c>
      <c r="R431" s="30">
        <v>9</v>
      </c>
      <c r="S431" s="30">
        <v>1</v>
      </c>
      <c r="T431" s="30">
        <v>0</v>
      </c>
      <c r="U431" s="31">
        <v>0</v>
      </c>
      <c r="V431" s="67">
        <v>6</v>
      </c>
      <c r="W431" s="67">
        <f>9*1*2.5</f>
        <v>22.5</v>
      </c>
      <c r="X431" s="67">
        <v>9</v>
      </c>
      <c r="Y431" s="67" t="s">
        <v>1920</v>
      </c>
      <c r="Z431" s="67" t="s">
        <v>1909</v>
      </c>
      <c r="AC431" s="69" t="s">
        <v>2598</v>
      </c>
    </row>
    <row r="432" ht="39.6" spans="1:29">
      <c r="A432" s="29">
        <v>10042921</v>
      </c>
      <c r="B432" s="30">
        <v>4</v>
      </c>
      <c r="C432" s="63" t="s">
        <v>2613</v>
      </c>
      <c r="D432" s="64" t="s">
        <v>14</v>
      </c>
      <c r="E432" s="65">
        <v>0</v>
      </c>
      <c r="F432" s="65">
        <v>0</v>
      </c>
      <c r="G432" s="30">
        <v>0</v>
      </c>
      <c r="H432" s="30">
        <v>6</v>
      </c>
      <c r="I432" s="30">
        <v>0</v>
      </c>
      <c r="J432" s="30">
        <v>1</v>
      </c>
      <c r="K432" s="30">
        <v>3</v>
      </c>
      <c r="L432" s="30" t="s">
        <v>1802</v>
      </c>
      <c r="M432" s="30">
        <v>0</v>
      </c>
      <c r="N432" s="30">
        <v>0</v>
      </c>
      <c r="O432" s="66">
        <v>0</v>
      </c>
      <c r="P432" s="30">
        <v>0</v>
      </c>
      <c r="Q432" s="30">
        <v>0</v>
      </c>
      <c r="R432" s="30">
        <v>0</v>
      </c>
      <c r="S432" s="30">
        <v>1</v>
      </c>
      <c r="T432" s="30">
        <v>0</v>
      </c>
      <c r="U432" s="31">
        <v>0</v>
      </c>
      <c r="V432" s="67">
        <v>0</v>
      </c>
      <c r="W432" s="67">
        <f>0*1*2.5</f>
        <v>0</v>
      </c>
      <c r="X432" s="67">
        <v>0</v>
      </c>
      <c r="Y432" s="67" t="s">
        <v>2454</v>
      </c>
      <c r="Z432" s="67" t="s">
        <v>1980</v>
      </c>
      <c r="AB432" s="69" t="s">
        <v>2517</v>
      </c>
      <c r="AC432" s="69" t="s">
        <v>2598</v>
      </c>
    </row>
    <row r="433" ht="52.8" spans="1:29">
      <c r="A433" s="29">
        <v>10043021</v>
      </c>
      <c r="B433" s="30">
        <v>3</v>
      </c>
      <c r="C433" s="63" t="s">
        <v>2614</v>
      </c>
      <c r="D433" s="64" t="s">
        <v>1801</v>
      </c>
      <c r="E433" s="65">
        <v>0</v>
      </c>
      <c r="F433" s="65">
        <v>0</v>
      </c>
      <c r="G433" s="30">
        <v>0</v>
      </c>
      <c r="H433" s="30">
        <v>0</v>
      </c>
      <c r="I433" s="30">
        <v>8</v>
      </c>
      <c r="J433" s="30">
        <v>4</v>
      </c>
      <c r="K433" s="30">
        <v>2</v>
      </c>
      <c r="L433" s="30" t="s">
        <v>1802</v>
      </c>
      <c r="M433" s="30">
        <v>0</v>
      </c>
      <c r="N433" s="30">
        <v>0</v>
      </c>
      <c r="O433" s="66">
        <v>0</v>
      </c>
      <c r="P433" s="30">
        <v>0</v>
      </c>
      <c r="Q433" s="30">
        <v>0</v>
      </c>
      <c r="R433" s="30">
        <v>0</v>
      </c>
      <c r="S433" s="30">
        <v>1</v>
      </c>
      <c r="T433" s="30">
        <v>0</v>
      </c>
      <c r="U433" s="31">
        <v>0</v>
      </c>
      <c r="V433" s="67">
        <v>0</v>
      </c>
      <c r="W433" s="67">
        <f>0*1*2.5</f>
        <v>0</v>
      </c>
      <c r="X433" s="67">
        <v>0</v>
      </c>
      <c r="Z433" s="67" t="s">
        <v>1803</v>
      </c>
      <c r="AC433" s="69" t="s">
        <v>2414</v>
      </c>
    </row>
    <row r="434" ht="39.6" spans="1:29">
      <c r="A434" s="29">
        <v>10043121</v>
      </c>
      <c r="B434" s="30">
        <v>3</v>
      </c>
      <c r="C434" s="63" t="s">
        <v>2615</v>
      </c>
      <c r="D434" s="64" t="s">
        <v>1828</v>
      </c>
      <c r="E434" s="65">
        <v>0</v>
      </c>
      <c r="F434" s="65">
        <v>9</v>
      </c>
      <c r="G434" s="30">
        <v>0</v>
      </c>
      <c r="H434" s="30">
        <v>0</v>
      </c>
      <c r="I434" s="30">
        <v>0</v>
      </c>
      <c r="J434" s="30">
        <v>0</v>
      </c>
      <c r="K434" s="30">
        <v>2</v>
      </c>
      <c r="L434" s="30" t="s">
        <v>52</v>
      </c>
      <c r="M434" s="30">
        <v>0</v>
      </c>
      <c r="N434" s="30">
        <v>0</v>
      </c>
      <c r="O434" s="66">
        <v>0</v>
      </c>
      <c r="P434" s="30">
        <v>0</v>
      </c>
      <c r="Q434" s="30">
        <v>0</v>
      </c>
      <c r="R434" s="30">
        <v>0</v>
      </c>
      <c r="S434" s="30">
        <v>1</v>
      </c>
      <c r="T434" s="30">
        <v>0</v>
      </c>
      <c r="U434" s="31">
        <v>0</v>
      </c>
      <c r="V434" s="67">
        <v>0</v>
      </c>
      <c r="W434" s="67">
        <f>0*1*2.5</f>
        <v>0</v>
      </c>
      <c r="X434" s="67">
        <v>0</v>
      </c>
      <c r="Z434" s="67" t="s">
        <v>1829</v>
      </c>
      <c r="AC434" s="69" t="s">
        <v>2616</v>
      </c>
    </row>
    <row r="435" ht="39.6" spans="1:29">
      <c r="A435" s="29">
        <v>10043221</v>
      </c>
      <c r="B435" s="30">
        <v>6</v>
      </c>
      <c r="C435" s="63" t="s">
        <v>2617</v>
      </c>
      <c r="D435" s="64" t="s">
        <v>1940</v>
      </c>
      <c r="E435" s="65">
        <v>0</v>
      </c>
      <c r="F435" s="65">
        <v>0</v>
      </c>
      <c r="G435" s="30">
        <v>0</v>
      </c>
      <c r="H435" s="30">
        <v>13</v>
      </c>
      <c r="I435" s="30">
        <v>0</v>
      </c>
      <c r="J435" s="30">
        <v>0</v>
      </c>
      <c r="K435" s="30">
        <v>0</v>
      </c>
      <c r="L435" s="30" t="s">
        <v>1802</v>
      </c>
      <c r="M435" s="30">
        <v>0</v>
      </c>
      <c r="N435" s="30">
        <v>0</v>
      </c>
      <c r="O435" s="66">
        <v>0</v>
      </c>
      <c r="P435" s="30">
        <v>0</v>
      </c>
      <c r="Q435" s="30">
        <v>0</v>
      </c>
      <c r="R435" s="30">
        <v>10</v>
      </c>
      <c r="S435" s="30">
        <v>1</v>
      </c>
      <c r="T435" s="30">
        <v>0</v>
      </c>
      <c r="U435" s="31">
        <v>0</v>
      </c>
      <c r="V435" s="67">
        <v>7</v>
      </c>
      <c r="W435" s="67">
        <f>10*1*2.5</f>
        <v>25</v>
      </c>
      <c r="X435" s="67">
        <v>10</v>
      </c>
      <c r="Y435" s="67" t="s">
        <v>2194</v>
      </c>
      <c r="Z435" s="67" t="s">
        <v>1909</v>
      </c>
      <c r="AC435" s="69" t="s">
        <v>2618</v>
      </c>
    </row>
    <row r="436" ht="39.6" spans="1:29">
      <c r="A436" s="29">
        <v>10043321</v>
      </c>
      <c r="B436" s="30">
        <v>5</v>
      </c>
      <c r="C436" s="63" t="s">
        <v>2619</v>
      </c>
      <c r="D436" s="64" t="s">
        <v>1845</v>
      </c>
      <c r="E436" s="65">
        <v>0</v>
      </c>
      <c r="F436" s="65">
        <v>26</v>
      </c>
      <c r="G436" s="30">
        <v>3</v>
      </c>
      <c r="H436" s="30">
        <v>0</v>
      </c>
      <c r="I436" s="30">
        <v>0</v>
      </c>
      <c r="J436" s="30">
        <v>0</v>
      </c>
      <c r="K436" s="30">
        <v>2</v>
      </c>
      <c r="L436" s="30" t="s">
        <v>52</v>
      </c>
      <c r="M436" s="30">
        <v>0</v>
      </c>
      <c r="N436" s="30">
        <v>0</v>
      </c>
      <c r="O436" s="66">
        <v>0</v>
      </c>
      <c r="P436" s="30">
        <v>0</v>
      </c>
      <c r="Q436" s="30">
        <v>0</v>
      </c>
      <c r="R436" s="30">
        <v>0</v>
      </c>
      <c r="S436" s="30">
        <v>1</v>
      </c>
      <c r="T436" s="30">
        <v>0</v>
      </c>
      <c r="U436" s="31">
        <v>0</v>
      </c>
      <c r="V436" s="67">
        <v>0</v>
      </c>
      <c r="W436" s="67">
        <f>0*1*2.5</f>
        <v>0</v>
      </c>
      <c r="X436" s="67">
        <v>0</v>
      </c>
      <c r="Z436" s="67" t="s">
        <v>1846</v>
      </c>
      <c r="AB436" s="69" t="s">
        <v>2620</v>
      </c>
      <c r="AC436" s="69" t="s">
        <v>2621</v>
      </c>
    </row>
    <row r="437" ht="39.6" spans="1:29">
      <c r="A437" s="29">
        <v>10043421</v>
      </c>
      <c r="B437" s="30">
        <v>4</v>
      </c>
      <c r="C437" s="63" t="s">
        <v>2622</v>
      </c>
      <c r="D437" s="64" t="s">
        <v>1801</v>
      </c>
      <c r="E437" s="65">
        <v>0</v>
      </c>
      <c r="F437" s="65">
        <v>0</v>
      </c>
      <c r="G437" s="30">
        <v>0</v>
      </c>
      <c r="H437" s="30">
        <v>8</v>
      </c>
      <c r="I437" s="30">
        <v>0</v>
      </c>
      <c r="J437" s="30">
        <v>0</v>
      </c>
      <c r="K437" s="30">
        <v>6</v>
      </c>
      <c r="L437" s="30" t="s">
        <v>1802</v>
      </c>
      <c r="M437" s="30">
        <v>6</v>
      </c>
      <c r="N437" s="30">
        <v>0</v>
      </c>
      <c r="O437" s="66">
        <v>0</v>
      </c>
      <c r="P437" s="30">
        <v>0</v>
      </c>
      <c r="Q437" s="30">
        <v>0</v>
      </c>
      <c r="R437" s="30">
        <v>0</v>
      </c>
      <c r="S437" s="30">
        <v>1</v>
      </c>
      <c r="T437" s="30">
        <v>0</v>
      </c>
      <c r="U437" s="31">
        <v>0</v>
      </c>
      <c r="V437" s="67">
        <v>0</v>
      </c>
      <c r="W437" s="67">
        <f>0*1*2.5</f>
        <v>0</v>
      </c>
      <c r="X437" s="67">
        <v>0</v>
      </c>
      <c r="Z437" s="67" t="s">
        <v>2101</v>
      </c>
      <c r="AB437" s="69" t="s">
        <v>2623</v>
      </c>
      <c r="AC437" s="69" t="s">
        <v>2624</v>
      </c>
    </row>
    <row r="438" ht="39.6" spans="1:29">
      <c r="A438" s="29">
        <v>10043521</v>
      </c>
      <c r="B438" s="30">
        <v>5</v>
      </c>
      <c r="C438" s="63" t="s">
        <v>2625</v>
      </c>
      <c r="D438" s="64" t="s">
        <v>2283</v>
      </c>
      <c r="E438" s="65">
        <v>0</v>
      </c>
      <c r="F438" s="65">
        <v>13</v>
      </c>
      <c r="G438" s="30">
        <v>0</v>
      </c>
      <c r="H438" s="30">
        <v>0</v>
      </c>
      <c r="I438" s="30">
        <v>0</v>
      </c>
      <c r="J438" s="30">
        <v>0</v>
      </c>
      <c r="K438" s="30">
        <v>0</v>
      </c>
      <c r="L438" s="30" t="s">
        <v>1802</v>
      </c>
      <c r="M438" s="30">
        <v>0</v>
      </c>
      <c r="N438" s="30">
        <v>0</v>
      </c>
      <c r="O438" s="66">
        <v>0</v>
      </c>
      <c r="P438" s="30">
        <v>25</v>
      </c>
      <c r="Q438" s="30">
        <v>0</v>
      </c>
      <c r="R438" s="30">
        <v>12</v>
      </c>
      <c r="S438" s="30">
        <v>4</v>
      </c>
      <c r="T438" s="30">
        <v>0.7</v>
      </c>
      <c r="U438" s="31">
        <v>0</v>
      </c>
      <c r="V438" s="67">
        <v>7</v>
      </c>
      <c r="W438" s="67">
        <f>12*4*2.5</f>
        <v>120</v>
      </c>
      <c r="X438" s="67">
        <f>12+MAX($X$2,0.7)*12*$X$1</f>
        <v>69.6</v>
      </c>
      <c r="Y438" s="67" t="s">
        <v>2626</v>
      </c>
      <c r="Z438" s="67" t="s">
        <v>2280</v>
      </c>
      <c r="AC438" s="69" t="s">
        <v>2627</v>
      </c>
    </row>
    <row r="439" ht="39.6" spans="1:29">
      <c r="A439" s="29">
        <v>10043621</v>
      </c>
      <c r="B439" s="30">
        <v>5</v>
      </c>
      <c r="C439" s="63" t="s">
        <v>2628</v>
      </c>
      <c r="D439" s="64" t="s">
        <v>1976</v>
      </c>
      <c r="E439" s="65">
        <v>0</v>
      </c>
      <c r="F439" s="65">
        <v>2</v>
      </c>
      <c r="G439" s="30">
        <v>0</v>
      </c>
      <c r="H439" s="30">
        <v>0</v>
      </c>
      <c r="I439" s="30">
        <v>16</v>
      </c>
      <c r="J439" s="30">
        <v>0</v>
      </c>
      <c r="K439" s="30">
        <v>0</v>
      </c>
      <c r="L439" s="30" t="s">
        <v>1802</v>
      </c>
      <c r="M439" s="30">
        <v>0</v>
      </c>
      <c r="N439" s="30">
        <v>0</v>
      </c>
      <c r="O439" s="66">
        <v>0</v>
      </c>
      <c r="P439" s="30">
        <v>0</v>
      </c>
      <c r="Q439" s="30">
        <v>0</v>
      </c>
      <c r="R439" s="30">
        <v>0</v>
      </c>
      <c r="S439" s="30">
        <v>1</v>
      </c>
      <c r="T439" s="30">
        <v>0</v>
      </c>
      <c r="U439" s="31">
        <v>0</v>
      </c>
      <c r="V439" s="67">
        <v>0</v>
      </c>
      <c r="W439" s="67">
        <f>0*1*2.5</f>
        <v>0</v>
      </c>
      <c r="X439" s="67">
        <v>0</v>
      </c>
      <c r="Z439" s="67" t="s">
        <v>1977</v>
      </c>
      <c r="AB439" s="69" t="s">
        <v>2629</v>
      </c>
      <c r="AC439" s="69" t="s">
        <v>2630</v>
      </c>
    </row>
    <row r="440" ht="39.6" spans="1:29">
      <c r="A440" s="29">
        <v>10043721</v>
      </c>
      <c r="B440" s="30">
        <v>4</v>
      </c>
      <c r="C440" s="63" t="s">
        <v>2631</v>
      </c>
      <c r="D440" s="64" t="s">
        <v>1805</v>
      </c>
      <c r="E440" s="65">
        <v>0</v>
      </c>
      <c r="F440" s="65">
        <v>2</v>
      </c>
      <c r="G440" s="30">
        <v>0</v>
      </c>
      <c r="H440" s="30">
        <v>0</v>
      </c>
      <c r="I440" s="30">
        <v>0</v>
      </c>
      <c r="J440" s="30">
        <v>2</v>
      </c>
      <c r="K440" s="30">
        <v>4</v>
      </c>
      <c r="L440" s="30" t="s">
        <v>115</v>
      </c>
      <c r="M440" s="30">
        <v>1</v>
      </c>
      <c r="N440" s="30">
        <v>0</v>
      </c>
      <c r="O440" s="66">
        <v>0</v>
      </c>
      <c r="P440" s="30">
        <v>0</v>
      </c>
      <c r="Q440" s="30">
        <v>0</v>
      </c>
      <c r="R440" s="30">
        <v>7</v>
      </c>
      <c r="S440" s="30">
        <v>2.9</v>
      </c>
      <c r="T440" s="30">
        <v>0.55</v>
      </c>
      <c r="U440" s="31">
        <v>0</v>
      </c>
      <c r="V440" s="67">
        <v>0</v>
      </c>
      <c r="W440" s="67">
        <f>7*2.9*2.5</f>
        <v>50.75</v>
      </c>
      <c r="X440" s="67">
        <f>7+MAX($X$2,0.55)*7*$X$1</f>
        <v>40.6</v>
      </c>
      <c r="Y440" s="67" t="s">
        <v>2632</v>
      </c>
      <c r="Z440" s="67" t="s">
        <v>1807</v>
      </c>
      <c r="AC440" s="69" t="s">
        <v>2633</v>
      </c>
    </row>
    <row r="441" ht="39.6" spans="1:29">
      <c r="A441" s="29">
        <v>10043821</v>
      </c>
      <c r="B441" s="30">
        <v>5</v>
      </c>
      <c r="C441" s="63" t="s">
        <v>2634</v>
      </c>
      <c r="D441" s="64" t="s">
        <v>1845</v>
      </c>
      <c r="E441" s="65">
        <v>0</v>
      </c>
      <c r="F441" s="65">
        <v>25</v>
      </c>
      <c r="G441" s="30">
        <v>0</v>
      </c>
      <c r="H441" s="30">
        <v>0</v>
      </c>
      <c r="I441" s="30">
        <v>0</v>
      </c>
      <c r="J441" s="30">
        <v>0</v>
      </c>
      <c r="K441" s="30">
        <v>5</v>
      </c>
      <c r="L441" s="30" t="s">
        <v>52</v>
      </c>
      <c r="M441" s="30">
        <v>0</v>
      </c>
      <c r="N441" s="30">
        <v>0</v>
      </c>
      <c r="O441" s="66">
        <v>0</v>
      </c>
      <c r="P441" s="30">
        <v>0</v>
      </c>
      <c r="Q441" s="30">
        <v>0</v>
      </c>
      <c r="R441" s="30">
        <v>0</v>
      </c>
      <c r="S441" s="30">
        <v>1</v>
      </c>
      <c r="T441" s="30">
        <v>0</v>
      </c>
      <c r="U441" s="31">
        <v>0</v>
      </c>
      <c r="V441" s="67">
        <v>0</v>
      </c>
      <c r="W441" s="67">
        <f>0*1*2.5</f>
        <v>0</v>
      </c>
      <c r="X441" s="67">
        <v>0</v>
      </c>
      <c r="Z441" s="67" t="s">
        <v>1846</v>
      </c>
      <c r="AC441" s="69" t="s">
        <v>2635</v>
      </c>
    </row>
    <row r="442" ht="39.6" spans="1:29">
      <c r="A442" s="29">
        <v>10043921</v>
      </c>
      <c r="B442" s="30">
        <v>5</v>
      </c>
      <c r="C442" s="63" t="s">
        <v>2636</v>
      </c>
      <c r="D442" s="64" t="s">
        <v>1907</v>
      </c>
      <c r="E442" s="65">
        <v>0</v>
      </c>
      <c r="F442" s="65">
        <v>0</v>
      </c>
      <c r="G442" s="30">
        <v>0</v>
      </c>
      <c r="H442" s="30">
        <v>0</v>
      </c>
      <c r="I442" s="30">
        <v>0</v>
      </c>
      <c r="J442" s="30">
        <v>0</v>
      </c>
      <c r="K442" s="30">
        <v>0</v>
      </c>
      <c r="L442" s="30" t="s">
        <v>1802</v>
      </c>
      <c r="M442" s="30">
        <v>1</v>
      </c>
      <c r="N442" s="30">
        <v>0</v>
      </c>
      <c r="O442" s="66">
        <v>0</v>
      </c>
      <c r="P442" s="30">
        <v>0</v>
      </c>
      <c r="Q442" s="30">
        <v>0</v>
      </c>
      <c r="R442" s="30">
        <v>12</v>
      </c>
      <c r="S442" s="30">
        <v>1</v>
      </c>
      <c r="T442" s="30">
        <v>0</v>
      </c>
      <c r="U442" s="31">
        <v>0</v>
      </c>
      <c r="V442" s="67">
        <v>8</v>
      </c>
      <c r="W442" s="67">
        <f>12*1*2.5</f>
        <v>30</v>
      </c>
      <c r="X442" s="67">
        <v>12</v>
      </c>
      <c r="Y442" s="67" t="s">
        <v>2637</v>
      </c>
      <c r="Z442" s="67" t="s">
        <v>1909</v>
      </c>
      <c r="AC442" s="69" t="s">
        <v>2638</v>
      </c>
    </row>
    <row r="443" ht="26.4" spans="1:29">
      <c r="A443" s="29">
        <v>10044021</v>
      </c>
      <c r="B443" s="30">
        <v>4</v>
      </c>
      <c r="C443" s="63" t="s">
        <v>2639</v>
      </c>
      <c r="D443" s="64" t="s">
        <v>2089</v>
      </c>
      <c r="E443" s="65">
        <v>0</v>
      </c>
      <c r="F443" s="65">
        <v>2</v>
      </c>
      <c r="G443" s="30">
        <v>0</v>
      </c>
      <c r="H443" s="30">
        <v>0</v>
      </c>
      <c r="I443" s="30">
        <v>4</v>
      </c>
      <c r="J443" s="30">
        <v>0</v>
      </c>
      <c r="K443" s="30">
        <v>0</v>
      </c>
      <c r="L443" s="30" t="s">
        <v>1802</v>
      </c>
      <c r="M443" s="30">
        <v>0</v>
      </c>
      <c r="N443" s="30">
        <v>0</v>
      </c>
      <c r="O443" s="66">
        <v>8</v>
      </c>
      <c r="P443" s="30">
        <v>0</v>
      </c>
      <c r="Q443" s="30">
        <v>0</v>
      </c>
      <c r="R443" s="30">
        <v>0</v>
      </c>
      <c r="S443" s="30">
        <v>0</v>
      </c>
      <c r="T443" s="30">
        <v>0</v>
      </c>
      <c r="U443" s="31">
        <v>0</v>
      </c>
      <c r="V443" s="67">
        <v>4</v>
      </c>
      <c r="W443" s="67">
        <f>0*0*2.5</f>
        <v>0</v>
      </c>
      <c r="X443" s="67">
        <v>0</v>
      </c>
      <c r="Y443" s="67" t="s">
        <v>1908</v>
      </c>
      <c r="Z443" s="67" t="s">
        <v>2090</v>
      </c>
      <c r="AC443" s="69" t="s">
        <v>2207</v>
      </c>
    </row>
    <row r="444" ht="26.4" spans="1:29">
      <c r="A444" s="29">
        <v>10044121</v>
      </c>
      <c r="B444" s="30">
        <v>4</v>
      </c>
      <c r="C444" s="63" t="s">
        <v>2640</v>
      </c>
      <c r="D444" s="64" t="s">
        <v>1801</v>
      </c>
      <c r="E444" s="65">
        <v>0</v>
      </c>
      <c r="F444" s="65">
        <v>0</v>
      </c>
      <c r="G444" s="30">
        <v>0</v>
      </c>
      <c r="H444" s="30">
        <v>0</v>
      </c>
      <c r="I444" s="30">
        <v>0</v>
      </c>
      <c r="J444" s="30">
        <v>9</v>
      </c>
      <c r="K444" s="30">
        <v>2</v>
      </c>
      <c r="L444" s="30" t="s">
        <v>1802</v>
      </c>
      <c r="M444" s="30">
        <v>3</v>
      </c>
      <c r="N444" s="30">
        <v>0</v>
      </c>
      <c r="O444" s="66">
        <v>0</v>
      </c>
      <c r="P444" s="30">
        <v>0</v>
      </c>
      <c r="Q444" s="30">
        <v>0</v>
      </c>
      <c r="R444" s="30">
        <v>0</v>
      </c>
      <c r="S444" s="30">
        <v>0</v>
      </c>
      <c r="T444" s="30">
        <v>0</v>
      </c>
      <c r="U444" s="31">
        <v>0</v>
      </c>
      <c r="V444" s="67">
        <v>0</v>
      </c>
      <c r="W444" s="67">
        <f>0*0*2.5</f>
        <v>0</v>
      </c>
      <c r="X444" s="67">
        <v>0</v>
      </c>
      <c r="Z444" s="67" t="s">
        <v>2101</v>
      </c>
      <c r="AC444" s="69" t="s">
        <v>2538</v>
      </c>
    </row>
    <row r="445" ht="26.4" spans="1:29">
      <c r="A445" s="29">
        <v>10044221</v>
      </c>
      <c r="B445" s="30">
        <v>5</v>
      </c>
      <c r="C445" s="63" t="s">
        <v>2641</v>
      </c>
      <c r="D445" s="64" t="s">
        <v>1927</v>
      </c>
      <c r="E445" s="65">
        <v>0</v>
      </c>
      <c r="F445" s="65">
        <v>0</v>
      </c>
      <c r="G445" s="30">
        <v>0</v>
      </c>
      <c r="H445" s="30">
        <v>0</v>
      </c>
      <c r="I445" s="30">
        <v>0</v>
      </c>
      <c r="J445" s="30">
        <v>0</v>
      </c>
      <c r="K445" s="30">
        <v>0</v>
      </c>
      <c r="L445" s="30" t="s">
        <v>158</v>
      </c>
      <c r="M445" s="30">
        <v>0</v>
      </c>
      <c r="N445" s="30">
        <v>3</v>
      </c>
      <c r="O445" s="66">
        <v>8</v>
      </c>
      <c r="P445" s="30">
        <v>0</v>
      </c>
      <c r="Q445" s="30">
        <v>0</v>
      </c>
      <c r="R445" s="30">
        <v>0</v>
      </c>
      <c r="S445" s="30">
        <v>0</v>
      </c>
      <c r="T445" s="30">
        <v>0</v>
      </c>
      <c r="U445" s="31">
        <v>0</v>
      </c>
      <c r="V445" s="67">
        <v>5</v>
      </c>
      <c r="W445" s="67">
        <f>0*0*2.5</f>
        <v>0</v>
      </c>
      <c r="X445" s="67">
        <v>0</v>
      </c>
      <c r="Y445" s="67" t="s">
        <v>1913</v>
      </c>
      <c r="Z445" s="67" t="s">
        <v>1909</v>
      </c>
      <c r="AC445" s="69" t="s">
        <v>2642</v>
      </c>
    </row>
    <row r="446" ht="39.6" spans="1:29">
      <c r="A446" s="29">
        <v>10044321</v>
      </c>
      <c r="B446" s="30">
        <v>5</v>
      </c>
      <c r="C446" s="63" t="s">
        <v>2643</v>
      </c>
      <c r="D446" s="64" t="s">
        <v>14</v>
      </c>
      <c r="E446" s="65">
        <v>0</v>
      </c>
      <c r="F446" s="65">
        <v>3</v>
      </c>
      <c r="G446" s="30">
        <v>0</v>
      </c>
      <c r="H446" s="30">
        <v>10</v>
      </c>
      <c r="I446" s="30">
        <v>0</v>
      </c>
      <c r="J446" s="30">
        <v>0</v>
      </c>
      <c r="K446" s="30">
        <v>0</v>
      </c>
      <c r="L446" s="30" t="s">
        <v>1802</v>
      </c>
      <c r="M446" s="30">
        <v>0</v>
      </c>
      <c r="N446" s="30">
        <v>0</v>
      </c>
      <c r="O446" s="66">
        <v>0</v>
      </c>
      <c r="P446" s="30">
        <v>0</v>
      </c>
      <c r="Q446" s="30">
        <v>0</v>
      </c>
      <c r="R446" s="30">
        <v>0</v>
      </c>
      <c r="S446" s="30">
        <v>0</v>
      </c>
      <c r="T446" s="30">
        <v>0</v>
      </c>
      <c r="U446" s="31">
        <v>0</v>
      </c>
      <c r="V446" s="67">
        <v>0</v>
      </c>
      <c r="W446" s="67">
        <f>0*0*2.5</f>
        <v>0</v>
      </c>
      <c r="X446" s="67">
        <v>0</v>
      </c>
      <c r="Z446" s="67" t="s">
        <v>1980</v>
      </c>
      <c r="AC446" s="69" t="s">
        <v>2644</v>
      </c>
    </row>
    <row r="447" spans="1:28">
      <c r="A447" s="29">
        <v>10044421</v>
      </c>
      <c r="B447" s="30">
        <v>5</v>
      </c>
      <c r="C447" s="63" t="s">
        <v>1070</v>
      </c>
      <c r="D447" s="64" t="s">
        <v>1845</v>
      </c>
      <c r="E447" s="65">
        <v>0</v>
      </c>
      <c r="F447" s="65">
        <v>30</v>
      </c>
      <c r="G447" s="30">
        <v>0</v>
      </c>
      <c r="H447" s="30">
        <v>0</v>
      </c>
      <c r="I447" s="30">
        <v>0</v>
      </c>
      <c r="J447" s="30">
        <v>0</v>
      </c>
      <c r="K447" s="30">
        <v>-2</v>
      </c>
      <c r="L447" s="30" t="s">
        <v>52</v>
      </c>
      <c r="M447" s="30">
        <v>-2</v>
      </c>
      <c r="N447" s="30">
        <v>0</v>
      </c>
      <c r="O447" s="66">
        <v>0</v>
      </c>
      <c r="P447" s="30">
        <v>0</v>
      </c>
      <c r="Q447" s="30">
        <v>0</v>
      </c>
      <c r="R447" s="30">
        <v>0</v>
      </c>
      <c r="S447" s="30">
        <v>0</v>
      </c>
      <c r="T447" s="30">
        <v>0</v>
      </c>
      <c r="U447" s="31">
        <v>0</v>
      </c>
      <c r="V447" s="67">
        <v>0</v>
      </c>
      <c r="W447" s="67">
        <f>0*0*2.5</f>
        <v>0</v>
      </c>
      <c r="X447" s="67">
        <v>0</v>
      </c>
      <c r="Y447" s="67" t="s">
        <v>2645</v>
      </c>
      <c r="Z447" s="67" t="s">
        <v>1069</v>
      </c>
      <c r="AB447" s="69" t="s">
        <v>1069</v>
      </c>
    </row>
    <row r="448" ht="26.4" spans="1:28">
      <c r="A448" s="29">
        <v>10044521</v>
      </c>
      <c r="B448" s="30">
        <v>5</v>
      </c>
      <c r="C448" s="63" t="s">
        <v>1517</v>
      </c>
      <c r="D448" s="64" t="s">
        <v>1927</v>
      </c>
      <c r="E448" s="65">
        <v>0</v>
      </c>
      <c r="F448" s="65">
        <v>0</v>
      </c>
      <c r="G448" s="30">
        <v>0</v>
      </c>
      <c r="H448" s="30">
        <v>0</v>
      </c>
      <c r="I448" s="30">
        <v>0</v>
      </c>
      <c r="J448" s="30">
        <v>0</v>
      </c>
      <c r="K448" s="30">
        <v>0</v>
      </c>
      <c r="L448" s="30" t="s">
        <v>1802</v>
      </c>
      <c r="M448" s="30">
        <v>0</v>
      </c>
      <c r="N448" s="30">
        <v>0</v>
      </c>
      <c r="O448" s="66">
        <v>9</v>
      </c>
      <c r="P448" s="30">
        <v>0</v>
      </c>
      <c r="Q448" s="30">
        <v>0</v>
      </c>
      <c r="R448" s="30">
        <v>10</v>
      </c>
      <c r="S448" s="30">
        <v>0</v>
      </c>
      <c r="T448" s="30">
        <v>0</v>
      </c>
      <c r="U448" s="31">
        <v>0</v>
      </c>
      <c r="V448" s="67">
        <v>7</v>
      </c>
      <c r="W448" s="67">
        <f>10*0*2.5</f>
        <v>0</v>
      </c>
      <c r="X448" s="67">
        <v>10</v>
      </c>
      <c r="Y448" s="67" t="s">
        <v>2194</v>
      </c>
      <c r="Z448" s="67" t="s">
        <v>1909</v>
      </c>
      <c r="AB448" s="69" t="s">
        <v>2646</v>
      </c>
    </row>
    <row r="449" ht="26.4" spans="1:29">
      <c r="A449" s="29">
        <v>10044621</v>
      </c>
      <c r="B449" s="30">
        <v>4</v>
      </c>
      <c r="C449" s="63" t="s">
        <v>2647</v>
      </c>
      <c r="D449" s="64" t="s">
        <v>2089</v>
      </c>
      <c r="E449" s="65">
        <v>0</v>
      </c>
      <c r="F449" s="65">
        <v>0</v>
      </c>
      <c r="G449" s="30">
        <v>0</v>
      </c>
      <c r="H449" s="30">
        <v>0</v>
      </c>
      <c r="I449" s="30">
        <v>10</v>
      </c>
      <c r="J449" s="30">
        <v>9</v>
      </c>
      <c r="K449" s="30">
        <v>0</v>
      </c>
      <c r="L449" s="30" t="s">
        <v>1802</v>
      </c>
      <c r="M449" s="30">
        <v>0</v>
      </c>
      <c r="N449" s="30">
        <v>0</v>
      </c>
      <c r="O449" s="66">
        <v>4</v>
      </c>
      <c r="P449" s="30">
        <v>0</v>
      </c>
      <c r="Q449" s="30">
        <v>0</v>
      </c>
      <c r="R449" s="30">
        <v>0</v>
      </c>
      <c r="S449" s="30">
        <v>0</v>
      </c>
      <c r="T449" s="30">
        <v>0</v>
      </c>
      <c r="U449" s="31">
        <v>0</v>
      </c>
      <c r="V449" s="67">
        <v>5</v>
      </c>
      <c r="W449" s="67">
        <f>0*0*2.5</f>
        <v>0</v>
      </c>
      <c r="X449" s="67">
        <v>0</v>
      </c>
      <c r="Y449" s="67" t="s">
        <v>1913</v>
      </c>
      <c r="Z449" s="67" t="s">
        <v>2090</v>
      </c>
      <c r="AC449" s="69" t="s">
        <v>2538</v>
      </c>
    </row>
    <row r="450" ht="39.6" spans="1:29">
      <c r="A450" s="29">
        <v>10044721</v>
      </c>
      <c r="B450" s="30">
        <v>5</v>
      </c>
      <c r="C450" s="63" t="s">
        <v>2648</v>
      </c>
      <c r="D450" s="64" t="s">
        <v>1907</v>
      </c>
      <c r="E450" s="65">
        <v>0</v>
      </c>
      <c r="F450" s="65">
        <v>0</v>
      </c>
      <c r="G450" s="30">
        <v>0</v>
      </c>
      <c r="H450" s="30">
        <v>0</v>
      </c>
      <c r="I450" s="30">
        <v>0</v>
      </c>
      <c r="J450" s="30">
        <v>0</v>
      </c>
      <c r="K450" s="30">
        <v>0</v>
      </c>
      <c r="L450" s="30" t="s">
        <v>1802</v>
      </c>
      <c r="M450" s="30">
        <v>0</v>
      </c>
      <c r="N450" s="30">
        <v>0</v>
      </c>
      <c r="O450" s="66">
        <v>0</v>
      </c>
      <c r="P450" s="30">
        <v>0</v>
      </c>
      <c r="Q450" s="30">
        <v>0</v>
      </c>
      <c r="R450" s="30">
        <v>11</v>
      </c>
      <c r="S450" s="30">
        <v>0</v>
      </c>
      <c r="T450" s="30">
        <v>0</v>
      </c>
      <c r="U450" s="31">
        <v>0</v>
      </c>
      <c r="V450" s="67">
        <v>5</v>
      </c>
      <c r="W450" s="67">
        <f>11*0*2.5</f>
        <v>0</v>
      </c>
      <c r="X450" s="67">
        <v>11</v>
      </c>
      <c r="Y450" s="67" t="s">
        <v>2495</v>
      </c>
      <c r="Z450" s="67" t="s">
        <v>1909</v>
      </c>
      <c r="AC450" s="69" t="s">
        <v>2598</v>
      </c>
    </row>
    <row r="451" ht="39.6" spans="1:29">
      <c r="A451" s="29">
        <v>10044821</v>
      </c>
      <c r="B451" s="30">
        <v>4</v>
      </c>
      <c r="C451" s="63" t="s">
        <v>2649</v>
      </c>
      <c r="D451" s="64" t="s">
        <v>1960</v>
      </c>
      <c r="E451" s="65">
        <v>0</v>
      </c>
      <c r="F451" s="65">
        <v>2</v>
      </c>
      <c r="G451" s="30">
        <v>0</v>
      </c>
      <c r="H451" s="30">
        <v>0</v>
      </c>
      <c r="I451" s="30">
        <v>7</v>
      </c>
      <c r="J451" s="30">
        <v>8</v>
      </c>
      <c r="K451" s="30">
        <v>3</v>
      </c>
      <c r="L451" s="30" t="s">
        <v>1802</v>
      </c>
      <c r="M451" s="30">
        <v>3</v>
      </c>
      <c r="N451" s="30">
        <v>0</v>
      </c>
      <c r="O451" s="66">
        <v>0</v>
      </c>
      <c r="P451" s="30">
        <v>0</v>
      </c>
      <c r="Q451" s="30">
        <v>0</v>
      </c>
      <c r="R451" s="30">
        <v>0</v>
      </c>
      <c r="S451" s="30">
        <v>0</v>
      </c>
      <c r="T451" s="30">
        <v>0</v>
      </c>
      <c r="U451" s="31">
        <v>0</v>
      </c>
      <c r="V451" s="67">
        <v>0</v>
      </c>
      <c r="W451" s="67">
        <f>0*0*2.5</f>
        <v>0</v>
      </c>
      <c r="X451" s="67">
        <v>0</v>
      </c>
      <c r="Z451" s="67" t="s">
        <v>1883</v>
      </c>
      <c r="AC451" s="69" t="s">
        <v>2650</v>
      </c>
    </row>
    <row r="452" ht="39.6" spans="1:29">
      <c r="A452" s="29">
        <v>10044921</v>
      </c>
      <c r="B452" s="30">
        <v>5</v>
      </c>
      <c r="C452" s="63" t="s">
        <v>2651</v>
      </c>
      <c r="D452" s="64" t="s">
        <v>1845</v>
      </c>
      <c r="E452" s="65">
        <v>0</v>
      </c>
      <c r="F452" s="65">
        <v>24</v>
      </c>
      <c r="G452" s="30">
        <v>0</v>
      </c>
      <c r="H452" s="30">
        <v>0</v>
      </c>
      <c r="I452" s="30">
        <v>0</v>
      </c>
      <c r="J452" s="30">
        <v>2</v>
      </c>
      <c r="K452" s="30">
        <v>7</v>
      </c>
      <c r="L452" s="30" t="s">
        <v>52</v>
      </c>
      <c r="M452" s="30">
        <v>0</v>
      </c>
      <c r="N452" s="30">
        <v>0</v>
      </c>
      <c r="O452" s="66">
        <v>0</v>
      </c>
      <c r="P452" s="30">
        <v>0</v>
      </c>
      <c r="Q452" s="30">
        <v>0</v>
      </c>
      <c r="R452" s="30">
        <v>2</v>
      </c>
      <c r="S452" s="30">
        <v>0</v>
      </c>
      <c r="T452" s="30">
        <v>0</v>
      </c>
      <c r="U452" s="31">
        <v>0</v>
      </c>
      <c r="V452" s="67">
        <v>0</v>
      </c>
      <c r="W452" s="67">
        <f>2*0*2.5</f>
        <v>0</v>
      </c>
      <c r="X452" s="67">
        <v>2</v>
      </c>
      <c r="Z452" s="67" t="s">
        <v>1846</v>
      </c>
      <c r="AC452" s="69" t="s">
        <v>2652</v>
      </c>
    </row>
    <row r="453" ht="39.6" spans="1:29">
      <c r="A453" s="29">
        <v>10045021</v>
      </c>
      <c r="B453" s="30">
        <v>4</v>
      </c>
      <c r="C453" s="63" t="s">
        <v>2653</v>
      </c>
      <c r="D453" s="64" t="s">
        <v>1952</v>
      </c>
      <c r="E453" s="65">
        <v>0</v>
      </c>
      <c r="F453" s="65">
        <v>0</v>
      </c>
      <c r="G453" s="30">
        <v>0</v>
      </c>
      <c r="H453" s="30">
        <v>0</v>
      </c>
      <c r="I453" s="30">
        <v>7</v>
      </c>
      <c r="J453" s="30">
        <v>8</v>
      </c>
      <c r="K453" s="30">
        <v>3</v>
      </c>
      <c r="L453" s="30" t="s">
        <v>1802</v>
      </c>
      <c r="M453" s="30">
        <v>0</v>
      </c>
      <c r="N453" s="30">
        <v>0</v>
      </c>
      <c r="O453" s="66">
        <v>0</v>
      </c>
      <c r="P453" s="30">
        <v>0</v>
      </c>
      <c r="Q453" s="30">
        <v>0</v>
      </c>
      <c r="R453" s="30">
        <v>0</v>
      </c>
      <c r="S453" s="30">
        <v>0</v>
      </c>
      <c r="T453" s="30">
        <v>0</v>
      </c>
      <c r="U453" s="31">
        <v>0</v>
      </c>
      <c r="V453" s="67">
        <v>4</v>
      </c>
      <c r="W453" s="67">
        <f>0*0*2.5</f>
        <v>0</v>
      </c>
      <c r="X453" s="67">
        <v>0</v>
      </c>
      <c r="Y453" s="67" t="s">
        <v>1908</v>
      </c>
      <c r="Z453" s="67" t="s">
        <v>1953</v>
      </c>
      <c r="AC453" s="69" t="s">
        <v>2654</v>
      </c>
    </row>
    <row r="454" ht="39.6" spans="1:29">
      <c r="A454" s="29">
        <v>10045121</v>
      </c>
      <c r="B454" s="30">
        <v>5</v>
      </c>
      <c r="C454" s="63" t="s">
        <v>2655</v>
      </c>
      <c r="D454" s="64" t="s">
        <v>14</v>
      </c>
      <c r="E454" s="65">
        <v>0</v>
      </c>
      <c r="F454" s="65">
        <v>0</v>
      </c>
      <c r="G454" s="30">
        <v>0</v>
      </c>
      <c r="H454" s="30">
        <v>13</v>
      </c>
      <c r="I454" s="30">
        <v>0</v>
      </c>
      <c r="J454" s="30">
        <v>0</v>
      </c>
      <c r="K454" s="30">
        <v>3</v>
      </c>
      <c r="L454" s="30" t="s">
        <v>1802</v>
      </c>
      <c r="M454" s="30">
        <v>4</v>
      </c>
      <c r="N454" s="30">
        <v>0</v>
      </c>
      <c r="O454" s="66">
        <v>0</v>
      </c>
      <c r="P454" s="30">
        <v>0</v>
      </c>
      <c r="Q454" s="30">
        <v>0</v>
      </c>
      <c r="R454" s="30">
        <v>0</v>
      </c>
      <c r="S454" s="30">
        <v>0</v>
      </c>
      <c r="T454" s="30">
        <v>0</v>
      </c>
      <c r="U454" s="31">
        <v>0</v>
      </c>
      <c r="V454" s="67">
        <v>0</v>
      </c>
      <c r="W454" s="67">
        <f>0*0*2.5</f>
        <v>0</v>
      </c>
      <c r="X454" s="67">
        <v>0</v>
      </c>
      <c r="Z454" s="67" t="s">
        <v>2101</v>
      </c>
      <c r="AB454" s="69" t="s">
        <v>2656</v>
      </c>
      <c r="AC454" s="69" t="s">
        <v>2657</v>
      </c>
    </row>
    <row r="455" ht="39.6" spans="1:29">
      <c r="A455" s="29">
        <v>10045221</v>
      </c>
      <c r="B455" s="30">
        <v>5</v>
      </c>
      <c r="C455" s="63" t="s">
        <v>2658</v>
      </c>
      <c r="D455" s="64" t="s">
        <v>1845</v>
      </c>
      <c r="E455" s="65">
        <v>0</v>
      </c>
      <c r="F455" s="65">
        <v>24</v>
      </c>
      <c r="G455" s="30">
        <v>0</v>
      </c>
      <c r="H455" s="30">
        <v>0</v>
      </c>
      <c r="I455" s="30">
        <v>0</v>
      </c>
      <c r="J455" s="30">
        <v>5</v>
      </c>
      <c r="K455" s="30">
        <v>4</v>
      </c>
      <c r="L455" s="30" t="s">
        <v>52</v>
      </c>
      <c r="M455" s="30">
        <v>0</v>
      </c>
      <c r="N455" s="30">
        <v>2</v>
      </c>
      <c r="O455" s="66">
        <v>0</v>
      </c>
      <c r="P455" s="30">
        <v>0</v>
      </c>
      <c r="Q455" s="30">
        <v>0</v>
      </c>
      <c r="R455" s="30">
        <v>3</v>
      </c>
      <c r="S455" s="30">
        <v>0</v>
      </c>
      <c r="T455" s="30">
        <v>0.25</v>
      </c>
      <c r="U455" s="31">
        <v>0</v>
      </c>
      <c r="V455" s="67">
        <v>0</v>
      </c>
      <c r="W455" s="67">
        <f>3*0*2.5</f>
        <v>0</v>
      </c>
      <c r="X455" s="67">
        <f>3+MAX($X$2,0.25)*3*$X$1</f>
        <v>17.4</v>
      </c>
      <c r="Y455" s="67" t="s">
        <v>1851</v>
      </c>
      <c r="Z455" s="67" t="s">
        <v>1846</v>
      </c>
      <c r="AC455" s="69" t="s">
        <v>2659</v>
      </c>
    </row>
    <row r="456" ht="39.6" spans="1:29">
      <c r="A456" s="29">
        <v>10045321</v>
      </c>
      <c r="B456" s="30">
        <v>5</v>
      </c>
      <c r="C456" s="63" t="s">
        <v>2660</v>
      </c>
      <c r="D456" s="64" t="s">
        <v>1907</v>
      </c>
      <c r="E456" s="65">
        <v>0</v>
      </c>
      <c r="F456" s="65">
        <v>0</v>
      </c>
      <c r="G456" s="30">
        <v>0</v>
      </c>
      <c r="H456" s="30">
        <v>0</v>
      </c>
      <c r="I456" s="30">
        <v>0</v>
      </c>
      <c r="J456" s="30">
        <v>3</v>
      </c>
      <c r="K456" s="30">
        <v>0</v>
      </c>
      <c r="L456" s="30" t="s">
        <v>1802</v>
      </c>
      <c r="M456" s="30">
        <v>0</v>
      </c>
      <c r="N456" s="30">
        <v>0</v>
      </c>
      <c r="O456" s="66">
        <v>5</v>
      </c>
      <c r="P456" s="30">
        <v>0</v>
      </c>
      <c r="Q456" s="30">
        <v>0</v>
      </c>
      <c r="R456" s="30">
        <v>9</v>
      </c>
      <c r="S456" s="30">
        <v>0</v>
      </c>
      <c r="T456" s="30">
        <v>0</v>
      </c>
      <c r="U456" s="31">
        <v>0</v>
      </c>
      <c r="V456" s="67">
        <v>5</v>
      </c>
      <c r="W456" s="67">
        <f>9*0*2.5</f>
        <v>0</v>
      </c>
      <c r="X456" s="67">
        <v>9</v>
      </c>
      <c r="Y456" s="67" t="s">
        <v>2495</v>
      </c>
      <c r="Z456" s="67" t="s">
        <v>1909</v>
      </c>
      <c r="AC456" s="69" t="s">
        <v>2661</v>
      </c>
    </row>
    <row r="457" ht="39.6" spans="1:29">
      <c r="A457" s="29">
        <v>10045421</v>
      </c>
      <c r="B457" s="30">
        <v>5</v>
      </c>
      <c r="C457" s="63" t="s">
        <v>2662</v>
      </c>
      <c r="D457" s="64" t="s">
        <v>14</v>
      </c>
      <c r="E457" s="65">
        <v>0</v>
      </c>
      <c r="F457" s="65">
        <v>0</v>
      </c>
      <c r="G457" s="30">
        <v>0</v>
      </c>
      <c r="H457" s="30">
        <v>18</v>
      </c>
      <c r="I457" s="30">
        <v>0</v>
      </c>
      <c r="J457" s="30">
        <v>0</v>
      </c>
      <c r="K457" s="30">
        <v>-1</v>
      </c>
      <c r="L457" s="30" t="s">
        <v>1802</v>
      </c>
      <c r="M457" s="30">
        <v>-2</v>
      </c>
      <c r="N457" s="30">
        <v>0</v>
      </c>
      <c r="O457" s="66">
        <v>0</v>
      </c>
      <c r="P457" s="30">
        <v>0</v>
      </c>
      <c r="Q457" s="30">
        <v>0</v>
      </c>
      <c r="R457" s="30">
        <v>0</v>
      </c>
      <c r="S457" s="30">
        <v>0</v>
      </c>
      <c r="T457" s="30">
        <v>0</v>
      </c>
      <c r="U457" s="31">
        <v>0</v>
      </c>
      <c r="V457" s="67">
        <v>0</v>
      </c>
      <c r="W457" s="67">
        <f>0*0*2.5</f>
        <v>0</v>
      </c>
      <c r="X457" s="67">
        <v>0</v>
      </c>
      <c r="Z457" s="67" t="s">
        <v>1980</v>
      </c>
      <c r="AB457" s="69" t="s">
        <v>2218</v>
      </c>
      <c r="AC457" s="69" t="s">
        <v>2375</v>
      </c>
    </row>
    <row r="458" ht="39.6" spans="1:29">
      <c r="A458" s="29">
        <v>10045521</v>
      </c>
      <c r="B458" s="30">
        <v>5</v>
      </c>
      <c r="C458" s="63" t="s">
        <v>2663</v>
      </c>
      <c r="D458" s="64" t="s">
        <v>1805</v>
      </c>
      <c r="E458" s="65">
        <v>0</v>
      </c>
      <c r="F458" s="65">
        <v>3</v>
      </c>
      <c r="G458" s="30">
        <v>0</v>
      </c>
      <c r="H458" s="30">
        <v>0</v>
      </c>
      <c r="I458" s="30">
        <v>0</v>
      </c>
      <c r="J458" s="30">
        <v>3</v>
      </c>
      <c r="K458" s="30">
        <v>0</v>
      </c>
      <c r="L458" s="30" t="s">
        <v>115</v>
      </c>
      <c r="M458" s="30">
        <v>0</v>
      </c>
      <c r="N458" s="30">
        <v>0</v>
      </c>
      <c r="O458" s="66">
        <v>0</v>
      </c>
      <c r="P458" s="30">
        <v>0</v>
      </c>
      <c r="Q458" s="30">
        <v>0</v>
      </c>
      <c r="R458" s="30">
        <v>8</v>
      </c>
      <c r="S458" s="30">
        <v>2.5</v>
      </c>
      <c r="T458" s="30">
        <v>0.5</v>
      </c>
      <c r="U458" s="31">
        <v>0</v>
      </c>
      <c r="V458" s="67">
        <v>0</v>
      </c>
      <c r="W458" s="67">
        <f>8*2.5*2.5</f>
        <v>50</v>
      </c>
      <c r="X458" s="67">
        <f>8+MAX($X$2,0.5)*8*$X$1</f>
        <v>46.4</v>
      </c>
      <c r="Y458" s="67" t="s">
        <v>2664</v>
      </c>
      <c r="Z458" s="67" t="s">
        <v>1807</v>
      </c>
      <c r="AC458" s="69" t="s">
        <v>2538</v>
      </c>
    </row>
    <row r="459" ht="39.6" spans="1:29">
      <c r="A459" s="29">
        <v>10045621</v>
      </c>
      <c r="B459" s="30">
        <v>5</v>
      </c>
      <c r="C459" s="63" t="s">
        <v>2665</v>
      </c>
      <c r="D459" s="64" t="s">
        <v>1805</v>
      </c>
      <c r="E459" s="65">
        <v>0</v>
      </c>
      <c r="F459" s="65">
        <v>4</v>
      </c>
      <c r="G459" s="30">
        <v>0</v>
      </c>
      <c r="H459" s="30">
        <v>0</v>
      </c>
      <c r="I459" s="30">
        <v>0</v>
      </c>
      <c r="J459" s="30">
        <v>0</v>
      </c>
      <c r="K459" s="30">
        <v>3</v>
      </c>
      <c r="L459" s="30" t="s">
        <v>115</v>
      </c>
      <c r="M459" s="30">
        <v>2</v>
      </c>
      <c r="N459" s="30">
        <v>0</v>
      </c>
      <c r="O459" s="66">
        <v>0</v>
      </c>
      <c r="P459" s="30">
        <v>0</v>
      </c>
      <c r="Q459" s="30">
        <v>0</v>
      </c>
      <c r="R459" s="30">
        <v>8</v>
      </c>
      <c r="S459" s="30">
        <v>2.6</v>
      </c>
      <c r="T459" s="30">
        <v>0.5</v>
      </c>
      <c r="U459" s="31">
        <v>0</v>
      </c>
      <c r="V459" s="67">
        <v>0</v>
      </c>
      <c r="W459" s="67">
        <f>8*2.6*2.5</f>
        <v>52</v>
      </c>
      <c r="X459" s="67">
        <f>8+MAX($X$2,0.5)*8*$X$1</f>
        <v>46.4</v>
      </c>
      <c r="Y459" s="67" t="s">
        <v>2666</v>
      </c>
      <c r="Z459" s="67" t="s">
        <v>1807</v>
      </c>
      <c r="AC459" s="69" t="s">
        <v>2667</v>
      </c>
    </row>
    <row r="460" ht="39.6" spans="1:29">
      <c r="A460" s="29">
        <v>10045721</v>
      </c>
      <c r="B460" s="30">
        <v>4</v>
      </c>
      <c r="C460" s="63" t="s">
        <v>2668</v>
      </c>
      <c r="D460" s="64" t="s">
        <v>14</v>
      </c>
      <c r="E460" s="65">
        <v>0</v>
      </c>
      <c r="F460" s="65">
        <v>0</v>
      </c>
      <c r="G460" s="30">
        <v>0</v>
      </c>
      <c r="H460" s="30">
        <v>12</v>
      </c>
      <c r="I460" s="30">
        <v>0</v>
      </c>
      <c r="J460" s="30">
        <v>0</v>
      </c>
      <c r="K460" s="30">
        <v>5</v>
      </c>
      <c r="L460" s="30" t="s">
        <v>1802</v>
      </c>
      <c r="M460" s="30">
        <v>4</v>
      </c>
      <c r="N460" s="30">
        <v>0</v>
      </c>
      <c r="O460" s="66">
        <v>0</v>
      </c>
      <c r="P460" s="30">
        <v>0</v>
      </c>
      <c r="Q460" s="30">
        <v>0</v>
      </c>
      <c r="R460" s="30">
        <v>0</v>
      </c>
      <c r="S460" s="30">
        <v>0</v>
      </c>
      <c r="T460" s="30">
        <v>0</v>
      </c>
      <c r="U460" s="31">
        <v>0</v>
      </c>
      <c r="V460" s="67">
        <v>0</v>
      </c>
      <c r="W460" s="67">
        <f>0*0*2.5</f>
        <v>0</v>
      </c>
      <c r="X460" s="67">
        <v>0</v>
      </c>
      <c r="Z460" s="67" t="s">
        <v>2101</v>
      </c>
      <c r="AC460" s="69" t="s">
        <v>2669</v>
      </c>
    </row>
    <row r="461" ht="39.6" spans="1:29">
      <c r="A461" s="29">
        <v>10045821</v>
      </c>
      <c r="B461" s="30">
        <v>6</v>
      </c>
      <c r="C461" s="63" t="s">
        <v>2670</v>
      </c>
      <c r="D461" s="64" t="s">
        <v>1927</v>
      </c>
      <c r="E461" s="65">
        <v>0</v>
      </c>
      <c r="F461" s="65">
        <v>0</v>
      </c>
      <c r="G461" s="30">
        <v>0</v>
      </c>
      <c r="H461" s="30">
        <v>0</v>
      </c>
      <c r="I461" s="30">
        <v>0</v>
      </c>
      <c r="J461" s="30">
        <v>0</v>
      </c>
      <c r="K461" s="30">
        <v>0</v>
      </c>
      <c r="L461" s="30" t="s">
        <v>1802</v>
      </c>
      <c r="M461" s="30">
        <v>0</v>
      </c>
      <c r="N461" s="30">
        <v>0</v>
      </c>
      <c r="O461" s="66">
        <v>23</v>
      </c>
      <c r="P461" s="30">
        <v>0</v>
      </c>
      <c r="Q461" s="30">
        <v>0</v>
      </c>
      <c r="R461" s="30">
        <v>0</v>
      </c>
      <c r="S461" s="30">
        <v>0</v>
      </c>
      <c r="T461" s="30">
        <v>0</v>
      </c>
      <c r="U461" s="31">
        <v>0</v>
      </c>
      <c r="V461" s="67">
        <v>15</v>
      </c>
      <c r="W461" s="67">
        <f>0*0*2.5</f>
        <v>0</v>
      </c>
      <c r="X461" s="67">
        <v>0</v>
      </c>
      <c r="Y461" s="67" t="s">
        <v>2049</v>
      </c>
      <c r="Z461" s="67" t="s">
        <v>1909</v>
      </c>
      <c r="AB461" s="69" t="s">
        <v>2671</v>
      </c>
      <c r="AC461" s="69" t="s">
        <v>2672</v>
      </c>
    </row>
    <row r="462" ht="39.6" spans="1:29">
      <c r="A462" s="29">
        <v>10045921</v>
      </c>
      <c r="B462" s="30">
        <v>5</v>
      </c>
      <c r="C462" s="63" t="s">
        <v>2673</v>
      </c>
      <c r="D462" s="64" t="s">
        <v>1907</v>
      </c>
      <c r="E462" s="65">
        <v>0</v>
      </c>
      <c r="F462" s="65">
        <v>0</v>
      </c>
      <c r="G462" s="30">
        <v>0</v>
      </c>
      <c r="H462" s="30">
        <v>0</v>
      </c>
      <c r="I462" s="30">
        <v>0</v>
      </c>
      <c r="J462" s="30">
        <v>0</v>
      </c>
      <c r="K462" s="30">
        <v>0</v>
      </c>
      <c r="L462" s="30" t="s">
        <v>1802</v>
      </c>
      <c r="M462" s="30">
        <v>0</v>
      </c>
      <c r="N462" s="30">
        <v>0</v>
      </c>
      <c r="O462" s="66">
        <v>0</v>
      </c>
      <c r="P462" s="30">
        <v>0</v>
      </c>
      <c r="Q462" s="30">
        <v>0</v>
      </c>
      <c r="R462" s="30">
        <v>14</v>
      </c>
      <c r="S462" s="30">
        <v>0</v>
      </c>
      <c r="T462" s="30">
        <v>0</v>
      </c>
      <c r="U462" s="31">
        <v>0</v>
      </c>
      <c r="V462" s="67">
        <v>6</v>
      </c>
      <c r="W462" s="67">
        <f>14*0*2.5</f>
        <v>0</v>
      </c>
      <c r="X462" s="67">
        <v>14</v>
      </c>
      <c r="Y462" s="67" t="s">
        <v>1920</v>
      </c>
      <c r="Z462" s="67" t="s">
        <v>2090</v>
      </c>
      <c r="AC462" s="69" t="s">
        <v>2674</v>
      </c>
    </row>
    <row r="463" ht="39.6" spans="1:29">
      <c r="A463" s="29">
        <v>10046021</v>
      </c>
      <c r="B463" s="30">
        <v>5</v>
      </c>
      <c r="C463" s="63" t="s">
        <v>2675</v>
      </c>
      <c r="D463" s="64" t="s">
        <v>2283</v>
      </c>
      <c r="E463" s="65">
        <v>0</v>
      </c>
      <c r="F463" s="65">
        <v>18</v>
      </c>
      <c r="G463" s="30">
        <v>0</v>
      </c>
      <c r="H463" s="30">
        <v>0</v>
      </c>
      <c r="I463" s="30">
        <v>0</v>
      </c>
      <c r="J463" s="30">
        <v>0</v>
      </c>
      <c r="K463" s="30">
        <v>0</v>
      </c>
      <c r="L463" s="30" t="s">
        <v>1802</v>
      </c>
      <c r="M463" s="30">
        <v>0</v>
      </c>
      <c r="N463" s="30">
        <v>0</v>
      </c>
      <c r="O463" s="66">
        <v>0</v>
      </c>
      <c r="P463" s="30">
        <v>24</v>
      </c>
      <c r="Q463" s="30">
        <v>0</v>
      </c>
      <c r="R463" s="30">
        <v>17</v>
      </c>
      <c r="S463" s="30">
        <v>3.8</v>
      </c>
      <c r="T463" s="30">
        <v>0.75</v>
      </c>
      <c r="U463" s="31">
        <v>0</v>
      </c>
      <c r="V463" s="67">
        <v>8</v>
      </c>
      <c r="W463" s="67">
        <f>17*3.8*2.5</f>
        <v>161.5</v>
      </c>
      <c r="X463" s="67">
        <f>17+MAX($X$2,0.75)*17*$X$1</f>
        <v>98.6</v>
      </c>
      <c r="Y463" s="67" t="s">
        <v>2676</v>
      </c>
      <c r="Z463" s="67" t="s">
        <v>2280</v>
      </c>
      <c r="AC463" s="69" t="s">
        <v>2677</v>
      </c>
    </row>
    <row r="464" ht="39.6" spans="1:29">
      <c r="A464" s="29">
        <v>10046121</v>
      </c>
      <c r="B464" s="30">
        <v>4</v>
      </c>
      <c r="C464" s="63" t="s">
        <v>2678</v>
      </c>
      <c r="D464" s="64" t="s">
        <v>1801</v>
      </c>
      <c r="E464" s="65">
        <v>0</v>
      </c>
      <c r="F464" s="65">
        <v>0</v>
      </c>
      <c r="G464" s="30">
        <v>0</v>
      </c>
      <c r="H464" s="30">
        <v>0</v>
      </c>
      <c r="I464" s="30">
        <v>0</v>
      </c>
      <c r="J464" s="30">
        <v>3</v>
      </c>
      <c r="K464" s="30">
        <v>0</v>
      </c>
      <c r="L464" s="30" t="s">
        <v>1802</v>
      </c>
      <c r="M464" s="30">
        <v>7</v>
      </c>
      <c r="N464" s="30">
        <v>2</v>
      </c>
      <c r="O464" s="66">
        <v>0</v>
      </c>
      <c r="P464" s="30">
        <v>0</v>
      </c>
      <c r="Q464" s="30">
        <v>0</v>
      </c>
      <c r="R464" s="30">
        <v>0</v>
      </c>
      <c r="S464" s="30">
        <v>0</v>
      </c>
      <c r="T464" s="30">
        <v>0</v>
      </c>
      <c r="U464" s="31">
        <v>0</v>
      </c>
      <c r="V464" s="67">
        <v>0</v>
      </c>
      <c r="W464" s="67">
        <f>0*0*2.5</f>
        <v>0</v>
      </c>
      <c r="X464" s="67">
        <v>0</v>
      </c>
      <c r="Z464" s="67" t="s">
        <v>2101</v>
      </c>
      <c r="AB464" s="69" t="s">
        <v>2679</v>
      </c>
      <c r="AC464" s="69" t="s">
        <v>2680</v>
      </c>
    </row>
    <row r="465" ht="39.6" spans="1:29">
      <c r="A465" s="29">
        <v>10046221</v>
      </c>
      <c r="B465" s="30">
        <v>5</v>
      </c>
      <c r="C465" s="63" t="s">
        <v>2681</v>
      </c>
      <c r="D465" s="64" t="s">
        <v>1805</v>
      </c>
      <c r="E465" s="65">
        <v>0</v>
      </c>
      <c r="F465" s="65">
        <v>2</v>
      </c>
      <c r="G465" s="30">
        <v>0</v>
      </c>
      <c r="H465" s="30">
        <v>0</v>
      </c>
      <c r="I465" s="30">
        <v>0</v>
      </c>
      <c r="J465" s="30">
        <v>0</v>
      </c>
      <c r="K465" s="30">
        <v>0</v>
      </c>
      <c r="L465" s="30" t="s">
        <v>115</v>
      </c>
      <c r="M465" s="30">
        <v>0</v>
      </c>
      <c r="N465" s="30">
        <v>0</v>
      </c>
      <c r="O465" s="66">
        <v>0</v>
      </c>
      <c r="P465" s="30">
        <v>0</v>
      </c>
      <c r="Q465" s="30">
        <v>0</v>
      </c>
      <c r="R465" s="30">
        <v>15</v>
      </c>
      <c r="S465" s="30">
        <v>3</v>
      </c>
      <c r="T465" s="30">
        <v>0.55</v>
      </c>
      <c r="U465" s="31">
        <v>0</v>
      </c>
      <c r="V465" s="67">
        <v>0</v>
      </c>
      <c r="W465" s="67">
        <f>15*3*2.5</f>
        <v>112.5</v>
      </c>
      <c r="X465" s="67">
        <f>15+MAX($X$2,0.55)*15*$X$1</f>
        <v>87</v>
      </c>
      <c r="Y465" s="67" t="s">
        <v>2604</v>
      </c>
      <c r="Z465" s="67" t="s">
        <v>1807</v>
      </c>
      <c r="AC465" s="69" t="s">
        <v>2682</v>
      </c>
    </row>
    <row r="466" ht="39.6" spans="1:29">
      <c r="A466" s="29">
        <v>10046321</v>
      </c>
      <c r="B466" s="30">
        <v>5</v>
      </c>
      <c r="C466" s="63" t="s">
        <v>2683</v>
      </c>
      <c r="D466" s="64" t="s">
        <v>1845</v>
      </c>
      <c r="E466" s="65">
        <v>0</v>
      </c>
      <c r="F466" s="65">
        <v>28</v>
      </c>
      <c r="G466" s="30">
        <v>0</v>
      </c>
      <c r="H466" s="30">
        <v>0</v>
      </c>
      <c r="I466" s="30">
        <v>0</v>
      </c>
      <c r="J466" s="30">
        <v>0</v>
      </c>
      <c r="K466" s="30">
        <v>2</v>
      </c>
      <c r="L466" s="30" t="s">
        <v>52</v>
      </c>
      <c r="M466" s="30">
        <v>0</v>
      </c>
      <c r="N466" s="30">
        <v>2</v>
      </c>
      <c r="O466" s="66">
        <v>0</v>
      </c>
      <c r="P466" s="30">
        <v>0</v>
      </c>
      <c r="Q466" s="30">
        <v>0</v>
      </c>
      <c r="R466" s="30">
        <v>0</v>
      </c>
      <c r="S466" s="30">
        <v>0</v>
      </c>
      <c r="T466" s="30">
        <v>0</v>
      </c>
      <c r="U466" s="31">
        <v>0</v>
      </c>
      <c r="V466" s="67">
        <v>0</v>
      </c>
      <c r="W466" s="67">
        <f>0*0*2.5</f>
        <v>0</v>
      </c>
      <c r="X466" s="67">
        <v>0</v>
      </c>
      <c r="Z466" s="67" t="s">
        <v>1846</v>
      </c>
      <c r="AC466" s="69" t="s">
        <v>2684</v>
      </c>
    </row>
    <row r="467" ht="26.4" spans="1:29">
      <c r="A467" s="29">
        <v>10046421</v>
      </c>
      <c r="B467" s="30">
        <v>5</v>
      </c>
      <c r="C467" s="63" t="s">
        <v>2685</v>
      </c>
      <c r="D467" s="64" t="s">
        <v>1927</v>
      </c>
      <c r="E467" s="65">
        <v>0</v>
      </c>
      <c r="F467" s="65">
        <v>0</v>
      </c>
      <c r="G467" s="30">
        <v>0</v>
      </c>
      <c r="H467" s="30">
        <v>0</v>
      </c>
      <c r="I467" s="30">
        <v>6</v>
      </c>
      <c r="J467" s="30">
        <v>2</v>
      </c>
      <c r="K467" s="30">
        <v>0</v>
      </c>
      <c r="L467" s="30" t="s">
        <v>1802</v>
      </c>
      <c r="M467" s="30">
        <v>0</v>
      </c>
      <c r="N467" s="30">
        <v>0</v>
      </c>
      <c r="O467" s="66">
        <v>13</v>
      </c>
      <c r="P467" s="30">
        <v>0</v>
      </c>
      <c r="Q467" s="30">
        <v>0</v>
      </c>
      <c r="R467" s="30">
        <v>0</v>
      </c>
      <c r="S467" s="30">
        <v>0</v>
      </c>
      <c r="T467" s="30">
        <v>0</v>
      </c>
      <c r="U467" s="31">
        <v>0</v>
      </c>
      <c r="V467" s="67">
        <v>5</v>
      </c>
      <c r="W467" s="67">
        <f>0*0*2.5</f>
        <v>0</v>
      </c>
      <c r="X467" s="67">
        <v>0</v>
      </c>
      <c r="Y467" s="67" t="s">
        <v>1913</v>
      </c>
      <c r="Z467" s="67" t="s">
        <v>1909</v>
      </c>
      <c r="AC467" s="69" t="s">
        <v>2203</v>
      </c>
    </row>
    <row r="468" ht="26.4" spans="1:29">
      <c r="A468" s="29">
        <v>10046521</v>
      </c>
      <c r="B468" s="30">
        <v>5</v>
      </c>
      <c r="C468" s="63" t="s">
        <v>2686</v>
      </c>
      <c r="D468" s="64" t="s">
        <v>2089</v>
      </c>
      <c r="E468" s="65">
        <v>0</v>
      </c>
      <c r="F468" s="65">
        <v>0</v>
      </c>
      <c r="G468" s="30">
        <v>0</v>
      </c>
      <c r="H468" s="30">
        <v>0</v>
      </c>
      <c r="I468" s="30">
        <v>5</v>
      </c>
      <c r="J468" s="30">
        <v>2</v>
      </c>
      <c r="K468" s="30">
        <v>0</v>
      </c>
      <c r="L468" s="30" t="s">
        <v>158</v>
      </c>
      <c r="M468" s="30">
        <v>0</v>
      </c>
      <c r="N468" s="30">
        <v>0</v>
      </c>
      <c r="O468" s="66">
        <v>9</v>
      </c>
      <c r="P468" s="30">
        <v>0</v>
      </c>
      <c r="Q468" s="30">
        <v>0</v>
      </c>
      <c r="R468" s="30">
        <v>0</v>
      </c>
      <c r="S468" s="30">
        <v>0</v>
      </c>
      <c r="T468" s="30">
        <v>0</v>
      </c>
      <c r="U468" s="31">
        <v>0</v>
      </c>
      <c r="V468" s="67">
        <v>5</v>
      </c>
      <c r="W468" s="67">
        <f>0*0*2.5</f>
        <v>0</v>
      </c>
      <c r="X468" s="67">
        <v>0</v>
      </c>
      <c r="Y468" s="67" t="s">
        <v>1913</v>
      </c>
      <c r="Z468" s="67" t="s">
        <v>2090</v>
      </c>
      <c r="AC468" s="69" t="s">
        <v>2203</v>
      </c>
    </row>
    <row r="469" ht="39.6" spans="1:29">
      <c r="A469" s="29">
        <v>10046621</v>
      </c>
      <c r="B469" s="30">
        <v>4</v>
      </c>
      <c r="C469" s="63" t="s">
        <v>2687</v>
      </c>
      <c r="D469" s="64" t="s">
        <v>14</v>
      </c>
      <c r="E469" s="65">
        <v>0</v>
      </c>
      <c r="F469" s="65">
        <v>0</v>
      </c>
      <c r="G469" s="30">
        <v>0</v>
      </c>
      <c r="H469" s="30">
        <v>12</v>
      </c>
      <c r="I469" s="30">
        <v>0</v>
      </c>
      <c r="J469" s="30">
        <v>0</v>
      </c>
      <c r="K469" s="30">
        <v>4</v>
      </c>
      <c r="L469" s="30" t="s">
        <v>1802</v>
      </c>
      <c r="M469" s="30">
        <v>2</v>
      </c>
      <c r="N469" s="30">
        <v>0</v>
      </c>
      <c r="O469" s="66">
        <v>0</v>
      </c>
      <c r="P469" s="30">
        <v>0</v>
      </c>
      <c r="Q469" s="30">
        <v>0</v>
      </c>
      <c r="R469" s="30">
        <v>0</v>
      </c>
      <c r="S469" s="30">
        <v>0</v>
      </c>
      <c r="T469" s="30">
        <v>0</v>
      </c>
      <c r="U469" s="31">
        <v>0</v>
      </c>
      <c r="V469" s="67">
        <v>0</v>
      </c>
      <c r="W469" s="67">
        <f>0*0*2.5</f>
        <v>0</v>
      </c>
      <c r="X469" s="67">
        <v>0</v>
      </c>
      <c r="Z469" s="67" t="s">
        <v>1980</v>
      </c>
      <c r="AC469" s="69" t="s">
        <v>2688</v>
      </c>
    </row>
    <row r="470" ht="39.6" spans="1:29">
      <c r="A470" s="29">
        <v>10046721</v>
      </c>
      <c r="B470" s="30">
        <v>6</v>
      </c>
      <c r="C470" s="63" t="s">
        <v>2689</v>
      </c>
      <c r="D470" s="64" t="s">
        <v>1828</v>
      </c>
      <c r="E470" s="65">
        <v>0</v>
      </c>
      <c r="F470" s="65">
        <v>13</v>
      </c>
      <c r="G470" s="30">
        <v>0</v>
      </c>
      <c r="H470" s="30">
        <v>0</v>
      </c>
      <c r="I470" s="30">
        <v>0</v>
      </c>
      <c r="J470" s="30">
        <v>0</v>
      </c>
      <c r="K470" s="30">
        <v>0</v>
      </c>
      <c r="L470" s="30" t="s">
        <v>158</v>
      </c>
      <c r="M470" s="30">
        <v>-2</v>
      </c>
      <c r="N470" s="30">
        <v>0</v>
      </c>
      <c r="O470" s="66">
        <v>0</v>
      </c>
      <c r="P470" s="30">
        <v>0</v>
      </c>
      <c r="Q470" s="30">
        <v>0</v>
      </c>
      <c r="R470" s="30">
        <v>8</v>
      </c>
      <c r="S470" s="30">
        <v>2.8</v>
      </c>
      <c r="T470" s="30">
        <v>0.35</v>
      </c>
      <c r="U470" s="31">
        <v>0</v>
      </c>
      <c r="V470" s="67">
        <v>0</v>
      </c>
      <c r="W470" s="67">
        <f>8*2.8*2.5</f>
        <v>56</v>
      </c>
      <c r="X470" s="67">
        <f>8+MAX($X$2,0.35)*8*$X$1</f>
        <v>46.4</v>
      </c>
      <c r="Y470" s="67" t="s">
        <v>1901</v>
      </c>
      <c r="Z470" s="67" t="s">
        <v>1829</v>
      </c>
      <c r="AC470" s="69" t="s">
        <v>2690</v>
      </c>
    </row>
    <row r="471" ht="92.4" spans="1:29">
      <c r="A471" s="29">
        <v>10046821</v>
      </c>
      <c r="B471" s="30">
        <v>6</v>
      </c>
      <c r="C471" s="63" t="s">
        <v>2691</v>
      </c>
      <c r="D471" s="64" t="s">
        <v>1845</v>
      </c>
      <c r="E471" s="65">
        <v>0</v>
      </c>
      <c r="F471" s="65">
        <v>30</v>
      </c>
      <c r="G471" s="30">
        <v>0</v>
      </c>
      <c r="H471" s="30">
        <v>0</v>
      </c>
      <c r="I471" s="30">
        <v>0</v>
      </c>
      <c r="J471" s="30">
        <v>0</v>
      </c>
      <c r="K471" s="30">
        <v>0</v>
      </c>
      <c r="L471" s="30" t="s">
        <v>1022</v>
      </c>
      <c r="M471" s="30">
        <v>-2</v>
      </c>
      <c r="N471" s="30">
        <v>0</v>
      </c>
      <c r="O471" s="66">
        <v>0</v>
      </c>
      <c r="P471" s="30">
        <v>0</v>
      </c>
      <c r="Q471" s="30">
        <v>0</v>
      </c>
      <c r="R471" s="30">
        <v>3</v>
      </c>
      <c r="S471" s="30">
        <v>0</v>
      </c>
      <c r="T471" s="30">
        <v>0.25</v>
      </c>
      <c r="U471" s="31">
        <v>0</v>
      </c>
      <c r="V471" s="67">
        <v>0</v>
      </c>
      <c r="W471" s="67">
        <f>3*0*2.5</f>
        <v>0</v>
      </c>
      <c r="X471" s="67">
        <f>3+MAX($X$2,0.25)*3*$X$1</f>
        <v>17.4</v>
      </c>
      <c r="Y471" s="67" t="s">
        <v>1851</v>
      </c>
      <c r="Z471" s="67" t="s">
        <v>1846</v>
      </c>
      <c r="AB471" s="69" t="s">
        <v>2692</v>
      </c>
      <c r="AC471" s="69" t="s">
        <v>2693</v>
      </c>
    </row>
    <row r="472" ht="39.6" spans="1:29">
      <c r="A472" s="29">
        <v>10046921</v>
      </c>
      <c r="B472" s="30">
        <v>5</v>
      </c>
      <c r="C472" s="63" t="s">
        <v>2694</v>
      </c>
      <c r="D472" s="64" t="s">
        <v>1907</v>
      </c>
      <c r="E472" s="65">
        <v>0</v>
      </c>
      <c r="F472" s="65">
        <v>0</v>
      </c>
      <c r="G472" s="30">
        <v>0</v>
      </c>
      <c r="H472" s="30">
        <v>0</v>
      </c>
      <c r="I472" s="30">
        <v>0</v>
      </c>
      <c r="J472" s="30">
        <v>0</v>
      </c>
      <c r="K472" s="30">
        <v>0</v>
      </c>
      <c r="L472" s="30" t="s">
        <v>1802</v>
      </c>
      <c r="M472" s="30">
        <v>0</v>
      </c>
      <c r="N472" s="30">
        <v>0</v>
      </c>
      <c r="O472" s="66">
        <v>8</v>
      </c>
      <c r="P472" s="30">
        <v>0</v>
      </c>
      <c r="Q472" s="30">
        <v>0</v>
      </c>
      <c r="R472" s="30">
        <v>11</v>
      </c>
      <c r="S472" s="30">
        <v>0</v>
      </c>
      <c r="T472" s="30">
        <v>0</v>
      </c>
      <c r="U472" s="31">
        <v>0</v>
      </c>
      <c r="V472" s="67">
        <v>6</v>
      </c>
      <c r="W472" s="67">
        <f>11*0*2.5</f>
        <v>0</v>
      </c>
      <c r="X472" s="67">
        <v>11</v>
      </c>
      <c r="Y472" s="67" t="s">
        <v>1920</v>
      </c>
      <c r="Z472" s="67" t="s">
        <v>1909</v>
      </c>
      <c r="AC472" s="69" t="s">
        <v>2695</v>
      </c>
    </row>
    <row r="473" ht="52.8" spans="1:29">
      <c r="A473" s="29">
        <v>10047021</v>
      </c>
      <c r="B473" s="30">
        <v>4</v>
      </c>
      <c r="C473" s="63" t="s">
        <v>2696</v>
      </c>
      <c r="D473" s="64" t="s">
        <v>1801</v>
      </c>
      <c r="E473" s="65">
        <v>0</v>
      </c>
      <c r="F473" s="65">
        <v>0</v>
      </c>
      <c r="G473" s="30">
        <v>0</v>
      </c>
      <c r="H473" s="30">
        <v>0</v>
      </c>
      <c r="I473" s="30">
        <v>0</v>
      </c>
      <c r="J473" s="30">
        <v>0</v>
      </c>
      <c r="K473" s="30">
        <v>0</v>
      </c>
      <c r="L473" s="30" t="s">
        <v>1802</v>
      </c>
      <c r="M473" s="30">
        <v>10</v>
      </c>
      <c r="N473" s="30">
        <v>3</v>
      </c>
      <c r="O473" s="66">
        <v>0</v>
      </c>
      <c r="P473" s="30">
        <v>0</v>
      </c>
      <c r="Q473" s="30">
        <v>0</v>
      </c>
      <c r="R473" s="30">
        <v>0</v>
      </c>
      <c r="S473" s="30">
        <v>0</v>
      </c>
      <c r="T473" s="30">
        <v>0</v>
      </c>
      <c r="U473" s="31">
        <v>0</v>
      </c>
      <c r="V473" s="67">
        <v>0</v>
      </c>
      <c r="W473" s="67">
        <f t="shared" ref="W473:W479" si="13">0*0*2.5</f>
        <v>0</v>
      </c>
      <c r="X473" s="67">
        <v>0</v>
      </c>
      <c r="Z473" s="67" t="s">
        <v>1803</v>
      </c>
      <c r="AC473" s="69" t="s">
        <v>2654</v>
      </c>
    </row>
    <row r="474" ht="39.6" spans="1:29">
      <c r="A474" s="29">
        <v>10047121</v>
      </c>
      <c r="B474" s="30">
        <v>5</v>
      </c>
      <c r="C474" s="63" t="s">
        <v>2697</v>
      </c>
      <c r="D474" s="64" t="s">
        <v>1805</v>
      </c>
      <c r="E474" s="65">
        <v>0</v>
      </c>
      <c r="F474" s="65">
        <v>5</v>
      </c>
      <c r="G474" s="30">
        <v>0</v>
      </c>
      <c r="H474" s="30">
        <v>0</v>
      </c>
      <c r="I474" s="30">
        <v>0</v>
      </c>
      <c r="J474" s="30">
        <v>0</v>
      </c>
      <c r="K474" s="30">
        <v>0</v>
      </c>
      <c r="L474" s="30" t="s">
        <v>52</v>
      </c>
      <c r="M474" s="30">
        <v>0</v>
      </c>
      <c r="N474" s="30">
        <v>0</v>
      </c>
      <c r="O474" s="66">
        <v>0</v>
      </c>
      <c r="P474" s="30">
        <v>0</v>
      </c>
      <c r="Q474" s="30">
        <v>0</v>
      </c>
      <c r="R474" s="30">
        <v>0</v>
      </c>
      <c r="S474" s="30">
        <v>0</v>
      </c>
      <c r="T474" s="30">
        <v>0</v>
      </c>
      <c r="U474" s="31">
        <v>0</v>
      </c>
      <c r="V474" s="67">
        <v>0</v>
      </c>
      <c r="W474" s="67">
        <f t="shared" si="13"/>
        <v>0</v>
      </c>
      <c r="X474" s="67">
        <v>0</v>
      </c>
      <c r="Z474" s="67" t="s">
        <v>1807</v>
      </c>
      <c r="AC474" s="69" t="s">
        <v>2698</v>
      </c>
    </row>
    <row r="475" ht="52.8" spans="1:29">
      <c r="A475" s="29">
        <v>10047221</v>
      </c>
      <c r="B475" s="30">
        <v>5</v>
      </c>
      <c r="C475" s="63" t="s">
        <v>2699</v>
      </c>
      <c r="D475" s="64" t="s">
        <v>1801</v>
      </c>
      <c r="E475" s="65">
        <v>0</v>
      </c>
      <c r="F475" s="65">
        <v>1</v>
      </c>
      <c r="G475" s="30">
        <v>0</v>
      </c>
      <c r="H475" s="30">
        <v>0</v>
      </c>
      <c r="I475" s="30">
        <v>0</v>
      </c>
      <c r="J475" s="30">
        <v>0</v>
      </c>
      <c r="K475" s="30">
        <v>1</v>
      </c>
      <c r="L475" s="30" t="s">
        <v>1802</v>
      </c>
      <c r="M475" s="30">
        <v>0</v>
      </c>
      <c r="N475" s="30">
        <v>1</v>
      </c>
      <c r="O475" s="66">
        <v>0</v>
      </c>
      <c r="P475" s="30">
        <v>0</v>
      </c>
      <c r="Q475" s="30">
        <v>0</v>
      </c>
      <c r="R475" s="30">
        <v>0</v>
      </c>
      <c r="S475" s="30">
        <v>0</v>
      </c>
      <c r="T475" s="30">
        <v>0</v>
      </c>
      <c r="U475" s="31">
        <v>0</v>
      </c>
      <c r="V475" s="67">
        <v>0</v>
      </c>
      <c r="W475" s="67">
        <f t="shared" si="13"/>
        <v>0</v>
      </c>
      <c r="X475" s="67">
        <v>0</v>
      </c>
      <c r="Z475" s="67" t="s">
        <v>1803</v>
      </c>
      <c r="AC475" s="69" t="s">
        <v>2700</v>
      </c>
    </row>
    <row r="476" ht="39.6" spans="1:29">
      <c r="A476" s="29">
        <v>10047321</v>
      </c>
      <c r="B476" s="30">
        <v>4</v>
      </c>
      <c r="C476" s="63" t="s">
        <v>2701</v>
      </c>
      <c r="D476" s="64" t="s">
        <v>1976</v>
      </c>
      <c r="E476" s="65">
        <v>0</v>
      </c>
      <c r="F476" s="65">
        <v>4</v>
      </c>
      <c r="G476" s="30">
        <v>0</v>
      </c>
      <c r="H476" s="30">
        <v>0</v>
      </c>
      <c r="I476" s="30">
        <v>15</v>
      </c>
      <c r="J476" s="30">
        <v>0</v>
      </c>
      <c r="K476" s="30">
        <v>0</v>
      </c>
      <c r="L476" s="30" t="s">
        <v>1802</v>
      </c>
      <c r="M476" s="30">
        <v>0</v>
      </c>
      <c r="N476" s="30">
        <v>0</v>
      </c>
      <c r="O476" s="66">
        <v>0</v>
      </c>
      <c r="P476" s="30">
        <v>0</v>
      </c>
      <c r="Q476" s="30">
        <v>0</v>
      </c>
      <c r="R476" s="30">
        <v>0</v>
      </c>
      <c r="S476" s="30">
        <v>0</v>
      </c>
      <c r="T476" s="30">
        <v>0</v>
      </c>
      <c r="U476" s="31">
        <v>0</v>
      </c>
      <c r="V476" s="67">
        <v>0</v>
      </c>
      <c r="W476" s="67">
        <f t="shared" si="13"/>
        <v>0</v>
      </c>
      <c r="X476" s="67">
        <v>0</v>
      </c>
      <c r="Z476" s="67" t="s">
        <v>1977</v>
      </c>
      <c r="AC476" s="69" t="s">
        <v>2702</v>
      </c>
    </row>
    <row r="477" ht="26.4" spans="1:29">
      <c r="A477" s="29">
        <v>10047421</v>
      </c>
      <c r="B477" s="30">
        <v>4</v>
      </c>
      <c r="C477" s="63" t="s">
        <v>2703</v>
      </c>
      <c r="D477" s="64" t="s">
        <v>1927</v>
      </c>
      <c r="E477" s="65">
        <v>0</v>
      </c>
      <c r="F477" s="65">
        <v>0</v>
      </c>
      <c r="G477" s="30">
        <v>0</v>
      </c>
      <c r="H477" s="30">
        <v>0</v>
      </c>
      <c r="I477" s="30">
        <v>0</v>
      </c>
      <c r="J477" s="30">
        <v>3</v>
      </c>
      <c r="K477" s="30">
        <v>0</v>
      </c>
      <c r="L477" s="30" t="s">
        <v>1802</v>
      </c>
      <c r="M477" s="30">
        <v>0</v>
      </c>
      <c r="N477" s="30">
        <v>0</v>
      </c>
      <c r="O477" s="66">
        <v>2</v>
      </c>
      <c r="P477" s="30">
        <v>0</v>
      </c>
      <c r="Q477" s="30">
        <v>0</v>
      </c>
      <c r="R477" s="30">
        <v>0</v>
      </c>
      <c r="S477" s="30">
        <v>0</v>
      </c>
      <c r="T477" s="30">
        <v>0</v>
      </c>
      <c r="U477" s="31">
        <v>0</v>
      </c>
      <c r="V477" s="67">
        <v>4</v>
      </c>
      <c r="W477" s="67">
        <f t="shared" si="13"/>
        <v>0</v>
      </c>
      <c r="X477" s="67">
        <v>0</v>
      </c>
      <c r="Y477" s="67" t="s">
        <v>2704</v>
      </c>
      <c r="Z477" s="67" t="s">
        <v>1909</v>
      </c>
      <c r="AC477" s="69" t="s">
        <v>2705</v>
      </c>
    </row>
    <row r="478" ht="39.6" spans="1:29">
      <c r="A478" s="29">
        <v>10047521</v>
      </c>
      <c r="B478" s="30">
        <v>4</v>
      </c>
      <c r="C478" s="63" t="s">
        <v>2706</v>
      </c>
      <c r="D478" s="64" t="s">
        <v>1960</v>
      </c>
      <c r="E478" s="65">
        <v>0</v>
      </c>
      <c r="F478" s="65">
        <v>0</v>
      </c>
      <c r="G478" s="30">
        <v>0</v>
      </c>
      <c r="H478" s="30">
        <v>4</v>
      </c>
      <c r="I478" s="30">
        <v>0</v>
      </c>
      <c r="J478" s="30">
        <v>6</v>
      </c>
      <c r="K478" s="30">
        <v>1</v>
      </c>
      <c r="L478" s="30" t="s">
        <v>1802</v>
      </c>
      <c r="M478" s="30">
        <v>2</v>
      </c>
      <c r="N478" s="30">
        <v>0</v>
      </c>
      <c r="O478" s="66">
        <v>0</v>
      </c>
      <c r="P478" s="30">
        <v>0</v>
      </c>
      <c r="Q478" s="30">
        <v>0</v>
      </c>
      <c r="R478" s="30">
        <v>0</v>
      </c>
      <c r="S478" s="30">
        <v>0</v>
      </c>
      <c r="T478" s="30">
        <v>0</v>
      </c>
      <c r="U478" s="31">
        <v>0</v>
      </c>
      <c r="V478" s="67">
        <v>0</v>
      </c>
      <c r="W478" s="67">
        <f t="shared" si="13"/>
        <v>0</v>
      </c>
      <c r="X478" s="67">
        <v>0</v>
      </c>
      <c r="Z478" s="67" t="s">
        <v>1883</v>
      </c>
      <c r="AC478" s="69" t="s">
        <v>2707</v>
      </c>
    </row>
    <row r="479" ht="39.6" spans="1:29">
      <c r="A479" s="29">
        <v>10047621</v>
      </c>
      <c r="B479" s="30">
        <v>5</v>
      </c>
      <c r="C479" s="63" t="s">
        <v>2708</v>
      </c>
      <c r="D479" s="64" t="s">
        <v>1832</v>
      </c>
      <c r="E479" s="65">
        <v>0</v>
      </c>
      <c r="F479" s="65">
        <v>14</v>
      </c>
      <c r="G479" s="30">
        <v>0</v>
      </c>
      <c r="H479" s="30">
        <v>0</v>
      </c>
      <c r="I479" s="30">
        <v>0</v>
      </c>
      <c r="J479" s="30">
        <v>0</v>
      </c>
      <c r="K479" s="30">
        <v>0</v>
      </c>
      <c r="L479" s="30" t="s">
        <v>52</v>
      </c>
      <c r="M479" s="30">
        <v>0</v>
      </c>
      <c r="N479" s="30">
        <v>0</v>
      </c>
      <c r="O479" s="66">
        <v>0</v>
      </c>
      <c r="P479" s="30">
        <v>0</v>
      </c>
      <c r="Q479" s="30">
        <v>0</v>
      </c>
      <c r="R479" s="30">
        <v>0</v>
      </c>
      <c r="S479" s="30">
        <v>0</v>
      </c>
      <c r="T479" s="30">
        <v>0</v>
      </c>
      <c r="U479" s="31">
        <v>0</v>
      </c>
      <c r="V479" s="67">
        <v>0</v>
      </c>
      <c r="W479" s="67">
        <f t="shared" si="13"/>
        <v>0</v>
      </c>
      <c r="X479" s="67">
        <v>0</v>
      </c>
      <c r="Z479" s="67" t="s">
        <v>1834</v>
      </c>
      <c r="AC479" s="69" t="s">
        <v>2709</v>
      </c>
    </row>
    <row r="480" ht="26.4" spans="1:29">
      <c r="A480" s="29">
        <v>10047721</v>
      </c>
      <c r="B480" s="30">
        <v>5</v>
      </c>
      <c r="C480" s="63" t="s">
        <v>2710</v>
      </c>
      <c r="D480" s="64" t="s">
        <v>1845</v>
      </c>
      <c r="E480" s="65">
        <v>0</v>
      </c>
      <c r="F480" s="65">
        <v>28</v>
      </c>
      <c r="G480" s="30">
        <v>0</v>
      </c>
      <c r="H480" s="30">
        <v>0</v>
      </c>
      <c r="I480" s="30">
        <v>0</v>
      </c>
      <c r="J480" s="30">
        <v>0</v>
      </c>
      <c r="K480" s="30">
        <v>0</v>
      </c>
      <c r="L480" s="30" t="s">
        <v>1022</v>
      </c>
      <c r="M480" s="30">
        <v>0</v>
      </c>
      <c r="N480" s="30">
        <v>0</v>
      </c>
      <c r="O480" s="66">
        <v>0</v>
      </c>
      <c r="P480" s="30">
        <v>0</v>
      </c>
      <c r="Q480" s="30">
        <v>0</v>
      </c>
      <c r="R480" s="30">
        <v>3</v>
      </c>
      <c r="S480" s="30">
        <v>0</v>
      </c>
      <c r="T480" s="30">
        <v>0.25</v>
      </c>
      <c r="U480" s="31">
        <v>0</v>
      </c>
      <c r="V480" s="67">
        <v>0</v>
      </c>
      <c r="W480" s="67">
        <f>3*0*2.5</f>
        <v>0</v>
      </c>
      <c r="X480" s="67">
        <f>3+MAX($X$2,0.25)*3*$X$1</f>
        <v>17.4</v>
      </c>
      <c r="Y480" s="67" t="s">
        <v>1851</v>
      </c>
      <c r="Z480" s="67" t="s">
        <v>1846</v>
      </c>
      <c r="AB480" s="69" t="s">
        <v>2711</v>
      </c>
      <c r="AC480" s="69" t="s">
        <v>2712</v>
      </c>
    </row>
    <row r="481" ht="26.4" spans="1:28">
      <c r="A481" s="29">
        <v>10047821</v>
      </c>
      <c r="B481" s="30">
        <v>5</v>
      </c>
      <c r="C481" s="63" t="s">
        <v>1118</v>
      </c>
      <c r="D481" s="64" t="s">
        <v>1845</v>
      </c>
      <c r="E481" s="65">
        <v>0</v>
      </c>
      <c r="F481" s="65">
        <v>25</v>
      </c>
      <c r="G481" s="30">
        <v>0</v>
      </c>
      <c r="H481" s="30">
        <v>0</v>
      </c>
      <c r="I481" s="30">
        <v>0</v>
      </c>
      <c r="J481" s="30">
        <v>0</v>
      </c>
      <c r="K481" s="30">
        <v>0</v>
      </c>
      <c r="L481" s="30" t="s">
        <v>1022</v>
      </c>
      <c r="M481" s="30">
        <v>0</v>
      </c>
      <c r="N481" s="30">
        <v>0</v>
      </c>
      <c r="O481" s="66">
        <v>0</v>
      </c>
      <c r="P481" s="30">
        <v>0</v>
      </c>
      <c r="Q481" s="30">
        <v>0</v>
      </c>
      <c r="R481" s="30">
        <v>2</v>
      </c>
      <c r="S481" s="30">
        <v>0</v>
      </c>
      <c r="T481" s="30">
        <v>0.25</v>
      </c>
      <c r="U481" s="31">
        <v>0</v>
      </c>
      <c r="V481" s="67">
        <v>0</v>
      </c>
      <c r="W481" s="67">
        <f>2*0*2.5</f>
        <v>0</v>
      </c>
      <c r="X481" s="67">
        <f>2+MAX($X$2,0.25)*2*$X$1</f>
        <v>11.6</v>
      </c>
      <c r="Y481" s="67" t="s">
        <v>1851</v>
      </c>
      <c r="Z481" s="67" t="s">
        <v>1846</v>
      </c>
      <c r="AB481" s="69" t="s">
        <v>2713</v>
      </c>
    </row>
    <row r="482" ht="26.4" spans="1:29">
      <c r="A482" s="29">
        <v>10047921</v>
      </c>
      <c r="B482" s="30">
        <v>4</v>
      </c>
      <c r="C482" s="63" t="s">
        <v>2714</v>
      </c>
      <c r="D482" s="64" t="s">
        <v>1845</v>
      </c>
      <c r="E482" s="65">
        <v>0</v>
      </c>
      <c r="F482" s="65">
        <v>14</v>
      </c>
      <c r="G482" s="30">
        <v>0</v>
      </c>
      <c r="H482" s="30">
        <v>0</v>
      </c>
      <c r="I482" s="30">
        <v>0</v>
      </c>
      <c r="J482" s="30">
        <v>0</v>
      </c>
      <c r="K482" s="30">
        <v>0</v>
      </c>
      <c r="L482" s="30" t="s">
        <v>52</v>
      </c>
      <c r="M482" s="30">
        <v>0</v>
      </c>
      <c r="N482" s="30">
        <v>0</v>
      </c>
      <c r="O482" s="66">
        <v>0</v>
      </c>
      <c r="P482" s="30">
        <v>0</v>
      </c>
      <c r="Q482" s="30">
        <v>0</v>
      </c>
      <c r="R482" s="30">
        <v>0</v>
      </c>
      <c r="S482" s="30">
        <v>0</v>
      </c>
      <c r="T482" s="30">
        <v>0</v>
      </c>
      <c r="U482" s="31">
        <v>0</v>
      </c>
      <c r="V482" s="67">
        <v>0</v>
      </c>
      <c r="W482" s="67">
        <f>0*0*2.5</f>
        <v>0</v>
      </c>
      <c r="X482" s="67">
        <v>0</v>
      </c>
      <c r="Y482" s="67" t="s">
        <v>2466</v>
      </c>
      <c r="Z482" s="67" t="s">
        <v>1846</v>
      </c>
      <c r="AC482" s="69" t="s">
        <v>1126</v>
      </c>
    </row>
    <row r="483" ht="39.6" spans="1:28">
      <c r="A483" s="29">
        <v>10048021</v>
      </c>
      <c r="B483" s="30">
        <v>5</v>
      </c>
      <c r="C483" s="63" t="s">
        <v>2715</v>
      </c>
      <c r="D483" s="64" t="s">
        <v>1801</v>
      </c>
      <c r="E483" s="65">
        <v>0</v>
      </c>
      <c r="F483" s="65">
        <v>0</v>
      </c>
      <c r="G483" s="30">
        <v>0</v>
      </c>
      <c r="H483" s="30">
        <v>0</v>
      </c>
      <c r="I483" s="30">
        <v>0</v>
      </c>
      <c r="J483" s="30">
        <v>2</v>
      </c>
      <c r="K483" s="30">
        <v>0</v>
      </c>
      <c r="L483" s="30" t="s">
        <v>1802</v>
      </c>
      <c r="M483" s="30">
        <v>0</v>
      </c>
      <c r="N483" s="30">
        <v>0</v>
      </c>
      <c r="O483" s="66">
        <v>0</v>
      </c>
      <c r="P483" s="30">
        <v>0</v>
      </c>
      <c r="Q483" s="30">
        <v>0</v>
      </c>
      <c r="R483" s="30">
        <v>11</v>
      </c>
      <c r="S483" s="30">
        <v>0</v>
      </c>
      <c r="T483" s="30">
        <v>0.7</v>
      </c>
      <c r="U483" s="31">
        <v>0</v>
      </c>
      <c r="V483" s="67">
        <v>0</v>
      </c>
      <c r="W483" s="67">
        <f>11*0*2.5</f>
        <v>0</v>
      </c>
      <c r="X483" s="67">
        <f>11+MAX($X$2,0.7)*11*$X$1</f>
        <v>63.8</v>
      </c>
      <c r="Y483" s="67" t="s">
        <v>2716</v>
      </c>
      <c r="Z483" s="67" t="s">
        <v>1131</v>
      </c>
      <c r="AB483" s="69" t="s">
        <v>1131</v>
      </c>
    </row>
    <row r="484" ht="39.6" spans="1:29">
      <c r="A484" s="29">
        <v>10048121</v>
      </c>
      <c r="B484" s="30">
        <v>5</v>
      </c>
      <c r="C484" s="63" t="s">
        <v>2717</v>
      </c>
      <c r="D484" s="64" t="s">
        <v>1828</v>
      </c>
      <c r="E484" s="65">
        <v>0</v>
      </c>
      <c r="F484" s="65">
        <v>13</v>
      </c>
      <c r="G484" s="30">
        <v>0</v>
      </c>
      <c r="H484" s="30">
        <v>0</v>
      </c>
      <c r="I484" s="30">
        <v>0</v>
      </c>
      <c r="J484" s="30">
        <v>0</v>
      </c>
      <c r="K484" s="30">
        <v>2</v>
      </c>
      <c r="L484" s="30" t="s">
        <v>52</v>
      </c>
      <c r="M484" s="30">
        <v>0</v>
      </c>
      <c r="N484" s="30">
        <v>0</v>
      </c>
      <c r="O484" s="66">
        <v>0</v>
      </c>
      <c r="P484" s="30">
        <v>0</v>
      </c>
      <c r="Q484" s="30">
        <v>0</v>
      </c>
      <c r="R484" s="30">
        <v>0</v>
      </c>
      <c r="S484" s="30">
        <v>0</v>
      </c>
      <c r="T484" s="30">
        <v>0</v>
      </c>
      <c r="U484" s="31">
        <v>0</v>
      </c>
      <c r="V484" s="67">
        <v>0</v>
      </c>
      <c r="W484" s="67">
        <f t="shared" ref="W484:W489" si="14">0*0*2.5</f>
        <v>0</v>
      </c>
      <c r="X484" s="67">
        <v>0</v>
      </c>
      <c r="Z484" s="67" t="s">
        <v>1829</v>
      </c>
      <c r="AB484" s="69" t="s">
        <v>2446</v>
      </c>
      <c r="AC484" s="69" t="s">
        <v>1126</v>
      </c>
    </row>
    <row r="485" ht="52.8" spans="1:29">
      <c r="A485" s="29">
        <v>10048221</v>
      </c>
      <c r="B485" s="30">
        <v>5</v>
      </c>
      <c r="C485" s="63" t="s">
        <v>2718</v>
      </c>
      <c r="D485" s="64" t="s">
        <v>1801</v>
      </c>
      <c r="E485" s="65">
        <v>0</v>
      </c>
      <c r="F485" s="65">
        <v>0</v>
      </c>
      <c r="G485" s="30">
        <v>0</v>
      </c>
      <c r="H485" s="30">
        <v>0</v>
      </c>
      <c r="I485" s="30">
        <v>0</v>
      </c>
      <c r="J485" s="30">
        <v>0</v>
      </c>
      <c r="K485" s="30">
        <v>0</v>
      </c>
      <c r="L485" s="30" t="s">
        <v>158</v>
      </c>
      <c r="M485" s="30">
        <v>5</v>
      </c>
      <c r="N485" s="30">
        <v>3</v>
      </c>
      <c r="O485" s="66">
        <v>0</v>
      </c>
      <c r="P485" s="30">
        <v>0</v>
      </c>
      <c r="Q485" s="30">
        <v>0</v>
      </c>
      <c r="R485" s="30">
        <v>0</v>
      </c>
      <c r="S485" s="30">
        <v>0</v>
      </c>
      <c r="T485" s="30">
        <v>0</v>
      </c>
      <c r="U485" s="31">
        <v>0</v>
      </c>
      <c r="V485" s="67">
        <v>0</v>
      </c>
      <c r="W485" s="67">
        <f t="shared" si="14"/>
        <v>0</v>
      </c>
      <c r="X485" s="67">
        <v>0</v>
      </c>
      <c r="Z485" s="67" t="s">
        <v>1803</v>
      </c>
      <c r="AC485" s="69" t="s">
        <v>2719</v>
      </c>
    </row>
    <row r="486" ht="39.6" spans="1:28">
      <c r="A486" s="29">
        <v>10048321</v>
      </c>
      <c r="B486" s="30">
        <v>3</v>
      </c>
      <c r="C486" s="63" t="s">
        <v>1141</v>
      </c>
      <c r="D486" s="64" t="s">
        <v>1828</v>
      </c>
      <c r="E486" s="65">
        <v>0</v>
      </c>
      <c r="F486" s="65">
        <v>5</v>
      </c>
      <c r="G486" s="30">
        <v>0</v>
      </c>
      <c r="H486" s="30">
        <v>0</v>
      </c>
      <c r="I486" s="30">
        <v>0</v>
      </c>
      <c r="J486" s="30">
        <v>0</v>
      </c>
      <c r="K486" s="30">
        <v>0</v>
      </c>
      <c r="L486" s="30" t="s">
        <v>52</v>
      </c>
      <c r="M486" s="30">
        <v>0</v>
      </c>
      <c r="N486" s="30">
        <v>2</v>
      </c>
      <c r="O486" s="66">
        <v>0</v>
      </c>
      <c r="P486" s="30">
        <v>0</v>
      </c>
      <c r="Q486" s="30">
        <v>0</v>
      </c>
      <c r="R486" s="30">
        <v>0</v>
      </c>
      <c r="S486" s="30">
        <v>0</v>
      </c>
      <c r="T486" s="30">
        <v>0</v>
      </c>
      <c r="U486" s="31">
        <v>0</v>
      </c>
      <c r="V486" s="67">
        <v>0</v>
      </c>
      <c r="W486" s="67">
        <f t="shared" si="14"/>
        <v>0</v>
      </c>
      <c r="X486" s="67">
        <v>0</v>
      </c>
      <c r="Z486" s="67" t="s">
        <v>1829</v>
      </c>
      <c r="AB486" s="69" t="s">
        <v>1140</v>
      </c>
    </row>
    <row r="487" ht="52.8" spans="1:28">
      <c r="A487" s="29">
        <v>10048421</v>
      </c>
      <c r="B487" s="30">
        <v>4</v>
      </c>
      <c r="C487" s="63" t="s">
        <v>1143</v>
      </c>
      <c r="D487" s="64" t="s">
        <v>1801</v>
      </c>
      <c r="E487" s="65">
        <v>0</v>
      </c>
      <c r="F487" s="65">
        <v>-2</v>
      </c>
      <c r="G487" s="30">
        <v>0</v>
      </c>
      <c r="H487" s="30">
        <v>0</v>
      </c>
      <c r="I487" s="30">
        <v>4</v>
      </c>
      <c r="J487" s="30">
        <v>5</v>
      </c>
      <c r="K487" s="30">
        <v>1</v>
      </c>
      <c r="L487" s="30" t="s">
        <v>1802</v>
      </c>
      <c r="M487" s="30">
        <v>0</v>
      </c>
      <c r="N487" s="30">
        <v>0</v>
      </c>
      <c r="O487" s="66">
        <v>0</v>
      </c>
      <c r="P487" s="30">
        <v>0</v>
      </c>
      <c r="Q487" s="30">
        <v>0</v>
      </c>
      <c r="R487" s="30">
        <v>0</v>
      </c>
      <c r="S487" s="30">
        <v>0</v>
      </c>
      <c r="T487" s="30">
        <v>0</v>
      </c>
      <c r="U487" s="31">
        <v>0</v>
      </c>
      <c r="V487" s="67">
        <v>0</v>
      </c>
      <c r="W487" s="67">
        <f t="shared" si="14"/>
        <v>0</v>
      </c>
      <c r="X487" s="67">
        <v>0</v>
      </c>
      <c r="Z487" s="67" t="s">
        <v>1803</v>
      </c>
      <c r="AB487" s="69" t="s">
        <v>1142</v>
      </c>
    </row>
    <row r="488" ht="26.4" spans="1:28">
      <c r="A488" s="29">
        <v>10048521</v>
      </c>
      <c r="B488" s="30">
        <v>4</v>
      </c>
      <c r="C488" s="63" t="s">
        <v>1134</v>
      </c>
      <c r="D488" s="64" t="s">
        <v>1845</v>
      </c>
      <c r="E488" s="65">
        <v>0</v>
      </c>
      <c r="F488" s="65">
        <v>17</v>
      </c>
      <c r="G488" s="30">
        <v>0</v>
      </c>
      <c r="H488" s="30">
        <v>0</v>
      </c>
      <c r="I488" s="30">
        <v>0</v>
      </c>
      <c r="J488" s="30">
        <v>0</v>
      </c>
      <c r="K488" s="30">
        <v>0</v>
      </c>
      <c r="L488" s="30" t="s">
        <v>52</v>
      </c>
      <c r="M488" s="30">
        <v>0</v>
      </c>
      <c r="N488" s="30">
        <v>0</v>
      </c>
      <c r="O488" s="66">
        <v>0</v>
      </c>
      <c r="P488" s="30">
        <v>0</v>
      </c>
      <c r="Q488" s="30">
        <v>0</v>
      </c>
      <c r="R488" s="30">
        <v>0</v>
      </c>
      <c r="S488" s="30">
        <v>0</v>
      </c>
      <c r="T488" s="30">
        <v>0</v>
      </c>
      <c r="U488" s="31">
        <v>0</v>
      </c>
      <c r="V488" s="67">
        <v>0</v>
      </c>
      <c r="W488" s="67">
        <f t="shared" si="14"/>
        <v>0</v>
      </c>
      <c r="X488" s="67">
        <v>0</v>
      </c>
      <c r="Z488" s="67" t="s">
        <v>1846</v>
      </c>
      <c r="AB488" s="69" t="s">
        <v>1133</v>
      </c>
    </row>
    <row r="489" ht="39.6" spans="1:29">
      <c r="A489" s="29">
        <v>10048621</v>
      </c>
      <c r="B489" s="30">
        <v>5</v>
      </c>
      <c r="C489" s="63" t="s">
        <v>2720</v>
      </c>
      <c r="D489" s="64" t="s">
        <v>1805</v>
      </c>
      <c r="E489" s="65">
        <v>0</v>
      </c>
      <c r="F489" s="65">
        <v>10</v>
      </c>
      <c r="G489" s="30">
        <v>0</v>
      </c>
      <c r="H489" s="30">
        <v>0</v>
      </c>
      <c r="I489" s="30">
        <v>0</v>
      </c>
      <c r="J489" s="30">
        <v>0</v>
      </c>
      <c r="K489" s="30">
        <v>0</v>
      </c>
      <c r="L489" s="30" t="s">
        <v>115</v>
      </c>
      <c r="M489" s="30">
        <v>0</v>
      </c>
      <c r="N489" s="30">
        <v>0</v>
      </c>
      <c r="O489" s="66">
        <v>0</v>
      </c>
      <c r="P489" s="30">
        <v>0</v>
      </c>
      <c r="Q489" s="30">
        <v>0</v>
      </c>
      <c r="R489" s="30">
        <v>0</v>
      </c>
      <c r="S489" s="30">
        <v>0</v>
      </c>
      <c r="T489" s="30">
        <v>0</v>
      </c>
      <c r="U489" s="31">
        <v>0</v>
      </c>
      <c r="V489" s="67">
        <v>0</v>
      </c>
      <c r="W489" s="67">
        <f t="shared" si="14"/>
        <v>0</v>
      </c>
      <c r="X489" s="67">
        <v>0</v>
      </c>
      <c r="Z489" s="67" t="s">
        <v>1807</v>
      </c>
      <c r="AC489" s="69" t="s">
        <v>2721</v>
      </c>
    </row>
    <row r="490" ht="39.6" spans="1:29">
      <c r="A490" s="29">
        <v>10048721</v>
      </c>
      <c r="B490" s="30">
        <v>5</v>
      </c>
      <c r="C490" s="63" t="s">
        <v>2722</v>
      </c>
      <c r="D490" s="64" t="s">
        <v>1881</v>
      </c>
      <c r="E490" s="65">
        <v>0</v>
      </c>
      <c r="F490" s="65">
        <v>2</v>
      </c>
      <c r="G490" s="30">
        <v>0</v>
      </c>
      <c r="H490" s="30">
        <v>0</v>
      </c>
      <c r="I490" s="30">
        <v>0</v>
      </c>
      <c r="J490" s="30">
        <v>0</v>
      </c>
      <c r="K490" s="30">
        <v>0</v>
      </c>
      <c r="L490" s="30" t="s">
        <v>1802</v>
      </c>
      <c r="M490" s="30">
        <v>2</v>
      </c>
      <c r="N490" s="30">
        <v>0</v>
      </c>
      <c r="O490" s="66">
        <v>0</v>
      </c>
      <c r="P490" s="30">
        <v>0</v>
      </c>
      <c r="Q490" s="30">
        <v>0</v>
      </c>
      <c r="R490" s="30">
        <v>14</v>
      </c>
      <c r="S490" s="30">
        <v>3.3</v>
      </c>
      <c r="T490" s="30">
        <v>0.55</v>
      </c>
      <c r="U490" s="31">
        <v>0</v>
      </c>
      <c r="V490" s="67">
        <v>0</v>
      </c>
      <c r="W490" s="67">
        <f>14*3.3*2.5</f>
        <v>115.5</v>
      </c>
      <c r="X490" s="67">
        <f>14+MAX($X$2,0.55)*14*$X$1</f>
        <v>81.2</v>
      </c>
      <c r="Y490" s="67" t="s">
        <v>2723</v>
      </c>
      <c r="Z490" s="67" t="s">
        <v>1883</v>
      </c>
      <c r="AB490" s="69" t="s">
        <v>2300</v>
      </c>
      <c r="AC490" s="69" t="s">
        <v>2724</v>
      </c>
    </row>
    <row r="491" ht="39.6" spans="1:29">
      <c r="A491" s="29">
        <v>10048821</v>
      </c>
      <c r="B491" s="30">
        <v>4</v>
      </c>
      <c r="C491" s="63" t="s">
        <v>2725</v>
      </c>
      <c r="D491" s="64" t="s">
        <v>2283</v>
      </c>
      <c r="E491" s="65">
        <v>0</v>
      </c>
      <c r="F491" s="65">
        <v>14</v>
      </c>
      <c r="G491" s="30">
        <v>0</v>
      </c>
      <c r="H491" s="30">
        <v>0</v>
      </c>
      <c r="I491" s="30">
        <v>0</v>
      </c>
      <c r="J491" s="30">
        <v>0</v>
      </c>
      <c r="K491" s="30">
        <v>0</v>
      </c>
      <c r="L491" s="30" t="s">
        <v>1802</v>
      </c>
      <c r="M491" s="30">
        <v>0</v>
      </c>
      <c r="N491" s="30">
        <v>0</v>
      </c>
      <c r="O491" s="66">
        <v>0</v>
      </c>
      <c r="P491" s="30">
        <v>25</v>
      </c>
      <c r="Q491" s="30">
        <v>0</v>
      </c>
      <c r="R491" s="30">
        <v>16</v>
      </c>
      <c r="S491" s="30">
        <v>3.5</v>
      </c>
      <c r="T491" s="30">
        <v>0.72</v>
      </c>
      <c r="U491" s="31">
        <v>0</v>
      </c>
      <c r="V491" s="67">
        <v>8</v>
      </c>
      <c r="W491" s="67">
        <f>16*3.5*2.5</f>
        <v>140</v>
      </c>
      <c r="X491" s="67">
        <f>16+MAX($X$2,0.72)*16*$X$1</f>
        <v>92.8</v>
      </c>
      <c r="Y491" s="67" t="s">
        <v>2726</v>
      </c>
      <c r="Z491" s="67" t="s">
        <v>2280</v>
      </c>
      <c r="AB491" s="69" t="s">
        <v>2727</v>
      </c>
      <c r="AC491" s="69" t="s">
        <v>2728</v>
      </c>
    </row>
    <row r="492" ht="39.6" spans="1:29">
      <c r="A492" s="29">
        <v>10048921</v>
      </c>
      <c r="B492" s="30">
        <v>3</v>
      </c>
      <c r="C492" s="63" t="s">
        <v>2729</v>
      </c>
      <c r="D492" s="64" t="s">
        <v>1805</v>
      </c>
      <c r="E492" s="65">
        <v>0</v>
      </c>
      <c r="F492" s="65">
        <v>8</v>
      </c>
      <c r="G492" s="30">
        <v>0</v>
      </c>
      <c r="H492" s="30">
        <v>0</v>
      </c>
      <c r="I492" s="30">
        <v>0</v>
      </c>
      <c r="J492" s="30">
        <v>0</v>
      </c>
      <c r="K492" s="30">
        <v>0</v>
      </c>
      <c r="L492" s="30" t="s">
        <v>158</v>
      </c>
      <c r="M492" s="30">
        <v>0</v>
      </c>
      <c r="N492" s="30">
        <v>0</v>
      </c>
      <c r="O492" s="66">
        <v>0</v>
      </c>
      <c r="P492" s="30">
        <v>0</v>
      </c>
      <c r="Q492" s="30">
        <v>0</v>
      </c>
      <c r="R492" s="30">
        <v>0</v>
      </c>
      <c r="S492" s="30">
        <v>0</v>
      </c>
      <c r="T492" s="30">
        <v>0</v>
      </c>
      <c r="U492" s="31">
        <v>0</v>
      </c>
      <c r="V492" s="67">
        <v>0</v>
      </c>
      <c r="W492" s="67">
        <f>0*0*2.5</f>
        <v>0</v>
      </c>
      <c r="X492" s="67">
        <v>0</v>
      </c>
      <c r="Z492" s="67" t="s">
        <v>1807</v>
      </c>
      <c r="AC492" s="69" t="s">
        <v>2730</v>
      </c>
    </row>
    <row r="493" ht="26.4" spans="1:29">
      <c r="A493" s="29">
        <v>10049021</v>
      </c>
      <c r="B493" s="30">
        <v>5</v>
      </c>
      <c r="C493" s="63" t="s">
        <v>2731</v>
      </c>
      <c r="D493" s="64" t="s">
        <v>1927</v>
      </c>
      <c r="E493" s="65">
        <v>0</v>
      </c>
      <c r="F493" s="65">
        <v>0</v>
      </c>
      <c r="G493" s="30">
        <v>0</v>
      </c>
      <c r="H493" s="30">
        <v>0</v>
      </c>
      <c r="I493" s="30">
        <v>0</v>
      </c>
      <c r="J493" s="30">
        <v>0</v>
      </c>
      <c r="K493" s="30">
        <v>0</v>
      </c>
      <c r="L493" s="30" t="s">
        <v>1802</v>
      </c>
      <c r="M493" s="30">
        <v>0</v>
      </c>
      <c r="N493" s="30">
        <v>0</v>
      </c>
      <c r="O493" s="66">
        <v>15</v>
      </c>
      <c r="P493" s="30">
        <v>0</v>
      </c>
      <c r="Q493" s="30">
        <v>0</v>
      </c>
      <c r="R493" s="30">
        <v>0</v>
      </c>
      <c r="S493" s="30">
        <v>0</v>
      </c>
      <c r="T493" s="30">
        <v>0</v>
      </c>
      <c r="U493" s="31">
        <v>0</v>
      </c>
      <c r="V493" s="67">
        <v>7</v>
      </c>
      <c r="W493" s="67">
        <f>0*0*2.5</f>
        <v>0</v>
      </c>
      <c r="X493" s="67">
        <v>0</v>
      </c>
      <c r="Y493" s="67" t="s">
        <v>2194</v>
      </c>
      <c r="Z493" s="67" t="s">
        <v>1909</v>
      </c>
      <c r="AC493" s="69" t="s">
        <v>2732</v>
      </c>
    </row>
    <row r="494" ht="26.4" spans="1:29">
      <c r="A494" s="29">
        <v>10049121</v>
      </c>
      <c r="B494" s="30">
        <v>4</v>
      </c>
      <c r="C494" s="63" t="s">
        <v>2733</v>
      </c>
      <c r="D494" s="64" t="s">
        <v>1845</v>
      </c>
      <c r="E494" s="65">
        <v>0</v>
      </c>
      <c r="F494" s="65">
        <v>24</v>
      </c>
      <c r="G494" s="30">
        <v>0</v>
      </c>
      <c r="H494" s="30">
        <v>0</v>
      </c>
      <c r="I494" s="30">
        <v>0</v>
      </c>
      <c r="J494" s="30">
        <v>0</v>
      </c>
      <c r="K494" s="30">
        <v>6</v>
      </c>
      <c r="L494" s="30" t="s">
        <v>52</v>
      </c>
      <c r="M494" s="30">
        <v>0</v>
      </c>
      <c r="N494" s="30">
        <v>3</v>
      </c>
      <c r="O494" s="66">
        <v>0</v>
      </c>
      <c r="P494" s="30">
        <v>0</v>
      </c>
      <c r="Q494" s="30">
        <v>0</v>
      </c>
      <c r="R494" s="30">
        <v>0</v>
      </c>
      <c r="S494" s="30">
        <v>0</v>
      </c>
      <c r="T494" s="30">
        <v>0</v>
      </c>
      <c r="U494" s="31">
        <v>0</v>
      </c>
      <c r="V494" s="67">
        <v>0</v>
      </c>
      <c r="W494" s="67">
        <f>0*0*2.5</f>
        <v>0</v>
      </c>
      <c r="X494" s="67">
        <v>0</v>
      </c>
      <c r="Z494" s="67" t="s">
        <v>1846</v>
      </c>
      <c r="AC494" s="69" t="s">
        <v>2734</v>
      </c>
    </row>
    <row r="495" ht="39.6" spans="1:29">
      <c r="A495" s="29">
        <v>10049221</v>
      </c>
      <c r="B495" s="30">
        <v>4</v>
      </c>
      <c r="C495" s="63" t="s">
        <v>2735</v>
      </c>
      <c r="D495" s="64" t="s">
        <v>1805</v>
      </c>
      <c r="E495" s="65">
        <v>0</v>
      </c>
      <c r="F495" s="65">
        <v>2</v>
      </c>
      <c r="G495" s="30">
        <v>0</v>
      </c>
      <c r="H495" s="30">
        <v>0</v>
      </c>
      <c r="I495" s="30">
        <v>0</v>
      </c>
      <c r="J495" s="30">
        <v>0</v>
      </c>
      <c r="K495" s="30">
        <v>1</v>
      </c>
      <c r="L495" s="30" t="s">
        <v>115</v>
      </c>
      <c r="M495" s="30">
        <v>0</v>
      </c>
      <c r="N495" s="30">
        <v>0</v>
      </c>
      <c r="O495" s="66">
        <v>0</v>
      </c>
      <c r="P495" s="30">
        <v>0</v>
      </c>
      <c r="Q495" s="30">
        <v>0</v>
      </c>
      <c r="R495" s="30">
        <v>12</v>
      </c>
      <c r="S495" s="30">
        <v>2.8</v>
      </c>
      <c r="T495" s="30">
        <v>0.3</v>
      </c>
      <c r="U495" s="31">
        <v>0</v>
      </c>
      <c r="V495" s="67">
        <v>0</v>
      </c>
      <c r="W495" s="67">
        <f>12*2.8*2.5</f>
        <v>84</v>
      </c>
      <c r="X495" s="67">
        <f>12+MAX($X$2,0.3)*12*$X$1</f>
        <v>69.6</v>
      </c>
      <c r="Y495" s="67" t="s">
        <v>2418</v>
      </c>
      <c r="Z495" s="67" t="s">
        <v>1807</v>
      </c>
      <c r="AB495" s="69" t="s">
        <v>2736</v>
      </c>
      <c r="AC495" s="69" t="s">
        <v>2737</v>
      </c>
    </row>
    <row r="496" ht="39.6" spans="1:29">
      <c r="A496" s="29">
        <v>10049321</v>
      </c>
      <c r="B496" s="30">
        <v>5</v>
      </c>
      <c r="C496" s="63" t="s">
        <v>2738</v>
      </c>
      <c r="D496" s="64" t="s">
        <v>1828</v>
      </c>
      <c r="E496" s="65">
        <v>0</v>
      </c>
      <c r="F496" s="65">
        <v>7</v>
      </c>
      <c r="G496" s="30">
        <v>0</v>
      </c>
      <c r="H496" s="30">
        <v>0</v>
      </c>
      <c r="I496" s="30">
        <v>0</v>
      </c>
      <c r="J496" s="30">
        <v>0</v>
      </c>
      <c r="K496" s="30">
        <v>2</v>
      </c>
      <c r="L496" s="30" t="s">
        <v>158</v>
      </c>
      <c r="M496" s="30">
        <v>0</v>
      </c>
      <c r="N496" s="30">
        <v>0</v>
      </c>
      <c r="O496" s="66">
        <v>0</v>
      </c>
      <c r="P496" s="30">
        <v>0</v>
      </c>
      <c r="Q496" s="30">
        <v>0</v>
      </c>
      <c r="R496" s="30">
        <v>7</v>
      </c>
      <c r="S496" s="30">
        <v>0</v>
      </c>
      <c r="T496" s="30">
        <v>0.25</v>
      </c>
      <c r="U496" s="31">
        <v>0</v>
      </c>
      <c r="V496" s="67">
        <v>0</v>
      </c>
      <c r="W496" s="67">
        <f>7*0*2.5</f>
        <v>0</v>
      </c>
      <c r="X496" s="67">
        <f>7+MAX($X$2,0.25)*7*$X$1</f>
        <v>40.6</v>
      </c>
      <c r="Y496" s="67" t="s">
        <v>1851</v>
      </c>
      <c r="Z496" s="67" t="s">
        <v>1829</v>
      </c>
      <c r="AC496" s="69" t="s">
        <v>2739</v>
      </c>
    </row>
    <row r="497" ht="39.6" spans="1:29">
      <c r="A497" s="29">
        <v>10049421</v>
      </c>
      <c r="B497" s="30">
        <v>4</v>
      </c>
      <c r="C497" s="63" t="s">
        <v>2740</v>
      </c>
      <c r="D497" s="64" t="s">
        <v>1805</v>
      </c>
      <c r="E497" s="65">
        <v>0</v>
      </c>
      <c r="F497" s="65">
        <v>12</v>
      </c>
      <c r="G497" s="30">
        <v>0</v>
      </c>
      <c r="H497" s="30">
        <v>0</v>
      </c>
      <c r="I497" s="30">
        <v>0</v>
      </c>
      <c r="J497" s="30">
        <v>0</v>
      </c>
      <c r="K497" s="30">
        <v>-3</v>
      </c>
      <c r="L497" s="30" t="s">
        <v>158</v>
      </c>
      <c r="M497" s="30">
        <v>-2</v>
      </c>
      <c r="N497" s="30">
        <v>0</v>
      </c>
      <c r="O497" s="66">
        <v>0</v>
      </c>
      <c r="P497" s="30">
        <v>0</v>
      </c>
      <c r="Q497" s="30">
        <v>0</v>
      </c>
      <c r="R497" s="30">
        <v>0</v>
      </c>
      <c r="S497" s="30">
        <v>0</v>
      </c>
      <c r="T497" s="30">
        <v>0</v>
      </c>
      <c r="U497" s="31">
        <v>0</v>
      </c>
      <c r="V497" s="67">
        <v>0</v>
      </c>
      <c r="W497" s="67">
        <f>0*0*2.5</f>
        <v>0</v>
      </c>
      <c r="X497" s="67">
        <v>0</v>
      </c>
      <c r="Z497" s="67" t="s">
        <v>1807</v>
      </c>
      <c r="AC497" s="69" t="s">
        <v>2741</v>
      </c>
    </row>
    <row r="498" ht="66" spans="1:29">
      <c r="A498" s="29">
        <v>10049521</v>
      </c>
      <c r="B498" s="30">
        <v>5</v>
      </c>
      <c r="C498" s="63" t="s">
        <v>2742</v>
      </c>
      <c r="D498" s="64" t="s">
        <v>1845</v>
      </c>
      <c r="E498" s="65">
        <v>0</v>
      </c>
      <c r="F498" s="65">
        <v>29</v>
      </c>
      <c r="G498" s="30">
        <v>0</v>
      </c>
      <c r="H498" s="30">
        <v>0</v>
      </c>
      <c r="I498" s="30">
        <v>0</v>
      </c>
      <c r="J498" s="30">
        <v>0</v>
      </c>
      <c r="K498" s="30">
        <v>3</v>
      </c>
      <c r="L498" s="30" t="s">
        <v>1022</v>
      </c>
      <c r="M498" s="30">
        <v>-2</v>
      </c>
      <c r="N498" s="30">
        <v>0</v>
      </c>
      <c r="O498" s="66">
        <v>0</v>
      </c>
      <c r="P498" s="30">
        <v>0</v>
      </c>
      <c r="Q498" s="30">
        <v>0</v>
      </c>
      <c r="R498" s="30">
        <v>0</v>
      </c>
      <c r="S498" s="30">
        <v>0</v>
      </c>
      <c r="T498" s="30">
        <v>0</v>
      </c>
      <c r="U498" s="31">
        <v>0</v>
      </c>
      <c r="V498" s="67">
        <v>0</v>
      </c>
      <c r="W498" s="67">
        <f>0*0*2.5</f>
        <v>0</v>
      </c>
      <c r="X498" s="67">
        <v>0</v>
      </c>
      <c r="Z498" s="67" t="s">
        <v>1846</v>
      </c>
      <c r="AB498" s="69" t="s">
        <v>2743</v>
      </c>
      <c r="AC498" s="69" t="s">
        <v>2744</v>
      </c>
    </row>
    <row r="499" ht="39.6" spans="1:29">
      <c r="A499" s="29">
        <v>10049621</v>
      </c>
      <c r="B499" s="30">
        <v>5</v>
      </c>
      <c r="C499" s="63" t="s">
        <v>2745</v>
      </c>
      <c r="D499" s="64" t="s">
        <v>1960</v>
      </c>
      <c r="E499" s="65">
        <v>0</v>
      </c>
      <c r="F499" s="65">
        <v>0</v>
      </c>
      <c r="G499" s="30">
        <v>0</v>
      </c>
      <c r="H499" s="30">
        <v>0</v>
      </c>
      <c r="I499" s="30">
        <v>0</v>
      </c>
      <c r="J499" s="30">
        <v>5</v>
      </c>
      <c r="K499" s="30">
        <v>3</v>
      </c>
      <c r="L499" s="30" t="s">
        <v>1802</v>
      </c>
      <c r="M499" s="30">
        <v>2</v>
      </c>
      <c r="N499" s="30">
        <v>0</v>
      </c>
      <c r="O499" s="66">
        <v>0</v>
      </c>
      <c r="P499" s="30">
        <v>0</v>
      </c>
      <c r="Q499" s="30">
        <v>0</v>
      </c>
      <c r="R499" s="30">
        <v>11</v>
      </c>
      <c r="S499" s="30">
        <v>3.3</v>
      </c>
      <c r="T499" s="30">
        <v>0.75</v>
      </c>
      <c r="U499" s="31">
        <v>0</v>
      </c>
      <c r="V499" s="67">
        <v>0</v>
      </c>
      <c r="W499" s="67">
        <f>11*3.3*2.5</f>
        <v>90.75</v>
      </c>
      <c r="X499" s="67">
        <f>11+MAX($X$2,0.75)*11*$X$1</f>
        <v>63.8</v>
      </c>
      <c r="Y499" s="67" t="s">
        <v>2531</v>
      </c>
      <c r="Z499" s="67" t="s">
        <v>1883</v>
      </c>
      <c r="AC499" s="69" t="s">
        <v>2746</v>
      </c>
    </row>
    <row r="500" ht="26.4" spans="1:29">
      <c r="A500" s="29">
        <v>10049721</v>
      </c>
      <c r="B500" s="30">
        <v>5</v>
      </c>
      <c r="C500" s="63" t="s">
        <v>2747</v>
      </c>
      <c r="D500" s="64" t="s">
        <v>1960</v>
      </c>
      <c r="E500" s="65">
        <v>0</v>
      </c>
      <c r="F500" s="65">
        <v>0</v>
      </c>
      <c r="G500" s="30">
        <v>0</v>
      </c>
      <c r="H500" s="30">
        <v>0</v>
      </c>
      <c r="I500" s="30">
        <v>12</v>
      </c>
      <c r="J500" s="30">
        <v>0</v>
      </c>
      <c r="K500" s="30">
        <v>2</v>
      </c>
      <c r="L500" s="30" t="s">
        <v>1802</v>
      </c>
      <c r="M500" s="30">
        <v>2</v>
      </c>
      <c r="N500" s="30">
        <v>0</v>
      </c>
      <c r="O500" s="66">
        <v>0</v>
      </c>
      <c r="P500" s="30">
        <v>0</v>
      </c>
      <c r="Q500" s="30">
        <v>0</v>
      </c>
      <c r="R500" s="30">
        <v>0</v>
      </c>
      <c r="S500" s="30">
        <v>0</v>
      </c>
      <c r="T500" s="30">
        <v>0</v>
      </c>
      <c r="U500" s="31">
        <v>0</v>
      </c>
      <c r="V500" s="67">
        <v>0</v>
      </c>
      <c r="W500" s="67">
        <f>0*0*2.5</f>
        <v>0</v>
      </c>
      <c r="X500" s="67">
        <v>0</v>
      </c>
      <c r="Z500" s="67" t="s">
        <v>1971</v>
      </c>
      <c r="AC500" s="69" t="s">
        <v>2748</v>
      </c>
    </row>
    <row r="501" spans="1:28">
      <c r="A501" s="29">
        <v>10049821</v>
      </c>
      <c r="B501" s="30">
        <v>5</v>
      </c>
      <c r="C501" s="63" t="s">
        <v>2749</v>
      </c>
      <c r="D501" s="64" t="s">
        <v>2271</v>
      </c>
      <c r="E501" s="65">
        <v>0</v>
      </c>
      <c r="F501" s="65">
        <v>0</v>
      </c>
      <c r="G501" s="30">
        <v>0</v>
      </c>
      <c r="H501" s="30">
        <v>0</v>
      </c>
      <c r="I501" s="30">
        <v>0</v>
      </c>
      <c r="J501" s="30">
        <v>0</v>
      </c>
      <c r="K501" s="30">
        <v>2</v>
      </c>
      <c r="L501" s="30" t="s">
        <v>1802</v>
      </c>
      <c r="M501" s="30">
        <v>2</v>
      </c>
      <c r="N501" s="30">
        <v>0</v>
      </c>
      <c r="O501" s="66">
        <v>0</v>
      </c>
      <c r="P501" s="30">
        <v>0</v>
      </c>
      <c r="Q501" s="30">
        <v>0</v>
      </c>
      <c r="R501" s="30">
        <v>0</v>
      </c>
      <c r="S501" s="30">
        <v>0</v>
      </c>
      <c r="T501" s="30">
        <v>0</v>
      </c>
      <c r="U501" s="31">
        <v>0</v>
      </c>
      <c r="V501" s="67">
        <v>0</v>
      </c>
      <c r="W501" s="67">
        <f>0*0*2.5</f>
        <v>0</v>
      </c>
      <c r="X501" s="67">
        <v>0</v>
      </c>
      <c r="Z501" s="67" t="s">
        <v>2272</v>
      </c>
      <c r="AB501" s="69" t="s">
        <v>2750</v>
      </c>
    </row>
    <row r="502" ht="26.4" spans="1:28">
      <c r="A502" s="29">
        <v>10049921</v>
      </c>
      <c r="B502" s="30">
        <v>5</v>
      </c>
      <c r="C502" s="63" t="s">
        <v>2751</v>
      </c>
      <c r="D502" s="64" t="s">
        <v>2275</v>
      </c>
      <c r="E502" s="65">
        <v>0</v>
      </c>
      <c r="F502" s="65">
        <v>21</v>
      </c>
      <c r="G502" s="30">
        <v>0</v>
      </c>
      <c r="H502" s="30">
        <v>0</v>
      </c>
      <c r="I502" s="30">
        <v>0</v>
      </c>
      <c r="J502" s="30">
        <v>0</v>
      </c>
      <c r="K502" s="30">
        <v>0</v>
      </c>
      <c r="L502" s="30" t="s">
        <v>1802</v>
      </c>
      <c r="M502" s="30">
        <v>0</v>
      </c>
      <c r="N502" s="30">
        <v>0</v>
      </c>
      <c r="O502" s="66">
        <v>0</v>
      </c>
      <c r="P502" s="30">
        <v>0</v>
      </c>
      <c r="Q502" s="30">
        <v>24</v>
      </c>
      <c r="R502" s="30">
        <v>0</v>
      </c>
      <c r="S502" s="30">
        <v>0</v>
      </c>
      <c r="T502" s="30">
        <v>0</v>
      </c>
      <c r="U502" s="31">
        <v>0</v>
      </c>
      <c r="V502" s="67">
        <v>8</v>
      </c>
      <c r="W502" s="67">
        <f>0*0*2.5</f>
        <v>0</v>
      </c>
      <c r="X502" s="67">
        <v>0</v>
      </c>
      <c r="Y502" s="67" t="s">
        <v>2253</v>
      </c>
      <c r="Z502" s="67" t="s">
        <v>2272</v>
      </c>
      <c r="AB502" s="69" t="s">
        <v>2752</v>
      </c>
    </row>
    <row r="503" ht="26.4" spans="1:29">
      <c r="A503" s="29">
        <v>10050021</v>
      </c>
      <c r="B503" s="30">
        <v>5</v>
      </c>
      <c r="C503" s="63" t="s">
        <v>2753</v>
      </c>
      <c r="D503" s="64" t="s">
        <v>1940</v>
      </c>
      <c r="E503" s="65">
        <v>0</v>
      </c>
      <c r="F503" s="65">
        <v>0</v>
      </c>
      <c r="G503" s="30">
        <v>0</v>
      </c>
      <c r="H503" s="30">
        <v>12</v>
      </c>
      <c r="I503" s="30">
        <v>4</v>
      </c>
      <c r="J503" s="30">
        <v>0</v>
      </c>
      <c r="K503" s="30">
        <v>0</v>
      </c>
      <c r="L503" s="30" t="s">
        <v>1802</v>
      </c>
      <c r="M503" s="30">
        <v>0</v>
      </c>
      <c r="N503" s="30">
        <v>0</v>
      </c>
      <c r="O503" s="66">
        <v>0</v>
      </c>
      <c r="P503" s="30">
        <v>0</v>
      </c>
      <c r="Q503" s="30">
        <v>0</v>
      </c>
      <c r="R503" s="30">
        <v>0</v>
      </c>
      <c r="S503" s="30">
        <v>0</v>
      </c>
      <c r="T503" s="30">
        <v>0</v>
      </c>
      <c r="U503" s="31">
        <v>0</v>
      </c>
      <c r="V503" s="67">
        <v>5</v>
      </c>
      <c r="W503" s="67">
        <f>0*0*2.5</f>
        <v>0</v>
      </c>
      <c r="X503" s="67">
        <v>0</v>
      </c>
      <c r="Y503" s="67" t="s">
        <v>1913</v>
      </c>
      <c r="Z503" s="67" t="s">
        <v>1909</v>
      </c>
      <c r="AB503" s="69" t="s">
        <v>2754</v>
      </c>
      <c r="AC503" s="69" t="s">
        <v>2755</v>
      </c>
    </row>
    <row r="504" ht="39.6" spans="1:29">
      <c r="A504" s="29">
        <v>10050121</v>
      </c>
      <c r="B504" s="30">
        <v>5</v>
      </c>
      <c r="C504" s="63" t="s">
        <v>2756</v>
      </c>
      <c r="D504" s="64" t="s">
        <v>1960</v>
      </c>
      <c r="E504" s="65">
        <v>0</v>
      </c>
      <c r="F504" s="65">
        <v>2</v>
      </c>
      <c r="G504" s="30">
        <v>0</v>
      </c>
      <c r="H504" s="30">
        <v>0</v>
      </c>
      <c r="I504" s="30">
        <v>0</v>
      </c>
      <c r="J504" s="30">
        <v>5</v>
      </c>
      <c r="K504" s="30">
        <v>9</v>
      </c>
      <c r="L504" s="30" t="s">
        <v>1802</v>
      </c>
      <c r="M504" s="30">
        <v>0</v>
      </c>
      <c r="N504" s="30">
        <v>0</v>
      </c>
      <c r="O504" s="66">
        <v>0</v>
      </c>
      <c r="P504" s="30">
        <v>0</v>
      </c>
      <c r="Q504" s="30">
        <v>0</v>
      </c>
      <c r="R504" s="30">
        <v>4</v>
      </c>
      <c r="S504" s="30">
        <v>2.2</v>
      </c>
      <c r="T504" s="30">
        <v>0.35</v>
      </c>
      <c r="U504" s="31">
        <v>0</v>
      </c>
      <c r="V504" s="67">
        <v>0</v>
      </c>
      <c r="W504" s="67">
        <f>4*2.2*2.5</f>
        <v>22</v>
      </c>
      <c r="X504" s="67">
        <f>4+MAX($X$2,0.35)*4*$X$1</f>
        <v>23.2</v>
      </c>
      <c r="Y504" s="67" t="s">
        <v>1889</v>
      </c>
      <c r="Z504" s="67" t="s">
        <v>1883</v>
      </c>
      <c r="AC504" s="69" t="s">
        <v>2748</v>
      </c>
    </row>
    <row r="505" ht="26.4" spans="1:29">
      <c r="A505" s="29">
        <v>10050221</v>
      </c>
      <c r="B505" s="30">
        <v>5</v>
      </c>
      <c r="C505" s="63" t="s">
        <v>2757</v>
      </c>
      <c r="D505" s="64" t="s">
        <v>1976</v>
      </c>
      <c r="E505" s="65">
        <v>0</v>
      </c>
      <c r="F505" s="65">
        <v>0</v>
      </c>
      <c r="G505" s="30">
        <v>0</v>
      </c>
      <c r="H505" s="30">
        <v>0</v>
      </c>
      <c r="I505" s="30">
        <v>15</v>
      </c>
      <c r="J505" s="30">
        <v>0</v>
      </c>
      <c r="K505" s="30">
        <v>6</v>
      </c>
      <c r="L505" s="30" t="s">
        <v>1802</v>
      </c>
      <c r="M505" s="30">
        <v>0</v>
      </c>
      <c r="N505" s="30">
        <v>0</v>
      </c>
      <c r="O505" s="66">
        <v>0</v>
      </c>
      <c r="P505" s="30">
        <v>0</v>
      </c>
      <c r="Q505" s="30">
        <v>0</v>
      </c>
      <c r="R505" s="30">
        <v>0</v>
      </c>
      <c r="S505" s="30">
        <v>0</v>
      </c>
      <c r="T505" s="30">
        <v>0</v>
      </c>
      <c r="U505" s="31">
        <v>0</v>
      </c>
      <c r="V505" s="67">
        <v>0</v>
      </c>
      <c r="W505" s="67">
        <f>0*0*2.5</f>
        <v>0</v>
      </c>
      <c r="X505" s="67">
        <v>0</v>
      </c>
      <c r="Z505" s="67" t="s">
        <v>1977</v>
      </c>
      <c r="AB505" s="69" t="s">
        <v>2758</v>
      </c>
      <c r="AC505" s="69" t="s">
        <v>2759</v>
      </c>
    </row>
    <row r="506" ht="39.6" spans="1:29">
      <c r="A506" s="29">
        <v>10050321</v>
      </c>
      <c r="B506" s="30">
        <v>5</v>
      </c>
      <c r="C506" s="63" t="s">
        <v>2760</v>
      </c>
      <c r="D506" s="64" t="s">
        <v>1881</v>
      </c>
      <c r="E506" s="65">
        <v>0</v>
      </c>
      <c r="F506" s="65">
        <v>0</v>
      </c>
      <c r="G506" s="30">
        <v>0</v>
      </c>
      <c r="H506" s="30">
        <v>0</v>
      </c>
      <c r="I506" s="30">
        <v>0</v>
      </c>
      <c r="J506" s="30">
        <v>0</v>
      </c>
      <c r="K506" s="30">
        <v>0</v>
      </c>
      <c r="L506" s="30" t="s">
        <v>115</v>
      </c>
      <c r="M506" s="30">
        <v>1</v>
      </c>
      <c r="N506" s="30">
        <v>0</v>
      </c>
      <c r="O506" s="66">
        <v>0</v>
      </c>
      <c r="P506" s="30">
        <v>0</v>
      </c>
      <c r="Q506" s="30">
        <v>0</v>
      </c>
      <c r="R506" s="30">
        <v>15</v>
      </c>
      <c r="S506" s="30">
        <v>3.4</v>
      </c>
      <c r="T506" s="30">
        <v>0.5</v>
      </c>
      <c r="U506" s="31">
        <v>0</v>
      </c>
      <c r="V506" s="67">
        <v>0</v>
      </c>
      <c r="W506" s="67">
        <f>15*3.4*2.5</f>
        <v>127.5</v>
      </c>
      <c r="X506" s="67">
        <f>15+MAX($X$2,0.5)*15*$X$1</f>
        <v>87</v>
      </c>
      <c r="Y506" s="67" t="s">
        <v>2761</v>
      </c>
      <c r="Z506" s="67" t="s">
        <v>1883</v>
      </c>
      <c r="AC506" s="69" t="s">
        <v>2759</v>
      </c>
    </row>
    <row r="507" ht="26.4" spans="1:29">
      <c r="A507" s="29">
        <v>10050421</v>
      </c>
      <c r="B507" s="30">
        <v>5</v>
      </c>
      <c r="C507" s="63" t="s">
        <v>2762</v>
      </c>
      <c r="D507" s="64" t="s">
        <v>1940</v>
      </c>
      <c r="E507" s="65">
        <v>0</v>
      </c>
      <c r="F507" s="65">
        <v>0</v>
      </c>
      <c r="G507" s="30">
        <v>0</v>
      </c>
      <c r="H507" s="30">
        <v>5</v>
      </c>
      <c r="I507" s="30">
        <v>9</v>
      </c>
      <c r="J507" s="30">
        <v>12</v>
      </c>
      <c r="K507" s="30">
        <v>4</v>
      </c>
      <c r="L507" s="30" t="s">
        <v>1802</v>
      </c>
      <c r="M507" s="30">
        <v>0</v>
      </c>
      <c r="N507" s="30">
        <v>0</v>
      </c>
      <c r="O507" s="66">
        <v>0</v>
      </c>
      <c r="P507" s="30">
        <v>0</v>
      </c>
      <c r="Q507" s="30">
        <v>0</v>
      </c>
      <c r="R507" s="30">
        <v>0</v>
      </c>
      <c r="S507" s="30">
        <v>0</v>
      </c>
      <c r="T507" s="30">
        <v>0</v>
      </c>
      <c r="U507" s="31">
        <v>0</v>
      </c>
      <c r="V507" s="67">
        <v>6</v>
      </c>
      <c r="W507" s="67">
        <f>0*0*2.5</f>
        <v>0</v>
      </c>
      <c r="X507" s="67">
        <v>0</v>
      </c>
      <c r="Y507" s="67" t="s">
        <v>2763</v>
      </c>
      <c r="Z507" s="67" t="s">
        <v>1909</v>
      </c>
      <c r="AC507" s="69" t="s">
        <v>2759</v>
      </c>
    </row>
    <row r="508" ht="26.4" spans="1:29">
      <c r="A508" s="29">
        <v>10050521</v>
      </c>
      <c r="B508" s="30">
        <v>5</v>
      </c>
      <c r="C508" s="63" t="s">
        <v>2764</v>
      </c>
      <c r="D508" s="64" t="s">
        <v>1927</v>
      </c>
      <c r="E508" s="65">
        <v>0</v>
      </c>
      <c r="F508" s="65">
        <v>0</v>
      </c>
      <c r="G508" s="30">
        <v>0</v>
      </c>
      <c r="H508" s="30">
        <v>0</v>
      </c>
      <c r="I508" s="30">
        <v>2</v>
      </c>
      <c r="J508" s="30">
        <v>0</v>
      </c>
      <c r="K508" s="30">
        <v>0</v>
      </c>
      <c r="L508" s="30" t="s">
        <v>1802</v>
      </c>
      <c r="M508" s="30">
        <v>0</v>
      </c>
      <c r="N508" s="30">
        <v>0</v>
      </c>
      <c r="O508" s="66">
        <v>15</v>
      </c>
      <c r="P508" s="30">
        <v>0</v>
      </c>
      <c r="Q508" s="30">
        <v>0</v>
      </c>
      <c r="R508" s="30">
        <v>0</v>
      </c>
      <c r="S508" s="30">
        <v>0</v>
      </c>
      <c r="T508" s="30">
        <v>0</v>
      </c>
      <c r="U508" s="31">
        <v>0</v>
      </c>
      <c r="V508" s="67">
        <v>7</v>
      </c>
      <c r="W508" s="67">
        <f>0*0*2.5</f>
        <v>0</v>
      </c>
      <c r="X508" s="67">
        <v>0</v>
      </c>
      <c r="Y508" s="67" t="s">
        <v>2194</v>
      </c>
      <c r="Z508" s="67" t="s">
        <v>1909</v>
      </c>
      <c r="AB508" s="69" t="s">
        <v>2765</v>
      </c>
      <c r="AC508" s="69" t="s">
        <v>2759</v>
      </c>
    </row>
    <row r="509" ht="26.4" spans="1:29">
      <c r="A509" s="29">
        <v>10050621</v>
      </c>
      <c r="B509" s="30">
        <v>6</v>
      </c>
      <c r="C509" s="63" t="s">
        <v>2766</v>
      </c>
      <c r="D509" s="64" t="s">
        <v>1907</v>
      </c>
      <c r="E509" s="65">
        <v>0</v>
      </c>
      <c r="F509" s="65">
        <v>0</v>
      </c>
      <c r="G509" s="30">
        <v>0</v>
      </c>
      <c r="H509" s="30">
        <v>0</v>
      </c>
      <c r="I509" s="30">
        <v>0</v>
      </c>
      <c r="J509" s="30">
        <v>0</v>
      </c>
      <c r="K509" s="30">
        <v>0</v>
      </c>
      <c r="L509" s="30" t="s">
        <v>1802</v>
      </c>
      <c r="M509" s="30">
        <v>4</v>
      </c>
      <c r="N509" s="30">
        <v>0</v>
      </c>
      <c r="O509" s="66">
        <v>0</v>
      </c>
      <c r="P509" s="30">
        <v>0</v>
      </c>
      <c r="Q509" s="30">
        <v>0</v>
      </c>
      <c r="R509" s="30">
        <v>13</v>
      </c>
      <c r="S509" s="30">
        <v>0</v>
      </c>
      <c r="T509" s="30">
        <v>0</v>
      </c>
      <c r="U509" s="31">
        <v>0</v>
      </c>
      <c r="V509" s="67">
        <v>8</v>
      </c>
      <c r="W509" s="67">
        <f>13*0*2.5</f>
        <v>0</v>
      </c>
      <c r="X509" s="67">
        <v>13</v>
      </c>
      <c r="Y509" s="67" t="s">
        <v>2253</v>
      </c>
      <c r="Z509" s="67" t="s">
        <v>1909</v>
      </c>
      <c r="AB509" s="69" t="s">
        <v>2767</v>
      </c>
      <c r="AC509" s="69" t="s">
        <v>2759</v>
      </c>
    </row>
    <row r="510" ht="39.6" spans="1:29">
      <c r="A510" s="29">
        <v>10050721</v>
      </c>
      <c r="B510" s="30">
        <v>5</v>
      </c>
      <c r="C510" s="63" t="s">
        <v>2768</v>
      </c>
      <c r="D510" s="64" t="s">
        <v>1845</v>
      </c>
      <c r="E510" s="65">
        <v>0</v>
      </c>
      <c r="F510" s="65">
        <v>29</v>
      </c>
      <c r="G510" s="30">
        <v>0</v>
      </c>
      <c r="H510" s="30">
        <v>0</v>
      </c>
      <c r="I510" s="30">
        <v>0</v>
      </c>
      <c r="J510" s="30">
        <v>0</v>
      </c>
      <c r="K510" s="30">
        <v>2</v>
      </c>
      <c r="L510" s="30" t="s">
        <v>1022</v>
      </c>
      <c r="M510" s="30">
        <v>0</v>
      </c>
      <c r="N510" s="30">
        <v>0</v>
      </c>
      <c r="O510" s="66">
        <v>0</v>
      </c>
      <c r="P510" s="30">
        <v>0</v>
      </c>
      <c r="Q510" s="30">
        <v>0</v>
      </c>
      <c r="R510" s="30">
        <v>0</v>
      </c>
      <c r="S510" s="30">
        <v>0</v>
      </c>
      <c r="T510" s="30">
        <v>0</v>
      </c>
      <c r="U510" s="31">
        <v>0</v>
      </c>
      <c r="V510" s="67">
        <v>0</v>
      </c>
      <c r="W510" s="67">
        <f>0*0*2.5</f>
        <v>0</v>
      </c>
      <c r="X510" s="67">
        <v>0</v>
      </c>
      <c r="Z510" s="67" t="s">
        <v>1846</v>
      </c>
      <c r="AB510" s="69" t="s">
        <v>2769</v>
      </c>
      <c r="AC510" s="69" t="s">
        <v>2759</v>
      </c>
    </row>
    <row r="511" ht="39.6" spans="1:29">
      <c r="A511" s="29">
        <v>10050821</v>
      </c>
      <c r="B511" s="30">
        <v>6</v>
      </c>
      <c r="C511" s="63" t="s">
        <v>2770</v>
      </c>
      <c r="D511" s="64" t="s">
        <v>1845</v>
      </c>
      <c r="E511" s="65">
        <v>0</v>
      </c>
      <c r="F511" s="65">
        <v>30</v>
      </c>
      <c r="G511" s="30">
        <v>0</v>
      </c>
      <c r="H511" s="30">
        <v>0</v>
      </c>
      <c r="I511" s="30">
        <v>0</v>
      </c>
      <c r="J511" s="30">
        <v>0</v>
      </c>
      <c r="K511" s="30">
        <v>-1</v>
      </c>
      <c r="L511" s="30" t="s">
        <v>1022</v>
      </c>
      <c r="M511" s="30">
        <v>0</v>
      </c>
      <c r="N511" s="30">
        <v>0</v>
      </c>
      <c r="O511" s="66">
        <v>0</v>
      </c>
      <c r="P511" s="30">
        <v>0</v>
      </c>
      <c r="Q511" s="30">
        <v>0</v>
      </c>
      <c r="R511" s="30">
        <v>10</v>
      </c>
      <c r="S511" s="30">
        <v>0</v>
      </c>
      <c r="T511" s="30">
        <v>0.25</v>
      </c>
      <c r="U511" s="31">
        <v>0</v>
      </c>
      <c r="V511" s="67">
        <v>0</v>
      </c>
      <c r="W511" s="67">
        <f>10*0*2.5</f>
        <v>0</v>
      </c>
      <c r="X511" s="67">
        <f>10+MAX($X$2,0.25)*10*$X$1</f>
        <v>58</v>
      </c>
      <c r="Y511" s="67" t="s">
        <v>1851</v>
      </c>
      <c r="Z511" s="67" t="s">
        <v>1846</v>
      </c>
      <c r="AB511" s="69" t="s">
        <v>2771</v>
      </c>
      <c r="AC511" s="69" t="s">
        <v>2759</v>
      </c>
    </row>
    <row r="512" ht="52.8" spans="1:29">
      <c r="A512" s="29">
        <v>10050921</v>
      </c>
      <c r="B512" s="30">
        <v>5</v>
      </c>
      <c r="C512" s="63" t="s">
        <v>2772</v>
      </c>
      <c r="D512" s="64" t="s">
        <v>1801</v>
      </c>
      <c r="E512" s="65">
        <v>0</v>
      </c>
      <c r="F512" s="65">
        <v>6</v>
      </c>
      <c r="G512" s="30">
        <v>0</v>
      </c>
      <c r="H512" s="30">
        <v>0</v>
      </c>
      <c r="I512" s="30">
        <v>0</v>
      </c>
      <c r="J512" s="30">
        <v>0</v>
      </c>
      <c r="K512" s="30">
        <v>3</v>
      </c>
      <c r="L512" s="30" t="s">
        <v>1802</v>
      </c>
      <c r="M512" s="30">
        <v>0</v>
      </c>
      <c r="N512" s="30">
        <v>3</v>
      </c>
      <c r="O512" s="66">
        <v>0</v>
      </c>
      <c r="P512" s="30">
        <v>0</v>
      </c>
      <c r="Q512" s="30">
        <v>0</v>
      </c>
      <c r="R512" s="30">
        <v>0</v>
      </c>
      <c r="S512" s="30">
        <v>0</v>
      </c>
      <c r="T512" s="30">
        <v>0</v>
      </c>
      <c r="U512" s="31">
        <v>0</v>
      </c>
      <c r="V512" s="67">
        <v>0</v>
      </c>
      <c r="W512" s="67">
        <f>0*0*2.5</f>
        <v>0</v>
      </c>
      <c r="X512" s="67">
        <v>0</v>
      </c>
      <c r="Y512" s="67" t="s">
        <v>2483</v>
      </c>
      <c r="Z512" s="67" t="s">
        <v>1803</v>
      </c>
      <c r="AC512" s="69" t="s">
        <v>2773</v>
      </c>
    </row>
    <row r="513" ht="26.4" spans="1:29">
      <c r="A513" s="29">
        <v>10051021</v>
      </c>
      <c r="B513" s="30">
        <v>5</v>
      </c>
      <c r="C513" s="63" t="s">
        <v>2774</v>
      </c>
      <c r="D513" s="64" t="s">
        <v>1976</v>
      </c>
      <c r="E513" s="65">
        <v>0</v>
      </c>
      <c r="F513" s="65">
        <v>0</v>
      </c>
      <c r="G513" s="30">
        <v>0</v>
      </c>
      <c r="H513" s="30">
        <v>4</v>
      </c>
      <c r="I513" s="30">
        <v>13</v>
      </c>
      <c r="J513" s="30">
        <v>0</v>
      </c>
      <c r="K513" s="30">
        <v>0</v>
      </c>
      <c r="L513" s="30" t="s">
        <v>1802</v>
      </c>
      <c r="M513" s="30">
        <v>0</v>
      </c>
      <c r="N513" s="30">
        <v>0</v>
      </c>
      <c r="O513" s="66">
        <v>0</v>
      </c>
      <c r="P513" s="30">
        <v>0</v>
      </c>
      <c r="Q513" s="30">
        <v>0</v>
      </c>
      <c r="R513" s="30">
        <v>0</v>
      </c>
      <c r="S513" s="30">
        <v>0</v>
      </c>
      <c r="T513" s="30">
        <v>0</v>
      </c>
      <c r="U513" s="31">
        <v>0</v>
      </c>
      <c r="V513" s="67">
        <v>0</v>
      </c>
      <c r="W513" s="67">
        <f>0*0*2.5</f>
        <v>0</v>
      </c>
      <c r="X513" s="67">
        <v>0</v>
      </c>
      <c r="Z513" s="67" t="s">
        <v>1977</v>
      </c>
      <c r="AC513" s="69" t="s">
        <v>2748</v>
      </c>
    </row>
    <row r="514" ht="39.6" spans="1:29">
      <c r="A514" s="29">
        <v>10051121</v>
      </c>
      <c r="B514" s="30">
        <v>5</v>
      </c>
      <c r="C514" s="63" t="s">
        <v>2775</v>
      </c>
      <c r="D514" s="64" t="s">
        <v>14</v>
      </c>
      <c r="E514" s="65">
        <v>0</v>
      </c>
      <c r="F514" s="65">
        <v>0</v>
      </c>
      <c r="G514" s="30">
        <v>0</v>
      </c>
      <c r="H514" s="30">
        <v>14</v>
      </c>
      <c r="I514" s="30">
        <v>0</v>
      </c>
      <c r="J514" s="30">
        <v>0</v>
      </c>
      <c r="K514" s="30">
        <v>3</v>
      </c>
      <c r="L514" s="30" t="s">
        <v>1802</v>
      </c>
      <c r="M514" s="30">
        <v>0</v>
      </c>
      <c r="N514" s="30">
        <v>0</v>
      </c>
      <c r="O514" s="66">
        <v>0</v>
      </c>
      <c r="P514" s="30">
        <v>0</v>
      </c>
      <c r="Q514" s="30">
        <v>0</v>
      </c>
      <c r="R514" s="30">
        <v>0</v>
      </c>
      <c r="S514" s="30">
        <v>0</v>
      </c>
      <c r="T514" s="30">
        <v>0</v>
      </c>
      <c r="U514" s="31">
        <v>0</v>
      </c>
      <c r="V514" s="67">
        <v>0</v>
      </c>
      <c r="W514" s="67">
        <f>0*0*2.5</f>
        <v>0</v>
      </c>
      <c r="X514" s="67">
        <v>0</v>
      </c>
      <c r="Z514" s="67" t="s">
        <v>1980</v>
      </c>
      <c r="AC514" s="69" t="s">
        <v>2746</v>
      </c>
    </row>
    <row r="515" ht="26.4" spans="1:29">
      <c r="A515" s="29">
        <v>10051221</v>
      </c>
      <c r="B515" s="30">
        <v>5</v>
      </c>
      <c r="C515" s="63" t="s">
        <v>2776</v>
      </c>
      <c r="D515" s="64" t="s">
        <v>1907</v>
      </c>
      <c r="E515" s="65">
        <v>0</v>
      </c>
      <c r="F515" s="65">
        <v>0</v>
      </c>
      <c r="G515" s="30">
        <v>0</v>
      </c>
      <c r="H515" s="30">
        <v>0</v>
      </c>
      <c r="I515" s="30">
        <v>0</v>
      </c>
      <c r="J515" s="30">
        <v>0</v>
      </c>
      <c r="K515" s="30">
        <v>0</v>
      </c>
      <c r="L515" s="30" t="s">
        <v>1802</v>
      </c>
      <c r="M515" s="30">
        <v>0</v>
      </c>
      <c r="N515" s="30">
        <v>0</v>
      </c>
      <c r="O515" s="66">
        <v>0</v>
      </c>
      <c r="P515" s="30">
        <v>0</v>
      </c>
      <c r="Q515" s="30">
        <v>0</v>
      </c>
      <c r="R515" s="30">
        <v>14</v>
      </c>
      <c r="S515" s="30">
        <v>0</v>
      </c>
      <c r="T515" s="30">
        <v>0</v>
      </c>
      <c r="U515" s="31">
        <v>0</v>
      </c>
      <c r="V515" s="67">
        <v>7</v>
      </c>
      <c r="W515" s="67">
        <f>14*0*2.5</f>
        <v>0</v>
      </c>
      <c r="X515" s="67">
        <v>14</v>
      </c>
      <c r="Y515" s="67" t="s">
        <v>2194</v>
      </c>
      <c r="Z515" s="67" t="s">
        <v>1909</v>
      </c>
      <c r="AB515" s="69" t="s">
        <v>2380</v>
      </c>
      <c r="AC515" s="69" t="s">
        <v>2777</v>
      </c>
    </row>
    <row r="516" ht="26.4" spans="1:29">
      <c r="A516" s="29">
        <v>10051321</v>
      </c>
      <c r="B516" s="30">
        <v>6</v>
      </c>
      <c r="C516" s="63" t="s">
        <v>2778</v>
      </c>
      <c r="D516" s="64" t="s">
        <v>14</v>
      </c>
      <c r="E516" s="65">
        <v>0</v>
      </c>
      <c r="F516" s="65">
        <v>0</v>
      </c>
      <c r="G516" s="30">
        <v>0</v>
      </c>
      <c r="H516" s="30">
        <v>13</v>
      </c>
      <c r="I516" s="30">
        <v>0</v>
      </c>
      <c r="J516" s="30">
        <v>0</v>
      </c>
      <c r="K516" s="30">
        <v>3</v>
      </c>
      <c r="L516" s="30" t="s">
        <v>1802</v>
      </c>
      <c r="M516" s="30">
        <v>6</v>
      </c>
      <c r="N516" s="30">
        <v>0</v>
      </c>
      <c r="O516" s="66">
        <v>0</v>
      </c>
      <c r="P516" s="30">
        <v>0</v>
      </c>
      <c r="Q516" s="30">
        <v>0</v>
      </c>
      <c r="R516" s="30">
        <v>0</v>
      </c>
      <c r="S516" s="30">
        <v>0</v>
      </c>
      <c r="T516" s="30">
        <v>0</v>
      </c>
      <c r="U516" s="31">
        <v>0</v>
      </c>
      <c r="V516" s="67">
        <v>0</v>
      </c>
      <c r="W516" s="67">
        <f>0*0*2.5</f>
        <v>0</v>
      </c>
      <c r="X516" s="67">
        <v>0</v>
      </c>
      <c r="Z516" s="67" t="s">
        <v>2101</v>
      </c>
      <c r="AC516" s="69" t="s">
        <v>2779</v>
      </c>
    </row>
    <row r="517" ht="39.6" spans="1:29">
      <c r="A517" s="29">
        <v>10051421</v>
      </c>
      <c r="B517" s="30">
        <v>5</v>
      </c>
      <c r="C517" s="63" t="s">
        <v>2780</v>
      </c>
      <c r="D517" s="64" t="s">
        <v>1805</v>
      </c>
      <c r="E517" s="65">
        <v>0</v>
      </c>
      <c r="F517" s="65">
        <v>2</v>
      </c>
      <c r="G517" s="30">
        <v>0</v>
      </c>
      <c r="H517" s="30">
        <v>0</v>
      </c>
      <c r="I517" s="30">
        <v>0</v>
      </c>
      <c r="J517" s="30">
        <v>0</v>
      </c>
      <c r="K517" s="30">
        <v>2</v>
      </c>
      <c r="L517" s="30" t="s">
        <v>115</v>
      </c>
      <c r="M517" s="30">
        <v>0</v>
      </c>
      <c r="N517" s="30">
        <v>0</v>
      </c>
      <c r="O517" s="66">
        <v>0</v>
      </c>
      <c r="P517" s="30">
        <v>0</v>
      </c>
      <c r="Q517" s="30">
        <v>0</v>
      </c>
      <c r="R517" s="30">
        <v>14</v>
      </c>
      <c r="S517" s="30">
        <v>3.1</v>
      </c>
      <c r="T517" s="30">
        <v>0.35</v>
      </c>
      <c r="U517" s="31">
        <v>0</v>
      </c>
      <c r="V517" s="67">
        <v>0</v>
      </c>
      <c r="W517" s="67">
        <f>14*3.1*2.5</f>
        <v>108.5</v>
      </c>
      <c r="X517" s="67">
        <f>14+MAX($X$2,0.35)*14*$X$1</f>
        <v>81.2</v>
      </c>
      <c r="Y517" s="67" t="s">
        <v>1898</v>
      </c>
      <c r="Z517" s="67" t="s">
        <v>1807</v>
      </c>
      <c r="AC517" s="69" t="s">
        <v>2781</v>
      </c>
    </row>
    <row r="518" ht="26.4" spans="1:29">
      <c r="A518" s="29">
        <v>10051521</v>
      </c>
      <c r="B518" s="30">
        <v>5</v>
      </c>
      <c r="C518" s="63" t="s">
        <v>2782</v>
      </c>
      <c r="D518" s="64" t="s">
        <v>1907</v>
      </c>
      <c r="E518" s="65">
        <v>0</v>
      </c>
      <c r="F518" s="65">
        <v>0</v>
      </c>
      <c r="G518" s="30">
        <v>0</v>
      </c>
      <c r="H518" s="30">
        <v>0</v>
      </c>
      <c r="I518" s="30">
        <v>0</v>
      </c>
      <c r="J518" s="30">
        <v>0</v>
      </c>
      <c r="K518" s="30">
        <v>0</v>
      </c>
      <c r="L518" s="30" t="s">
        <v>1802</v>
      </c>
      <c r="M518" s="30">
        <v>0</v>
      </c>
      <c r="N518" s="30">
        <v>0</v>
      </c>
      <c r="O518" s="66">
        <v>3</v>
      </c>
      <c r="P518" s="30">
        <v>0</v>
      </c>
      <c r="Q518" s="30">
        <v>0</v>
      </c>
      <c r="R518" s="30">
        <v>12</v>
      </c>
      <c r="S518" s="30">
        <v>0</v>
      </c>
      <c r="T518" s="30">
        <v>0</v>
      </c>
      <c r="U518" s="31">
        <v>0</v>
      </c>
      <c r="V518" s="67">
        <v>5</v>
      </c>
      <c r="W518" s="67">
        <f>12*0*2.5</f>
        <v>0</v>
      </c>
      <c r="X518" s="67">
        <v>12</v>
      </c>
      <c r="Y518" s="67" t="s">
        <v>1913</v>
      </c>
      <c r="Z518" s="67" t="s">
        <v>1909</v>
      </c>
      <c r="AB518" s="69" t="s">
        <v>2783</v>
      </c>
      <c r="AC518" s="69" t="s">
        <v>2784</v>
      </c>
    </row>
    <row r="519" ht="39.6" spans="1:29">
      <c r="A519" s="29">
        <v>10051621</v>
      </c>
      <c r="B519" s="30">
        <v>5</v>
      </c>
      <c r="C519" s="63" t="s">
        <v>2785</v>
      </c>
      <c r="D519" s="64" t="s">
        <v>1828</v>
      </c>
      <c r="E519" s="65">
        <v>0</v>
      </c>
      <c r="F519" s="65">
        <v>6</v>
      </c>
      <c r="G519" s="30">
        <v>0</v>
      </c>
      <c r="H519" s="30">
        <v>0</v>
      </c>
      <c r="I519" s="30">
        <v>0</v>
      </c>
      <c r="J519" s="30">
        <v>0</v>
      </c>
      <c r="K519" s="30">
        <v>1</v>
      </c>
      <c r="L519" s="30" t="s">
        <v>158</v>
      </c>
      <c r="M519" s="30">
        <v>2</v>
      </c>
      <c r="N519" s="30">
        <v>0</v>
      </c>
      <c r="O519" s="66">
        <v>0</v>
      </c>
      <c r="P519" s="30">
        <v>0</v>
      </c>
      <c r="Q519" s="30">
        <v>0</v>
      </c>
      <c r="R519" s="30">
        <v>6</v>
      </c>
      <c r="S519" s="30">
        <v>0</v>
      </c>
      <c r="T519" s="30">
        <v>0.25</v>
      </c>
      <c r="U519" s="31">
        <v>0</v>
      </c>
      <c r="V519" s="67">
        <v>0</v>
      </c>
      <c r="W519" s="67">
        <f>6*0*2.5</f>
        <v>0</v>
      </c>
      <c r="X519" s="67">
        <f>6+MAX($X$2,0.25)*6*$X$1</f>
        <v>34.8</v>
      </c>
      <c r="Y519" s="67" t="s">
        <v>1851</v>
      </c>
      <c r="Z519" s="67" t="s">
        <v>1829</v>
      </c>
      <c r="AC519" s="69" t="s">
        <v>2786</v>
      </c>
    </row>
    <row r="520" ht="39.6" spans="1:29">
      <c r="A520" s="29">
        <v>10051721</v>
      </c>
      <c r="B520" s="30">
        <v>6</v>
      </c>
      <c r="C520" s="63" t="s">
        <v>2787</v>
      </c>
      <c r="D520" s="64" t="s">
        <v>1881</v>
      </c>
      <c r="E520" s="65">
        <v>0</v>
      </c>
      <c r="F520" s="65">
        <v>0</v>
      </c>
      <c r="G520" s="30">
        <v>0</v>
      </c>
      <c r="H520" s="30">
        <v>0</v>
      </c>
      <c r="I520" s="30">
        <v>0</v>
      </c>
      <c r="J520" s="30">
        <v>0</v>
      </c>
      <c r="K520" s="30">
        <v>0</v>
      </c>
      <c r="L520" s="30" t="s">
        <v>1802</v>
      </c>
      <c r="M520" s="30">
        <v>4</v>
      </c>
      <c r="N520" s="30">
        <v>0</v>
      </c>
      <c r="O520" s="66">
        <v>0</v>
      </c>
      <c r="P520" s="30">
        <v>0</v>
      </c>
      <c r="Q520" s="30">
        <v>0</v>
      </c>
      <c r="R520" s="30">
        <v>13</v>
      </c>
      <c r="S520" s="30">
        <v>3.3</v>
      </c>
      <c r="T520" s="30">
        <v>0.45</v>
      </c>
      <c r="U520" s="31">
        <v>0</v>
      </c>
      <c r="V520" s="67">
        <v>0</v>
      </c>
      <c r="W520" s="67">
        <f>13*3.3*2.5</f>
        <v>107.25</v>
      </c>
      <c r="X520" s="67">
        <f>13+MAX($X$2,0.45)*13*$X$1</f>
        <v>75.4</v>
      </c>
      <c r="Y520" s="67" t="s">
        <v>2788</v>
      </c>
      <c r="Z520" s="67" t="s">
        <v>1883</v>
      </c>
      <c r="AC520" s="69" t="s">
        <v>2789</v>
      </c>
    </row>
    <row r="521" ht="39.6" spans="1:29">
      <c r="A521" s="29">
        <v>10051821</v>
      </c>
      <c r="B521" s="30">
        <v>5</v>
      </c>
      <c r="C521" s="63" t="s">
        <v>2790</v>
      </c>
      <c r="D521" s="64" t="s">
        <v>1960</v>
      </c>
      <c r="E521" s="65">
        <v>0</v>
      </c>
      <c r="F521" s="65">
        <v>0</v>
      </c>
      <c r="G521" s="30">
        <v>0</v>
      </c>
      <c r="H521" s="30">
        <v>0</v>
      </c>
      <c r="I521" s="30">
        <v>0</v>
      </c>
      <c r="J521" s="30">
        <v>12</v>
      </c>
      <c r="K521" s="30">
        <v>2</v>
      </c>
      <c r="L521" s="30" t="s">
        <v>1802</v>
      </c>
      <c r="M521" s="30">
        <v>3</v>
      </c>
      <c r="N521" s="30">
        <v>0</v>
      </c>
      <c r="O521" s="66">
        <v>0</v>
      </c>
      <c r="P521" s="30">
        <v>0</v>
      </c>
      <c r="Q521" s="30">
        <v>0</v>
      </c>
      <c r="R521" s="30">
        <v>5</v>
      </c>
      <c r="S521" s="30">
        <v>3.2</v>
      </c>
      <c r="T521" s="30">
        <v>0.4</v>
      </c>
      <c r="U521" s="31">
        <v>0</v>
      </c>
      <c r="V521" s="67">
        <v>0</v>
      </c>
      <c r="W521" s="67">
        <f>5*3.2*2.5</f>
        <v>40</v>
      </c>
      <c r="X521" s="67">
        <f>5+MAX($X$2,0.4)*5*$X$1</f>
        <v>29</v>
      </c>
      <c r="Y521" s="67" t="s">
        <v>2563</v>
      </c>
      <c r="Z521" s="67" t="s">
        <v>1883</v>
      </c>
      <c r="AC521" s="69" t="s">
        <v>2791</v>
      </c>
    </row>
    <row r="522" ht="39.6" spans="1:29">
      <c r="A522" s="29">
        <v>10051921</v>
      </c>
      <c r="B522" s="30">
        <v>5</v>
      </c>
      <c r="C522" s="63" t="s">
        <v>2792</v>
      </c>
      <c r="D522" s="64" t="s">
        <v>1988</v>
      </c>
      <c r="E522" s="65">
        <v>0</v>
      </c>
      <c r="F522" s="65">
        <v>7</v>
      </c>
      <c r="G522" s="30">
        <v>0</v>
      </c>
      <c r="H522" s="30">
        <v>0</v>
      </c>
      <c r="I522" s="30">
        <v>0</v>
      </c>
      <c r="J522" s="30">
        <v>0</v>
      </c>
      <c r="K522" s="30">
        <v>1</v>
      </c>
      <c r="L522" s="30" t="s">
        <v>1802</v>
      </c>
      <c r="M522" s="30">
        <v>0</v>
      </c>
      <c r="N522" s="30">
        <v>0</v>
      </c>
      <c r="O522" s="66">
        <v>0</v>
      </c>
      <c r="P522" s="30">
        <v>0</v>
      </c>
      <c r="Q522" s="30">
        <v>0</v>
      </c>
      <c r="R522" s="30">
        <v>0</v>
      </c>
      <c r="S522" s="30">
        <v>0</v>
      </c>
      <c r="T522" s="30">
        <v>0</v>
      </c>
      <c r="U522" s="31">
        <v>0</v>
      </c>
      <c r="V522" s="67">
        <v>0</v>
      </c>
      <c r="W522" s="67">
        <f>0*0*2.5</f>
        <v>0</v>
      </c>
      <c r="X522" s="67">
        <v>0</v>
      </c>
      <c r="Y522" s="67" t="s">
        <v>2056</v>
      </c>
      <c r="Z522" s="67" t="s">
        <v>1834</v>
      </c>
      <c r="AC522" s="34" t="s">
        <v>2793</v>
      </c>
    </row>
    <row r="523" ht="39.6" spans="1:29">
      <c r="A523" s="29">
        <v>10052021</v>
      </c>
      <c r="B523" s="30">
        <v>5</v>
      </c>
      <c r="C523" s="63" t="s">
        <v>2794</v>
      </c>
      <c r="D523" s="64" t="s">
        <v>1960</v>
      </c>
      <c r="E523" s="65">
        <v>0</v>
      </c>
      <c r="F523" s="65">
        <v>2</v>
      </c>
      <c r="G523" s="30">
        <v>0</v>
      </c>
      <c r="H523" s="30">
        <v>0</v>
      </c>
      <c r="I523" s="30">
        <v>0</v>
      </c>
      <c r="J523" s="30">
        <v>0</v>
      </c>
      <c r="K523" s="30">
        <v>7</v>
      </c>
      <c r="L523" s="30" t="s">
        <v>1802</v>
      </c>
      <c r="M523" s="30">
        <v>0</v>
      </c>
      <c r="N523" s="30">
        <v>0</v>
      </c>
      <c r="O523" s="66">
        <v>0</v>
      </c>
      <c r="P523" s="30">
        <v>0</v>
      </c>
      <c r="Q523" s="30">
        <v>0</v>
      </c>
      <c r="R523" s="30">
        <v>8</v>
      </c>
      <c r="S523" s="30">
        <v>3.4</v>
      </c>
      <c r="T523" s="30">
        <v>0.65</v>
      </c>
      <c r="U523" s="31">
        <v>0</v>
      </c>
      <c r="V523" s="67">
        <v>0</v>
      </c>
      <c r="W523" s="67">
        <f>8*3.4*2.5</f>
        <v>68</v>
      </c>
      <c r="X523" s="67">
        <f>8+MAX($X$2,0.65)*8*$X$1</f>
        <v>46.4</v>
      </c>
      <c r="Y523" s="67" t="s">
        <v>2795</v>
      </c>
      <c r="Z523" s="67" t="s">
        <v>1883</v>
      </c>
      <c r="AC523" s="69" t="s">
        <v>2796</v>
      </c>
    </row>
    <row r="524" ht="39.6" spans="1:29">
      <c r="A524" s="29">
        <v>10052121</v>
      </c>
      <c r="B524" s="30">
        <v>4</v>
      </c>
      <c r="C524" s="63" t="s">
        <v>2797</v>
      </c>
      <c r="D524" s="64" t="s">
        <v>1832</v>
      </c>
      <c r="E524" s="65">
        <v>0</v>
      </c>
      <c r="F524" s="65">
        <v>13</v>
      </c>
      <c r="G524" s="30">
        <v>0</v>
      </c>
      <c r="H524" s="30">
        <v>0</v>
      </c>
      <c r="I524" s="30">
        <v>0</v>
      </c>
      <c r="J524" s="30">
        <v>0</v>
      </c>
      <c r="K524" s="30">
        <v>1</v>
      </c>
      <c r="L524" s="30" t="s">
        <v>52</v>
      </c>
      <c r="M524" s="30">
        <v>0</v>
      </c>
      <c r="N524" s="30">
        <v>0</v>
      </c>
      <c r="O524" s="66">
        <v>0</v>
      </c>
      <c r="P524" s="30">
        <v>0</v>
      </c>
      <c r="Q524" s="30">
        <v>0</v>
      </c>
      <c r="R524" s="30">
        <v>0</v>
      </c>
      <c r="S524" s="30">
        <v>0</v>
      </c>
      <c r="T524" s="30">
        <v>0</v>
      </c>
      <c r="U524" s="31">
        <v>0</v>
      </c>
      <c r="V524" s="67">
        <v>0</v>
      </c>
      <c r="W524" s="67">
        <f>0*0*2.5</f>
        <v>0</v>
      </c>
      <c r="X524" s="67">
        <v>0</v>
      </c>
      <c r="Z524" s="67" t="s">
        <v>1834</v>
      </c>
      <c r="AC524" s="69" t="s">
        <v>2798</v>
      </c>
    </row>
    <row r="525" ht="26.4" spans="1:29">
      <c r="A525" s="29">
        <v>10052221</v>
      </c>
      <c r="B525" s="30">
        <v>5</v>
      </c>
      <c r="C525" s="63" t="s">
        <v>2799</v>
      </c>
      <c r="D525" s="64" t="s">
        <v>1940</v>
      </c>
      <c r="E525" s="65">
        <v>0</v>
      </c>
      <c r="F525" s="65">
        <v>0</v>
      </c>
      <c r="G525" s="30">
        <v>0</v>
      </c>
      <c r="H525" s="30">
        <v>6</v>
      </c>
      <c r="I525" s="30">
        <v>12</v>
      </c>
      <c r="J525" s="30">
        <v>5</v>
      </c>
      <c r="K525" s="30">
        <v>0</v>
      </c>
      <c r="L525" s="30" t="s">
        <v>1802</v>
      </c>
      <c r="M525" s="30">
        <v>0</v>
      </c>
      <c r="N525" s="30">
        <v>0</v>
      </c>
      <c r="O525" s="66">
        <v>0</v>
      </c>
      <c r="P525" s="30">
        <v>0</v>
      </c>
      <c r="Q525" s="30">
        <v>0</v>
      </c>
      <c r="R525" s="30">
        <v>0</v>
      </c>
      <c r="S525" s="30">
        <v>0</v>
      </c>
      <c r="T525" s="30">
        <v>0</v>
      </c>
      <c r="U525" s="31">
        <v>0</v>
      </c>
      <c r="V525" s="67">
        <v>5</v>
      </c>
      <c r="W525" s="67">
        <f>0*0*2.5</f>
        <v>0</v>
      </c>
      <c r="X525" s="67">
        <v>0</v>
      </c>
      <c r="Y525" s="67" t="s">
        <v>1913</v>
      </c>
      <c r="Z525" s="67" t="s">
        <v>1909</v>
      </c>
      <c r="AC525" s="69" t="s">
        <v>2800</v>
      </c>
    </row>
    <row r="526" ht="26.4" spans="1:29">
      <c r="A526" s="29">
        <v>10052321</v>
      </c>
      <c r="B526" s="30">
        <v>5</v>
      </c>
      <c r="C526" s="63" t="s">
        <v>2801</v>
      </c>
      <c r="D526" s="64" t="s">
        <v>1940</v>
      </c>
      <c r="E526" s="65">
        <v>0</v>
      </c>
      <c r="F526" s="65">
        <v>0</v>
      </c>
      <c r="G526" s="30">
        <v>0</v>
      </c>
      <c r="H526" s="30">
        <v>14</v>
      </c>
      <c r="I526" s="30">
        <v>3</v>
      </c>
      <c r="J526" s="30">
        <v>0</v>
      </c>
      <c r="K526" s="30">
        <v>2</v>
      </c>
      <c r="L526" s="30" t="s">
        <v>1802</v>
      </c>
      <c r="M526" s="30">
        <v>0</v>
      </c>
      <c r="N526" s="30">
        <v>0</v>
      </c>
      <c r="O526" s="66">
        <v>0</v>
      </c>
      <c r="P526" s="30">
        <v>0</v>
      </c>
      <c r="Q526" s="30">
        <v>0</v>
      </c>
      <c r="R526" s="30">
        <v>0</v>
      </c>
      <c r="S526" s="30">
        <v>0</v>
      </c>
      <c r="T526" s="30">
        <v>0</v>
      </c>
      <c r="U526" s="31">
        <v>0</v>
      </c>
      <c r="V526" s="67">
        <v>6</v>
      </c>
      <c r="W526" s="67">
        <f>0*0*2.5</f>
        <v>0</v>
      </c>
      <c r="X526" s="67">
        <v>0</v>
      </c>
      <c r="Y526" s="67" t="s">
        <v>1920</v>
      </c>
      <c r="Z526" s="67" t="s">
        <v>1909</v>
      </c>
      <c r="AC526" s="69" t="s">
        <v>1181</v>
      </c>
    </row>
    <row r="527" ht="26.4" spans="1:29">
      <c r="A527" s="29">
        <v>10052421</v>
      </c>
      <c r="B527" s="30">
        <v>5</v>
      </c>
      <c r="C527" s="63" t="s">
        <v>2802</v>
      </c>
      <c r="D527" s="64" t="s">
        <v>2279</v>
      </c>
      <c r="E527" s="65">
        <v>0</v>
      </c>
      <c r="F527" s="65">
        <v>3</v>
      </c>
      <c r="G527" s="30">
        <v>0</v>
      </c>
      <c r="H527" s="30">
        <v>0</v>
      </c>
      <c r="I527" s="30">
        <v>0</v>
      </c>
      <c r="J527" s="30">
        <v>5</v>
      </c>
      <c r="K527" s="30">
        <v>5</v>
      </c>
      <c r="L527" s="30" t="s">
        <v>1802</v>
      </c>
      <c r="M527" s="30">
        <v>0</v>
      </c>
      <c r="N527" s="30">
        <v>0</v>
      </c>
      <c r="O527" s="66">
        <v>0</v>
      </c>
      <c r="P527" s="30">
        <v>0</v>
      </c>
      <c r="Q527" s="30">
        <v>0</v>
      </c>
      <c r="R527" s="30">
        <v>5</v>
      </c>
      <c r="S527" s="30">
        <v>3.5</v>
      </c>
      <c r="T527" s="30">
        <v>0.75</v>
      </c>
      <c r="U527" s="31">
        <v>0</v>
      </c>
      <c r="V527" s="67">
        <v>0</v>
      </c>
      <c r="W527" s="67">
        <f>5*3.5*2.5</f>
        <v>43.75</v>
      </c>
      <c r="X527" s="67">
        <f>5+MAX($X$2,0.75)*5*$X$1</f>
        <v>29</v>
      </c>
      <c r="Y527" s="67" t="s">
        <v>2803</v>
      </c>
      <c r="Z527" s="67" t="s">
        <v>2280</v>
      </c>
      <c r="AC527" s="69" t="s">
        <v>1181</v>
      </c>
    </row>
    <row r="528" ht="39.6" spans="1:29">
      <c r="A528" s="29">
        <v>10052521</v>
      </c>
      <c r="B528" s="30">
        <v>6</v>
      </c>
      <c r="C528" s="63" t="s">
        <v>2804</v>
      </c>
      <c r="D528" s="64" t="s">
        <v>14</v>
      </c>
      <c r="E528" s="65">
        <v>0</v>
      </c>
      <c r="F528" s="65">
        <v>9</v>
      </c>
      <c r="G528" s="30">
        <v>0</v>
      </c>
      <c r="H528" s="30">
        <v>5</v>
      </c>
      <c r="I528" s="30">
        <v>0</v>
      </c>
      <c r="J528" s="30">
        <v>0</v>
      </c>
      <c r="K528" s="30">
        <v>0</v>
      </c>
      <c r="L528" s="30" t="s">
        <v>1802</v>
      </c>
      <c r="M528" s="30">
        <v>0</v>
      </c>
      <c r="N528" s="30">
        <v>0</v>
      </c>
      <c r="O528" s="66">
        <v>0</v>
      </c>
      <c r="P528" s="30">
        <v>0</v>
      </c>
      <c r="Q528" s="30">
        <v>0</v>
      </c>
      <c r="R528" s="30">
        <v>0</v>
      </c>
      <c r="S528" s="30">
        <v>0</v>
      </c>
      <c r="T528" s="30">
        <v>0</v>
      </c>
      <c r="U528" s="31">
        <v>0</v>
      </c>
      <c r="V528" s="67">
        <v>0</v>
      </c>
      <c r="W528" s="67">
        <f>0*0*2.5</f>
        <v>0</v>
      </c>
      <c r="X528" s="67">
        <v>0</v>
      </c>
      <c r="Z528" s="67" t="s">
        <v>1980</v>
      </c>
      <c r="AC528" s="69" t="s">
        <v>1181</v>
      </c>
    </row>
    <row r="529" ht="26.4" spans="1:29">
      <c r="A529" s="29">
        <v>10052621</v>
      </c>
      <c r="B529" s="30">
        <v>5</v>
      </c>
      <c r="C529" s="63" t="s">
        <v>2805</v>
      </c>
      <c r="D529" s="64" t="s">
        <v>1845</v>
      </c>
      <c r="E529" s="65">
        <v>0</v>
      </c>
      <c r="F529" s="65">
        <v>30</v>
      </c>
      <c r="G529" s="30">
        <v>0</v>
      </c>
      <c r="H529" s="30">
        <v>0</v>
      </c>
      <c r="I529" s="30">
        <v>0</v>
      </c>
      <c r="J529" s="30">
        <v>0</v>
      </c>
      <c r="K529" s="30">
        <v>0</v>
      </c>
      <c r="L529" s="30" t="s">
        <v>1022</v>
      </c>
      <c r="M529" s="30">
        <v>0</v>
      </c>
      <c r="N529" s="30">
        <v>0</v>
      </c>
      <c r="O529" s="66">
        <v>0</v>
      </c>
      <c r="P529" s="30">
        <v>0</v>
      </c>
      <c r="Q529" s="30">
        <v>0</v>
      </c>
      <c r="R529" s="30">
        <v>5</v>
      </c>
      <c r="S529" s="30">
        <v>0</v>
      </c>
      <c r="T529" s="30">
        <v>0.25</v>
      </c>
      <c r="U529" s="31">
        <v>0</v>
      </c>
      <c r="V529" s="67">
        <v>0</v>
      </c>
      <c r="W529" s="67">
        <f>5*0*2.5</f>
        <v>0</v>
      </c>
      <c r="X529" s="67">
        <f>5+MAX($X$2,0.25)*5*$X$1</f>
        <v>29</v>
      </c>
      <c r="Y529" s="67" t="s">
        <v>1851</v>
      </c>
      <c r="Z529" s="67" t="s">
        <v>1846</v>
      </c>
      <c r="AC529" s="69" t="s">
        <v>1181</v>
      </c>
    </row>
    <row r="530" ht="39.6" spans="1:29">
      <c r="A530" s="29">
        <v>10052721</v>
      </c>
      <c r="B530" s="30">
        <v>5</v>
      </c>
      <c r="C530" s="63" t="s">
        <v>2806</v>
      </c>
      <c r="D530" s="64" t="s">
        <v>1960</v>
      </c>
      <c r="E530" s="65">
        <v>0</v>
      </c>
      <c r="F530" s="65">
        <v>0</v>
      </c>
      <c r="G530" s="30">
        <v>0</v>
      </c>
      <c r="H530" s="30">
        <v>0</v>
      </c>
      <c r="I530" s="30">
        <v>0</v>
      </c>
      <c r="J530" s="30">
        <v>6</v>
      </c>
      <c r="K530" s="30">
        <v>0</v>
      </c>
      <c r="L530" s="30" t="s">
        <v>1802</v>
      </c>
      <c r="M530" s="30">
        <v>5</v>
      </c>
      <c r="N530" s="30">
        <v>0</v>
      </c>
      <c r="O530" s="66">
        <v>0</v>
      </c>
      <c r="P530" s="30">
        <v>0</v>
      </c>
      <c r="Q530" s="30">
        <v>0</v>
      </c>
      <c r="R530" s="30">
        <v>13</v>
      </c>
      <c r="S530" s="30">
        <v>3.7</v>
      </c>
      <c r="T530" s="30">
        <v>0.78</v>
      </c>
      <c r="U530" s="31">
        <v>0</v>
      </c>
      <c r="V530" s="67">
        <v>0</v>
      </c>
      <c r="W530" s="67">
        <f>13*3.7*2.5</f>
        <v>120.25</v>
      </c>
      <c r="X530" s="67">
        <f>13+MAX($X$2,0.78)*13*$X$1</f>
        <v>75.4</v>
      </c>
      <c r="Y530" s="67" t="s">
        <v>2807</v>
      </c>
      <c r="Z530" s="67" t="s">
        <v>1883</v>
      </c>
      <c r="AC530" s="69" t="s">
        <v>1197</v>
      </c>
    </row>
    <row r="531" ht="26.4" spans="1:29">
      <c r="A531" s="29">
        <v>10052821</v>
      </c>
      <c r="B531" s="30">
        <v>4</v>
      </c>
      <c r="C531" s="63" t="s">
        <v>2808</v>
      </c>
      <c r="D531" s="64" t="s">
        <v>2271</v>
      </c>
      <c r="E531" s="65">
        <v>0</v>
      </c>
      <c r="F531" s="65">
        <v>7</v>
      </c>
      <c r="G531" s="30">
        <v>0</v>
      </c>
      <c r="H531" s="30">
        <v>0</v>
      </c>
      <c r="I531" s="30">
        <v>0</v>
      </c>
      <c r="J531" s="30">
        <v>0</v>
      </c>
      <c r="K531" s="30">
        <v>2</v>
      </c>
      <c r="L531" s="30" t="s">
        <v>1802</v>
      </c>
      <c r="M531" s="30">
        <v>0</v>
      </c>
      <c r="N531" s="30">
        <v>2</v>
      </c>
      <c r="O531" s="66">
        <v>0</v>
      </c>
      <c r="P531" s="30">
        <v>0</v>
      </c>
      <c r="Q531" s="30">
        <v>0</v>
      </c>
      <c r="R531" s="30">
        <v>0</v>
      </c>
      <c r="S531" s="30">
        <v>0</v>
      </c>
      <c r="T531" s="30">
        <v>0</v>
      </c>
      <c r="U531" s="31">
        <v>0</v>
      </c>
      <c r="V531" s="67">
        <v>0</v>
      </c>
      <c r="W531" s="67">
        <f>0*0*2.5</f>
        <v>0</v>
      </c>
      <c r="X531" s="67">
        <v>0</v>
      </c>
      <c r="Z531" s="67" t="s">
        <v>2272</v>
      </c>
      <c r="AC531" s="69" t="s">
        <v>1197</v>
      </c>
    </row>
    <row r="532" ht="26.4" spans="1:29">
      <c r="A532" s="29">
        <v>10052921</v>
      </c>
      <c r="B532" s="30">
        <v>6</v>
      </c>
      <c r="C532" s="63" t="s">
        <v>2809</v>
      </c>
      <c r="D532" s="64" t="s">
        <v>1845</v>
      </c>
      <c r="E532" s="65">
        <v>0</v>
      </c>
      <c r="F532" s="65">
        <v>28</v>
      </c>
      <c r="G532" s="30">
        <v>0</v>
      </c>
      <c r="H532" s="30">
        <v>0</v>
      </c>
      <c r="I532" s="30">
        <v>0</v>
      </c>
      <c r="J532" s="30">
        <v>0</v>
      </c>
      <c r="K532" s="30">
        <v>4</v>
      </c>
      <c r="L532" s="30" t="s">
        <v>1022</v>
      </c>
      <c r="M532" s="30">
        <v>0</v>
      </c>
      <c r="N532" s="30">
        <v>0</v>
      </c>
      <c r="O532" s="66">
        <v>0</v>
      </c>
      <c r="P532" s="30">
        <v>0</v>
      </c>
      <c r="Q532" s="30">
        <v>0</v>
      </c>
      <c r="R532" s="30">
        <v>0</v>
      </c>
      <c r="S532" s="30">
        <v>0</v>
      </c>
      <c r="T532" s="30">
        <v>0</v>
      </c>
      <c r="U532" s="31">
        <v>0</v>
      </c>
      <c r="V532" s="67">
        <v>0</v>
      </c>
      <c r="W532" s="67">
        <f>0*0*2.5</f>
        <v>0</v>
      </c>
      <c r="X532" s="67">
        <v>0</v>
      </c>
      <c r="Z532" s="67" t="s">
        <v>1846</v>
      </c>
      <c r="AC532" s="69" t="s">
        <v>1197</v>
      </c>
    </row>
    <row r="533" ht="26.4" spans="1:28">
      <c r="A533" s="29">
        <v>10053021</v>
      </c>
      <c r="B533" s="30">
        <v>4</v>
      </c>
      <c r="C533" s="63" t="s">
        <v>1191</v>
      </c>
      <c r="D533" s="64" t="s">
        <v>1845</v>
      </c>
      <c r="E533" s="65">
        <v>0</v>
      </c>
      <c r="F533" s="65">
        <v>23</v>
      </c>
      <c r="G533" s="30">
        <v>0</v>
      </c>
      <c r="H533" s="30">
        <v>0</v>
      </c>
      <c r="I533" s="30">
        <v>0</v>
      </c>
      <c r="J533" s="30">
        <v>0</v>
      </c>
      <c r="K533" s="30">
        <v>1</v>
      </c>
      <c r="L533" s="30" t="s">
        <v>52</v>
      </c>
      <c r="M533" s="30">
        <v>0</v>
      </c>
      <c r="N533" s="30">
        <v>0</v>
      </c>
      <c r="O533" s="66">
        <v>0</v>
      </c>
      <c r="P533" s="30">
        <v>0</v>
      </c>
      <c r="Q533" s="30">
        <v>0</v>
      </c>
      <c r="R533" s="30">
        <v>0</v>
      </c>
      <c r="S533" s="30">
        <v>0</v>
      </c>
      <c r="T533" s="30">
        <v>0</v>
      </c>
      <c r="U533" s="31">
        <v>0</v>
      </c>
      <c r="V533" s="67">
        <v>0</v>
      </c>
      <c r="W533" s="67">
        <f>0*0*2.5</f>
        <v>0</v>
      </c>
      <c r="X533" s="67">
        <v>0</v>
      </c>
      <c r="Z533" s="67" t="s">
        <v>1846</v>
      </c>
      <c r="AB533" s="69" t="s">
        <v>590</v>
      </c>
    </row>
    <row r="534" ht="26.4" spans="1:29">
      <c r="A534" s="29">
        <v>10053121</v>
      </c>
      <c r="B534" s="30">
        <v>5</v>
      </c>
      <c r="C534" s="63" t="s">
        <v>2810</v>
      </c>
      <c r="D534" s="64" t="s">
        <v>1907</v>
      </c>
      <c r="E534" s="65">
        <v>0</v>
      </c>
      <c r="F534" s="65">
        <v>0</v>
      </c>
      <c r="G534" s="30">
        <v>0</v>
      </c>
      <c r="H534" s="30">
        <v>0</v>
      </c>
      <c r="I534" s="30">
        <v>0</v>
      </c>
      <c r="J534" s="30">
        <v>0</v>
      </c>
      <c r="K534" s="30">
        <v>0</v>
      </c>
      <c r="L534" s="30" t="s">
        <v>1802</v>
      </c>
      <c r="M534" s="30">
        <v>3</v>
      </c>
      <c r="N534" s="30">
        <v>0</v>
      </c>
      <c r="O534" s="66">
        <v>0</v>
      </c>
      <c r="P534" s="30">
        <v>0</v>
      </c>
      <c r="Q534" s="30">
        <v>0</v>
      </c>
      <c r="R534" s="30">
        <v>12</v>
      </c>
      <c r="S534" s="30">
        <v>0</v>
      </c>
      <c r="T534" s="30">
        <v>0</v>
      </c>
      <c r="U534" s="31">
        <v>0</v>
      </c>
      <c r="V534" s="67">
        <v>6</v>
      </c>
      <c r="W534" s="67">
        <f>12*0*2.5</f>
        <v>0</v>
      </c>
      <c r="X534" s="67">
        <v>12</v>
      </c>
      <c r="Y534" s="67" t="s">
        <v>1920</v>
      </c>
      <c r="Z534" s="67" t="s">
        <v>2090</v>
      </c>
      <c r="AC534" s="69" t="s">
        <v>2724</v>
      </c>
    </row>
    <row r="535" ht="26.4" spans="1:29">
      <c r="A535" s="29">
        <v>10053221</v>
      </c>
      <c r="B535" s="30">
        <v>6</v>
      </c>
      <c r="C535" s="63" t="s">
        <v>2811</v>
      </c>
      <c r="D535" s="64" t="s">
        <v>1976</v>
      </c>
      <c r="E535" s="65">
        <v>0</v>
      </c>
      <c r="F535" s="65">
        <v>0</v>
      </c>
      <c r="G535" s="30">
        <v>0</v>
      </c>
      <c r="H535" s="30">
        <v>3</v>
      </c>
      <c r="I535" s="30">
        <v>17</v>
      </c>
      <c r="J535" s="30">
        <v>0</v>
      </c>
      <c r="K535" s="30">
        <v>0</v>
      </c>
      <c r="L535" s="30" t="s">
        <v>1802</v>
      </c>
      <c r="M535" s="30">
        <v>0</v>
      </c>
      <c r="N535" s="30">
        <v>0</v>
      </c>
      <c r="O535" s="66">
        <v>0</v>
      </c>
      <c r="P535" s="30">
        <v>0</v>
      </c>
      <c r="Q535" s="30">
        <v>0</v>
      </c>
      <c r="R535" s="30">
        <v>0</v>
      </c>
      <c r="S535" s="30">
        <v>0</v>
      </c>
      <c r="T535" s="30">
        <v>0</v>
      </c>
      <c r="U535" s="31">
        <v>0</v>
      </c>
      <c r="V535" s="67">
        <v>0</v>
      </c>
      <c r="W535" s="67">
        <f t="shared" ref="W535:W540" si="15">0*0*2.5</f>
        <v>0</v>
      </c>
      <c r="X535" s="67">
        <v>0</v>
      </c>
      <c r="Z535" s="67" t="s">
        <v>1977</v>
      </c>
      <c r="AC535" s="69" t="s">
        <v>2789</v>
      </c>
    </row>
    <row r="536" ht="39.6" spans="1:29">
      <c r="A536" s="29">
        <v>10053321</v>
      </c>
      <c r="B536" s="30">
        <v>4</v>
      </c>
      <c r="C536" s="63" t="s">
        <v>2812</v>
      </c>
      <c r="D536" s="64" t="s">
        <v>1805</v>
      </c>
      <c r="E536" s="65">
        <v>0</v>
      </c>
      <c r="F536" s="65">
        <v>3</v>
      </c>
      <c r="G536" s="30">
        <v>3</v>
      </c>
      <c r="H536" s="30">
        <v>0</v>
      </c>
      <c r="I536" s="30">
        <v>0</v>
      </c>
      <c r="J536" s="30">
        <v>0</v>
      </c>
      <c r="K536" s="30">
        <v>0</v>
      </c>
      <c r="L536" s="30" t="s">
        <v>115</v>
      </c>
      <c r="M536" s="30">
        <v>1</v>
      </c>
      <c r="N536" s="30">
        <v>0</v>
      </c>
      <c r="O536" s="66">
        <v>0</v>
      </c>
      <c r="P536" s="30">
        <v>0</v>
      </c>
      <c r="Q536" s="30">
        <v>0</v>
      </c>
      <c r="R536" s="30">
        <v>0</v>
      </c>
      <c r="S536" s="30">
        <v>0</v>
      </c>
      <c r="T536" s="30">
        <v>0</v>
      </c>
      <c r="U536" s="31">
        <v>0</v>
      </c>
      <c r="V536" s="67">
        <v>0</v>
      </c>
      <c r="W536" s="67">
        <f t="shared" si="15"/>
        <v>0</v>
      </c>
      <c r="X536" s="67">
        <v>0</v>
      </c>
      <c r="Z536" s="67" t="s">
        <v>1807</v>
      </c>
      <c r="AC536" s="69" t="s">
        <v>2746</v>
      </c>
    </row>
    <row r="537" ht="26.4" spans="1:29">
      <c r="A537" s="29">
        <v>10053421</v>
      </c>
      <c r="B537" s="30">
        <v>6</v>
      </c>
      <c r="C537" s="63" t="s">
        <v>2813</v>
      </c>
      <c r="D537" s="64" t="s">
        <v>1845</v>
      </c>
      <c r="E537" s="65">
        <v>0</v>
      </c>
      <c r="F537" s="65">
        <v>29</v>
      </c>
      <c r="G537" s="30">
        <v>1</v>
      </c>
      <c r="H537" s="30">
        <v>0</v>
      </c>
      <c r="I537" s="30">
        <v>0</v>
      </c>
      <c r="J537" s="30">
        <v>0</v>
      </c>
      <c r="K537" s="30">
        <v>0</v>
      </c>
      <c r="L537" s="30" t="s">
        <v>52</v>
      </c>
      <c r="M537" s="30">
        <v>0</v>
      </c>
      <c r="N537" s="30">
        <v>0</v>
      </c>
      <c r="O537" s="66">
        <v>0</v>
      </c>
      <c r="P537" s="30">
        <v>0</v>
      </c>
      <c r="Q537" s="30">
        <v>0</v>
      </c>
      <c r="R537" s="30">
        <v>0</v>
      </c>
      <c r="S537" s="30">
        <v>0</v>
      </c>
      <c r="T537" s="30">
        <v>0</v>
      </c>
      <c r="U537" s="31">
        <v>0</v>
      </c>
      <c r="V537" s="67">
        <v>0</v>
      </c>
      <c r="W537" s="67">
        <f t="shared" si="15"/>
        <v>0</v>
      </c>
      <c r="X537" s="67">
        <v>0</v>
      </c>
      <c r="Z537" s="67" t="s">
        <v>1846</v>
      </c>
      <c r="AC537" s="69" t="s">
        <v>2789</v>
      </c>
    </row>
    <row r="538" ht="52.8" spans="1:29">
      <c r="A538" s="29">
        <v>10053521</v>
      </c>
      <c r="B538" s="30">
        <v>5</v>
      </c>
      <c r="C538" s="63" t="s">
        <v>2814</v>
      </c>
      <c r="D538" s="64" t="s">
        <v>1801</v>
      </c>
      <c r="E538" s="65">
        <v>0</v>
      </c>
      <c r="F538" s="65">
        <v>0</v>
      </c>
      <c r="G538" s="30">
        <v>0</v>
      </c>
      <c r="H538" s="30">
        <v>0</v>
      </c>
      <c r="I538" s="30">
        <v>0</v>
      </c>
      <c r="J538" s="30">
        <v>0</v>
      </c>
      <c r="K538" s="30">
        <v>1</v>
      </c>
      <c r="L538" s="30" t="s">
        <v>1802</v>
      </c>
      <c r="M538" s="30">
        <v>1</v>
      </c>
      <c r="N538" s="30">
        <v>5</v>
      </c>
      <c r="O538" s="66">
        <v>0</v>
      </c>
      <c r="P538" s="30">
        <v>0</v>
      </c>
      <c r="Q538" s="30">
        <v>0</v>
      </c>
      <c r="R538" s="30">
        <v>0</v>
      </c>
      <c r="S538" s="30">
        <v>0</v>
      </c>
      <c r="T538" s="30">
        <v>0</v>
      </c>
      <c r="U538" s="31">
        <v>0</v>
      </c>
      <c r="V538" s="67">
        <v>0</v>
      </c>
      <c r="W538" s="67">
        <f t="shared" si="15"/>
        <v>0</v>
      </c>
      <c r="X538" s="67">
        <v>0</v>
      </c>
      <c r="Z538" s="67" t="s">
        <v>1803</v>
      </c>
      <c r="AC538" s="69" t="s">
        <v>2815</v>
      </c>
    </row>
    <row r="539" ht="26.4" spans="1:29">
      <c r="A539" s="29">
        <v>10053621</v>
      </c>
      <c r="B539" s="30">
        <v>5</v>
      </c>
      <c r="C539" s="63" t="s">
        <v>2816</v>
      </c>
      <c r="D539" s="64" t="s">
        <v>1907</v>
      </c>
      <c r="E539" s="65">
        <v>0</v>
      </c>
      <c r="F539" s="65">
        <v>0</v>
      </c>
      <c r="G539" s="30">
        <v>0</v>
      </c>
      <c r="H539" s="30">
        <v>0</v>
      </c>
      <c r="I539" s="30">
        <v>0</v>
      </c>
      <c r="J539" s="30">
        <v>0</v>
      </c>
      <c r="K539" s="30">
        <v>0</v>
      </c>
      <c r="L539" s="30" t="s">
        <v>1802</v>
      </c>
      <c r="M539" s="30">
        <v>0</v>
      </c>
      <c r="N539" s="30">
        <v>0</v>
      </c>
      <c r="O539" s="66">
        <v>0</v>
      </c>
      <c r="P539" s="30">
        <v>0</v>
      </c>
      <c r="Q539" s="30">
        <v>0</v>
      </c>
      <c r="R539" s="30">
        <v>14</v>
      </c>
      <c r="S539" s="30">
        <v>0</v>
      </c>
      <c r="T539" s="30">
        <v>0</v>
      </c>
      <c r="U539" s="31">
        <v>0</v>
      </c>
      <c r="V539" s="67">
        <v>5</v>
      </c>
      <c r="W539" s="67">
        <f>12*0*2.5</f>
        <v>0</v>
      </c>
      <c r="X539" s="67">
        <v>14</v>
      </c>
      <c r="Y539" s="67" t="s">
        <v>1913</v>
      </c>
      <c r="Z539" s="67" t="s">
        <v>2090</v>
      </c>
      <c r="AC539" s="69" t="s">
        <v>2724</v>
      </c>
    </row>
    <row r="540" ht="39.6" spans="1:29">
      <c r="A540" s="29">
        <v>10053321</v>
      </c>
      <c r="B540" s="30">
        <v>5</v>
      </c>
      <c r="C540" s="63" t="s">
        <v>2817</v>
      </c>
      <c r="D540" s="64" t="s">
        <v>1805</v>
      </c>
      <c r="E540" s="65">
        <v>0</v>
      </c>
      <c r="F540" s="65">
        <v>2</v>
      </c>
      <c r="G540" s="30">
        <v>0</v>
      </c>
      <c r="H540" s="30">
        <v>0</v>
      </c>
      <c r="I540" s="30">
        <v>0</v>
      </c>
      <c r="J540" s="30">
        <v>0</v>
      </c>
      <c r="K540" s="30">
        <v>2</v>
      </c>
      <c r="L540" s="30" t="s">
        <v>115</v>
      </c>
      <c r="M540" s="30">
        <v>2</v>
      </c>
      <c r="N540" s="30">
        <v>0</v>
      </c>
      <c r="O540" s="66">
        <v>0</v>
      </c>
      <c r="P540" s="30">
        <v>0</v>
      </c>
      <c r="Q540" s="30">
        <v>0</v>
      </c>
      <c r="R540" s="30">
        <v>14</v>
      </c>
      <c r="S540" s="30">
        <v>3</v>
      </c>
      <c r="T540" s="30">
        <v>0.38</v>
      </c>
      <c r="U540" s="31">
        <v>0</v>
      </c>
      <c r="V540" s="67">
        <v>0</v>
      </c>
      <c r="W540" s="67">
        <f t="shared" si="15"/>
        <v>0</v>
      </c>
      <c r="X540" s="67">
        <v>105</v>
      </c>
      <c r="Z540" s="67" t="s">
        <v>1807</v>
      </c>
      <c r="AC540" s="69" t="s">
        <v>2746</v>
      </c>
    </row>
    <row r="541" ht="52.8" spans="1:28">
      <c r="A541" s="29">
        <v>10016921</v>
      </c>
      <c r="B541" s="30">
        <v>5</v>
      </c>
      <c r="C541" s="63" t="s">
        <v>2818</v>
      </c>
      <c r="D541" s="64" t="s">
        <v>1801</v>
      </c>
      <c r="E541" s="65">
        <v>0</v>
      </c>
      <c r="F541" s="65">
        <v>0</v>
      </c>
      <c r="G541" s="30">
        <v>6</v>
      </c>
      <c r="H541" s="30">
        <v>0</v>
      </c>
      <c r="I541" s="30">
        <v>0</v>
      </c>
      <c r="J541" s="30">
        <v>0</v>
      </c>
      <c r="K541" s="30">
        <v>0</v>
      </c>
      <c r="L541" s="30" t="s">
        <v>1802</v>
      </c>
      <c r="M541" s="30">
        <v>2</v>
      </c>
      <c r="N541" s="30">
        <v>2</v>
      </c>
      <c r="O541" s="66">
        <v>0</v>
      </c>
      <c r="P541" s="30">
        <v>0</v>
      </c>
      <c r="Q541" s="30">
        <v>0</v>
      </c>
      <c r="R541" s="30">
        <v>0</v>
      </c>
      <c r="S541" s="30">
        <v>1</v>
      </c>
      <c r="T541" s="30">
        <v>0</v>
      </c>
      <c r="U541" s="31">
        <v>0</v>
      </c>
      <c r="V541" s="67">
        <v>0</v>
      </c>
      <c r="W541" s="67">
        <f>0*1*2.5</f>
        <v>0</v>
      </c>
      <c r="X541" s="67">
        <v>0</v>
      </c>
      <c r="Z541" s="67" t="s">
        <v>1996</v>
      </c>
      <c r="AB541" s="69" t="s">
        <v>2127</v>
      </c>
    </row>
    <row r="542" ht="39.6" spans="1:28">
      <c r="A542" s="29">
        <v>10019121</v>
      </c>
      <c r="B542" s="30">
        <v>5</v>
      </c>
      <c r="C542" s="63" t="s">
        <v>2819</v>
      </c>
      <c r="D542" s="64" t="s">
        <v>1832</v>
      </c>
      <c r="E542" s="65">
        <v>0</v>
      </c>
      <c r="F542" s="65">
        <v>8</v>
      </c>
      <c r="G542" s="30">
        <v>0</v>
      </c>
      <c r="H542" s="30">
        <v>0</v>
      </c>
      <c r="I542" s="30">
        <v>0</v>
      </c>
      <c r="J542" s="30">
        <v>0</v>
      </c>
      <c r="K542" s="30">
        <v>0</v>
      </c>
      <c r="L542" s="30" t="s">
        <v>158</v>
      </c>
      <c r="M542" s="30">
        <v>0</v>
      </c>
      <c r="N542" s="30">
        <v>0</v>
      </c>
      <c r="O542" s="66">
        <v>0</v>
      </c>
      <c r="P542" s="30">
        <v>0</v>
      </c>
      <c r="Q542" s="30">
        <v>0</v>
      </c>
      <c r="R542" s="30">
        <v>0</v>
      </c>
      <c r="S542" s="30">
        <v>1</v>
      </c>
      <c r="T542" s="30">
        <v>0</v>
      </c>
      <c r="U542" s="31">
        <v>0</v>
      </c>
      <c r="V542" s="67">
        <v>0</v>
      </c>
      <c r="W542" s="67">
        <f>0*1*2.5</f>
        <v>0</v>
      </c>
      <c r="X542" s="67">
        <v>0</v>
      </c>
      <c r="Z542" s="67" t="s">
        <v>1834</v>
      </c>
      <c r="AB542" s="69" t="s">
        <v>2159</v>
      </c>
    </row>
    <row r="543" ht="26.4" spans="1:29">
      <c r="A543" s="29">
        <v>10053621</v>
      </c>
      <c r="B543" s="30">
        <v>5</v>
      </c>
      <c r="C543" s="63" t="s">
        <v>2820</v>
      </c>
      <c r="D543" s="64" t="s">
        <v>1907</v>
      </c>
      <c r="E543" s="65">
        <v>0</v>
      </c>
      <c r="F543" s="65">
        <v>0</v>
      </c>
      <c r="G543" s="30">
        <v>0</v>
      </c>
      <c r="H543" s="30">
        <v>0</v>
      </c>
      <c r="I543" s="30">
        <v>0</v>
      </c>
      <c r="J543" s="30">
        <v>0</v>
      </c>
      <c r="K543" s="30">
        <v>2</v>
      </c>
      <c r="L543" s="30" t="s">
        <v>1802</v>
      </c>
      <c r="M543" s="30">
        <v>0</v>
      </c>
      <c r="N543" s="30">
        <v>0</v>
      </c>
      <c r="O543" s="66">
        <v>5</v>
      </c>
      <c r="P543" s="30">
        <v>0</v>
      </c>
      <c r="Q543" s="30">
        <v>0</v>
      </c>
      <c r="R543" s="30">
        <v>9</v>
      </c>
      <c r="S543" s="30">
        <v>0</v>
      </c>
      <c r="T543" s="30">
        <v>0</v>
      </c>
      <c r="U543" s="31">
        <v>0</v>
      </c>
      <c r="V543" s="67">
        <v>5</v>
      </c>
      <c r="W543" s="67">
        <f>12*0*2.5</f>
        <v>0</v>
      </c>
      <c r="X543" s="67">
        <v>9</v>
      </c>
      <c r="Y543" s="67" t="s">
        <v>1913</v>
      </c>
      <c r="Z543" s="67" t="s">
        <v>2090</v>
      </c>
      <c r="AC543" s="69" t="s">
        <v>2724</v>
      </c>
    </row>
  </sheetData>
  <autoFilter ref="A3:AC576">
    <sortState ref="A3:AC576">
      <sortCondition ref="A3:A576"/>
    </sortState>
    <extLst/>
  </autoFilter>
  <mergeCells count="3">
    <mergeCell ref="R1:W1"/>
    <mergeCell ref="R2:W2"/>
    <mergeCell ref="Y1:AC2"/>
  </mergeCells>
  <conditionalFormatting sqref="C539">
    <cfRule type="expression" dxfId="5" priority="22">
      <formula>$B539=3</formula>
    </cfRule>
    <cfRule type="expression" dxfId="4" priority="21">
      <formula>$B539=4</formula>
    </cfRule>
    <cfRule type="expression" dxfId="3" priority="20">
      <formula>$B539=5</formula>
    </cfRule>
    <cfRule type="expression" dxfId="2" priority="19">
      <formula>$B539=6</formula>
    </cfRule>
  </conditionalFormatting>
  <conditionalFormatting sqref="C540">
    <cfRule type="expression" dxfId="5" priority="18">
      <formula>$B540=3</formula>
    </cfRule>
    <cfRule type="expression" dxfId="4" priority="17">
      <formula>$B540=4</formula>
    </cfRule>
    <cfRule type="expression" dxfId="3" priority="16">
      <formula>$B540=5</formula>
    </cfRule>
    <cfRule type="expression" dxfId="2" priority="15">
      <formula>$B540=6</formula>
    </cfRule>
  </conditionalFormatting>
  <conditionalFormatting sqref="C541">
    <cfRule type="expression" dxfId="7" priority="14">
      <formula>$B541=2</formula>
    </cfRule>
    <cfRule type="expression" dxfId="5" priority="13">
      <formula>$B541=3</formula>
    </cfRule>
    <cfRule type="expression" dxfId="4" priority="12">
      <formula>$B541=4</formula>
    </cfRule>
    <cfRule type="expression" dxfId="3" priority="11">
      <formula>$B541=5</formula>
    </cfRule>
    <cfRule type="expression" dxfId="2" priority="10">
      <formula>$B541=6</formula>
    </cfRule>
  </conditionalFormatting>
  <conditionalFormatting sqref="C542">
    <cfRule type="expression" dxfId="7" priority="9">
      <formula>$B542=2</formula>
    </cfRule>
    <cfRule type="expression" dxfId="5" priority="8">
      <formula>$B542=3</formula>
    </cfRule>
    <cfRule type="expression" dxfId="4" priority="7">
      <formula>$B542=4</formula>
    </cfRule>
    <cfRule type="expression" dxfId="3" priority="6">
      <formula>$B542=5</formula>
    </cfRule>
    <cfRule type="expression" dxfId="2" priority="5">
      <formula>$B542=6</formula>
    </cfRule>
  </conditionalFormatting>
  <conditionalFormatting sqref="C543">
    <cfRule type="expression" dxfId="5" priority="4">
      <formula>$B543=3</formula>
    </cfRule>
    <cfRule type="expression" dxfId="4" priority="3">
      <formula>$B543=4</formula>
    </cfRule>
    <cfRule type="expression" dxfId="3" priority="2">
      <formula>$B543=5</formula>
    </cfRule>
    <cfRule type="expression" dxfId="2" priority="1">
      <formula>$B543=6</formula>
    </cfRule>
  </conditionalFormatting>
  <conditionalFormatting sqref="C4:C483">
    <cfRule type="expression" dxfId="7" priority="27">
      <formula>$B4=2</formula>
    </cfRule>
  </conditionalFormatting>
  <conditionalFormatting sqref="C4:C538 C544:C602">
    <cfRule type="expression" dxfId="2" priority="23">
      <formula>$B4=6</formula>
    </cfRule>
    <cfRule type="expression" dxfId="3" priority="24">
      <formula>$B4=5</formula>
    </cfRule>
    <cfRule type="expression" dxfId="4" priority="25">
      <formula>$B4=4</formula>
    </cfRule>
    <cfRule type="expression" dxfId="5" priority="26">
      <formula>$B4=3</formula>
    </cfRule>
  </conditionalFormatting>
  <pageMargins left="0.7" right="0.7" top="0.75" bottom="0.75" header="0.3" footer="0.3"/>
  <pageSetup paperSize="9" orientation="portrait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8"/>
  <sheetViews>
    <sheetView workbookViewId="0">
      <pane xSplit="3" ySplit="2" topLeftCell="J42" activePane="bottomRight" state="frozen"/>
      <selection/>
      <selection pane="topRight"/>
      <selection pane="bottomLeft"/>
      <selection pane="bottomRight" activeCell="R44" sqref="R44"/>
    </sheetView>
  </sheetViews>
  <sheetFormatPr defaultColWidth="9" defaultRowHeight="13.8"/>
  <cols>
    <col min="1" max="1" width="10.3333333333333" style="29" customWidth="1"/>
    <col min="2" max="2" width="6" style="30" customWidth="1"/>
    <col min="3" max="3" width="16.7777777777778" style="46" customWidth="1"/>
    <col min="4" max="4" width="8.77777777777778" style="30" customWidth="1"/>
    <col min="5" max="5" width="5.66666666666667" style="29" customWidth="1"/>
    <col min="6" max="9" width="5.66666666666667" style="30" customWidth="1"/>
    <col min="10" max="10" width="5.66666666666667" style="47" customWidth="1"/>
    <col min="11" max="14" width="4.88888888888889" style="30" customWidth="1"/>
    <col min="15" max="15" width="4.66666666666667" style="29" customWidth="1"/>
    <col min="16" max="16" width="7.33333333333333" style="31" customWidth="1"/>
    <col min="17" max="17" width="44.2222222222222" style="32" customWidth="1"/>
    <col min="18" max="18" width="51.2222222222222" style="34" customWidth="1"/>
    <col min="19" max="19" width="17.8888888888889" style="48" customWidth="1"/>
  </cols>
  <sheetData>
    <row r="1" ht="14.55" spans="1:19">
      <c r="A1" s="49"/>
      <c r="B1" s="50"/>
      <c r="C1" s="35"/>
      <c r="D1" s="50"/>
      <c r="E1" s="37" t="s">
        <v>2821</v>
      </c>
      <c r="F1" s="35"/>
      <c r="G1" s="35"/>
      <c r="H1" s="35"/>
      <c r="I1" s="35"/>
      <c r="J1" s="38"/>
      <c r="K1" s="37" t="s">
        <v>2822</v>
      </c>
      <c r="L1" s="35"/>
      <c r="M1" s="35"/>
      <c r="N1" s="38"/>
      <c r="O1" s="49"/>
      <c r="P1" s="53"/>
      <c r="Q1" s="56"/>
      <c r="R1" s="57"/>
      <c r="S1" s="58"/>
    </row>
    <row r="2" ht="36" customHeight="1" spans="1:19">
      <c r="A2" s="51"/>
      <c r="B2" s="52" t="s">
        <v>2</v>
      </c>
      <c r="C2" s="52" t="s">
        <v>1785</v>
      </c>
      <c r="D2" s="52" t="s">
        <v>2823</v>
      </c>
      <c r="E2" s="51" t="s">
        <v>8</v>
      </c>
      <c r="F2" s="52" t="s">
        <v>24</v>
      </c>
      <c r="G2" s="52" t="s">
        <v>9</v>
      </c>
      <c r="H2" s="52" t="s">
        <v>2824</v>
      </c>
      <c r="I2" s="52" t="s">
        <v>2825</v>
      </c>
      <c r="J2" s="54" t="s">
        <v>2826</v>
      </c>
      <c r="K2" s="52" t="s">
        <v>2827</v>
      </c>
      <c r="L2" s="52" t="s">
        <v>2828</v>
      </c>
      <c r="M2" s="52" t="s">
        <v>2829</v>
      </c>
      <c r="N2" s="52" t="s">
        <v>2830</v>
      </c>
      <c r="O2" s="51" t="s">
        <v>2831</v>
      </c>
      <c r="P2" s="55" t="s">
        <v>2832</v>
      </c>
      <c r="Q2" s="59" t="s">
        <v>2833</v>
      </c>
      <c r="R2" s="60" t="s">
        <v>1796</v>
      </c>
      <c r="S2" s="61" t="s">
        <v>2834</v>
      </c>
    </row>
    <row r="3" ht="26.4" spans="1:19">
      <c r="A3" s="29">
        <v>10000172</v>
      </c>
      <c r="B3" s="30">
        <v>2</v>
      </c>
      <c r="C3" s="46" t="s">
        <v>2835</v>
      </c>
      <c r="D3" s="30" t="s">
        <v>2836</v>
      </c>
      <c r="E3" s="29" t="s">
        <v>2837</v>
      </c>
      <c r="F3" s="30" t="s">
        <v>241</v>
      </c>
      <c r="G3" s="30" t="s">
        <v>1802</v>
      </c>
      <c r="H3" s="30" t="s">
        <v>2838</v>
      </c>
      <c r="I3" s="30" t="s">
        <v>2839</v>
      </c>
      <c r="J3" s="47" t="s">
        <v>2840</v>
      </c>
      <c r="K3" s="30">
        <v>150</v>
      </c>
      <c r="L3" s="30">
        <v>100</v>
      </c>
      <c r="M3" s="30">
        <v>100</v>
      </c>
      <c r="N3" s="30">
        <v>60</v>
      </c>
      <c r="O3" s="29">
        <v>40</v>
      </c>
      <c r="P3" s="31">
        <v>60</v>
      </c>
      <c r="Q3" s="32" t="s">
        <v>2841</v>
      </c>
      <c r="R3" s="34" t="s">
        <v>2842</v>
      </c>
      <c r="S3" s="48" t="s">
        <v>2843</v>
      </c>
    </row>
    <row r="4" spans="1:19">
      <c r="A4" s="29">
        <v>10000272</v>
      </c>
      <c r="B4" s="30">
        <v>3</v>
      </c>
      <c r="C4" s="46" t="s">
        <v>2844</v>
      </c>
      <c r="D4" s="30" t="s">
        <v>91</v>
      </c>
      <c r="E4" s="29" t="s">
        <v>91</v>
      </c>
      <c r="F4" s="30" t="s">
        <v>1802</v>
      </c>
      <c r="G4" s="30" t="s">
        <v>1802</v>
      </c>
      <c r="H4" s="30" t="s">
        <v>1802</v>
      </c>
      <c r="I4" s="30" t="s">
        <v>12</v>
      </c>
      <c r="J4" s="47">
        <v>10</v>
      </c>
      <c r="K4" s="30">
        <v>200</v>
      </c>
      <c r="L4" s="30">
        <v>200</v>
      </c>
      <c r="M4" s="30">
        <v>100</v>
      </c>
      <c r="N4" s="30">
        <v>30</v>
      </c>
      <c r="O4" s="29">
        <v>40</v>
      </c>
      <c r="P4" s="31">
        <v>50</v>
      </c>
      <c r="Q4" s="32" t="s">
        <v>2845</v>
      </c>
      <c r="R4" s="34" t="s">
        <v>2846</v>
      </c>
      <c r="S4" s="48" t="s">
        <v>2843</v>
      </c>
    </row>
    <row r="5" ht="26.4" spans="1:19">
      <c r="A5" s="29">
        <v>10000372</v>
      </c>
      <c r="B5" s="30">
        <v>2</v>
      </c>
      <c r="C5" s="46" t="s">
        <v>2847</v>
      </c>
      <c r="D5" s="30" t="s">
        <v>326</v>
      </c>
      <c r="E5" s="29" t="s">
        <v>326</v>
      </c>
      <c r="F5" s="30" t="s">
        <v>1802</v>
      </c>
      <c r="G5" s="30" t="s">
        <v>1802</v>
      </c>
      <c r="H5" s="30" t="s">
        <v>1802</v>
      </c>
      <c r="I5" s="30" t="s">
        <v>12</v>
      </c>
      <c r="J5" s="47">
        <v>7</v>
      </c>
      <c r="K5" s="30">
        <v>150</v>
      </c>
      <c r="L5" s="30">
        <v>150</v>
      </c>
      <c r="M5" s="30">
        <v>60</v>
      </c>
      <c r="N5" s="30">
        <v>20</v>
      </c>
      <c r="O5" s="29">
        <v>40</v>
      </c>
      <c r="P5" s="31">
        <v>60</v>
      </c>
      <c r="Q5" s="32" t="s">
        <v>2848</v>
      </c>
      <c r="R5" s="34" t="s">
        <v>2849</v>
      </c>
      <c r="S5" s="48" t="s">
        <v>2843</v>
      </c>
    </row>
    <row r="6" spans="1:19">
      <c r="A6" s="29">
        <v>10000472</v>
      </c>
      <c r="B6" s="30">
        <v>1</v>
      </c>
      <c r="C6" s="46" t="s">
        <v>2850</v>
      </c>
      <c r="D6" s="30" t="s">
        <v>2836</v>
      </c>
      <c r="E6" s="29" t="s">
        <v>2837</v>
      </c>
      <c r="F6" s="30" t="s">
        <v>127</v>
      </c>
      <c r="G6" s="30" t="s">
        <v>1802</v>
      </c>
      <c r="H6" s="30" t="s">
        <v>1802</v>
      </c>
      <c r="I6" s="30" t="s">
        <v>19</v>
      </c>
      <c r="J6" s="47">
        <v>5</v>
      </c>
      <c r="K6" s="30">
        <v>75</v>
      </c>
      <c r="L6" s="30">
        <v>75</v>
      </c>
      <c r="M6" s="30">
        <v>50</v>
      </c>
      <c r="N6" s="30">
        <v>20</v>
      </c>
      <c r="O6" s="29">
        <v>40</v>
      </c>
      <c r="P6" s="31">
        <v>75</v>
      </c>
      <c r="Q6" s="32" t="s">
        <v>2851</v>
      </c>
      <c r="R6" s="34" t="s">
        <v>2852</v>
      </c>
      <c r="S6" s="48" t="s">
        <v>2853</v>
      </c>
    </row>
    <row r="7" ht="26.4" spans="1:19">
      <c r="A7" s="29">
        <v>10000572</v>
      </c>
      <c r="B7" s="30">
        <v>2</v>
      </c>
      <c r="C7" s="46" t="s">
        <v>2854</v>
      </c>
      <c r="D7" s="30" t="s">
        <v>86</v>
      </c>
      <c r="E7" s="29" t="s">
        <v>86</v>
      </c>
      <c r="F7" s="30" t="s">
        <v>1802</v>
      </c>
      <c r="G7" s="30" t="s">
        <v>1802</v>
      </c>
      <c r="H7" s="30" t="s">
        <v>2855</v>
      </c>
      <c r="I7" s="30" t="s">
        <v>2856</v>
      </c>
      <c r="J7" s="47" t="s">
        <v>2857</v>
      </c>
      <c r="K7" s="30">
        <v>100</v>
      </c>
      <c r="L7" s="30">
        <v>200</v>
      </c>
      <c r="M7" s="30">
        <v>50</v>
      </c>
      <c r="N7" s="30">
        <v>30</v>
      </c>
      <c r="O7" s="29">
        <v>40</v>
      </c>
      <c r="P7" s="31">
        <v>60</v>
      </c>
      <c r="Q7" s="32" t="s">
        <v>2858</v>
      </c>
      <c r="R7" s="34" t="s">
        <v>2859</v>
      </c>
      <c r="S7" s="48" t="s">
        <v>2843</v>
      </c>
    </row>
    <row r="8" ht="26.4" spans="1:19">
      <c r="A8" s="29">
        <v>10000672</v>
      </c>
      <c r="B8" s="30">
        <v>1</v>
      </c>
      <c r="C8" s="46" t="s">
        <v>2860</v>
      </c>
      <c r="D8" s="30" t="s">
        <v>50</v>
      </c>
      <c r="E8" s="29" t="s">
        <v>50</v>
      </c>
      <c r="F8" s="30" t="s">
        <v>54</v>
      </c>
      <c r="G8" s="30" t="s">
        <v>1802</v>
      </c>
      <c r="H8" s="30" t="s">
        <v>1802</v>
      </c>
      <c r="I8" s="30" t="s">
        <v>15</v>
      </c>
      <c r="J8" s="47">
        <v>5</v>
      </c>
      <c r="K8" s="30">
        <v>50</v>
      </c>
      <c r="L8" s="30">
        <v>150</v>
      </c>
      <c r="M8" s="30">
        <v>75</v>
      </c>
      <c r="N8" s="30">
        <v>50</v>
      </c>
      <c r="O8" s="29">
        <v>40</v>
      </c>
      <c r="P8" s="31">
        <v>75</v>
      </c>
      <c r="Q8" s="32" t="s">
        <v>2861</v>
      </c>
      <c r="R8" s="34" t="s">
        <v>2862</v>
      </c>
      <c r="S8" s="48" t="s">
        <v>2843</v>
      </c>
    </row>
    <row r="9" ht="26.4" spans="1:19">
      <c r="A9" s="29">
        <v>10000772</v>
      </c>
      <c r="B9" s="30">
        <v>2</v>
      </c>
      <c r="C9" s="46" t="s">
        <v>2863</v>
      </c>
      <c r="D9" s="30" t="s">
        <v>73</v>
      </c>
      <c r="E9" s="29" t="s">
        <v>73</v>
      </c>
      <c r="F9" s="30" t="s">
        <v>1802</v>
      </c>
      <c r="G9" s="30" t="s">
        <v>61</v>
      </c>
      <c r="H9" s="30" t="s">
        <v>1802</v>
      </c>
      <c r="I9" s="30" t="s">
        <v>13</v>
      </c>
      <c r="J9" s="47">
        <v>7</v>
      </c>
      <c r="K9" s="30">
        <v>75</v>
      </c>
      <c r="L9" s="30">
        <v>50</v>
      </c>
      <c r="M9" s="30">
        <v>150</v>
      </c>
      <c r="N9" s="30">
        <v>60</v>
      </c>
      <c r="O9" s="29">
        <v>40</v>
      </c>
      <c r="P9" s="31">
        <v>60</v>
      </c>
      <c r="Q9" s="32" t="s">
        <v>2864</v>
      </c>
      <c r="R9" s="34" t="s">
        <v>2865</v>
      </c>
      <c r="S9" s="48" t="s">
        <v>2843</v>
      </c>
    </row>
    <row r="10" spans="1:19">
      <c r="A10" s="29">
        <v>10000872</v>
      </c>
      <c r="B10" s="30">
        <v>3</v>
      </c>
      <c r="C10" s="46" t="s">
        <v>2866</v>
      </c>
      <c r="D10" s="30" t="s">
        <v>73</v>
      </c>
      <c r="E10" s="29" t="s">
        <v>73</v>
      </c>
      <c r="F10" s="30" t="s">
        <v>1802</v>
      </c>
      <c r="G10" s="30" t="s">
        <v>1802</v>
      </c>
      <c r="H10" s="30" t="s">
        <v>2867</v>
      </c>
      <c r="I10" s="30" t="s">
        <v>2856</v>
      </c>
      <c r="J10" s="47" t="s">
        <v>2857</v>
      </c>
      <c r="K10" s="30">
        <v>150</v>
      </c>
      <c r="L10" s="30">
        <v>100</v>
      </c>
      <c r="M10" s="30">
        <v>75</v>
      </c>
      <c r="N10" s="30">
        <v>50</v>
      </c>
      <c r="O10" s="29">
        <v>40</v>
      </c>
      <c r="P10" s="31">
        <v>50</v>
      </c>
      <c r="Q10" s="32" t="s">
        <v>2868</v>
      </c>
      <c r="R10" s="34" t="s">
        <v>2869</v>
      </c>
      <c r="S10" s="48" t="s">
        <v>2870</v>
      </c>
    </row>
    <row r="11" spans="1:19">
      <c r="A11" s="29">
        <v>10000972</v>
      </c>
      <c r="B11" s="30">
        <v>2</v>
      </c>
      <c r="C11" s="46" t="s">
        <v>2871</v>
      </c>
      <c r="D11" s="30" t="s">
        <v>60</v>
      </c>
      <c r="E11" s="29" t="s">
        <v>60</v>
      </c>
      <c r="F11" s="30" t="s">
        <v>1802</v>
      </c>
      <c r="G11" s="30" t="s">
        <v>246</v>
      </c>
      <c r="H11" s="30" t="s">
        <v>2872</v>
      </c>
      <c r="I11" s="30" t="s">
        <v>2856</v>
      </c>
      <c r="J11" s="47" t="s">
        <v>2857</v>
      </c>
      <c r="K11" s="30">
        <v>75</v>
      </c>
      <c r="L11" s="30">
        <v>100</v>
      </c>
      <c r="M11" s="30">
        <v>100</v>
      </c>
      <c r="N11" s="30">
        <v>50</v>
      </c>
      <c r="O11" s="29">
        <v>40</v>
      </c>
      <c r="P11" s="31">
        <v>50</v>
      </c>
      <c r="Q11" s="32" t="s">
        <v>2873</v>
      </c>
      <c r="R11" s="34" t="s">
        <v>2874</v>
      </c>
      <c r="S11" s="48" t="s">
        <v>2843</v>
      </c>
    </row>
    <row r="12" spans="1:19">
      <c r="A12" s="29">
        <v>10001072</v>
      </c>
      <c r="B12" s="30">
        <v>2</v>
      </c>
      <c r="C12" s="46" t="s">
        <v>2875</v>
      </c>
      <c r="D12" s="30" t="s">
        <v>330</v>
      </c>
      <c r="E12" s="29" t="s">
        <v>330</v>
      </c>
      <c r="F12" s="30" t="s">
        <v>1802</v>
      </c>
      <c r="G12" s="30" t="s">
        <v>1802</v>
      </c>
      <c r="H12" s="30" t="s">
        <v>1802</v>
      </c>
      <c r="I12" s="30" t="s">
        <v>18</v>
      </c>
      <c r="J12" s="47">
        <v>7</v>
      </c>
      <c r="K12" s="30">
        <v>100</v>
      </c>
      <c r="L12" s="30">
        <v>100</v>
      </c>
      <c r="M12" s="30">
        <v>75</v>
      </c>
      <c r="N12" s="30">
        <v>75</v>
      </c>
      <c r="O12" s="29">
        <v>40</v>
      </c>
      <c r="P12" s="31">
        <v>80</v>
      </c>
      <c r="Q12" s="32" t="s">
        <v>2876</v>
      </c>
      <c r="R12" s="34" t="s">
        <v>2877</v>
      </c>
      <c r="S12" s="48" t="s">
        <v>2843</v>
      </c>
    </row>
    <row r="13" spans="1:19">
      <c r="A13" s="29">
        <v>10001172</v>
      </c>
      <c r="B13" s="30">
        <v>2</v>
      </c>
      <c r="C13" s="46" t="s">
        <v>2878</v>
      </c>
      <c r="D13" s="30" t="s">
        <v>233</v>
      </c>
      <c r="E13" s="29" t="s">
        <v>2837</v>
      </c>
      <c r="F13" s="30" t="s">
        <v>1802</v>
      </c>
      <c r="G13" s="30" t="s">
        <v>184</v>
      </c>
      <c r="H13" s="30" t="s">
        <v>1802</v>
      </c>
      <c r="I13" s="30" t="s">
        <v>12</v>
      </c>
      <c r="J13" s="47">
        <v>7</v>
      </c>
      <c r="K13" s="30">
        <v>100</v>
      </c>
      <c r="L13" s="30">
        <v>100</v>
      </c>
      <c r="M13" s="30">
        <v>75</v>
      </c>
      <c r="N13" s="30">
        <v>30</v>
      </c>
      <c r="O13" s="29">
        <v>40</v>
      </c>
      <c r="P13" s="31">
        <v>75</v>
      </c>
      <c r="Q13" s="32" t="s">
        <v>2879</v>
      </c>
      <c r="R13" s="34" t="s">
        <v>2880</v>
      </c>
      <c r="S13" s="48" t="s">
        <v>2843</v>
      </c>
    </row>
    <row r="14" ht="26.4" spans="1:19">
      <c r="A14" s="29">
        <v>10001272</v>
      </c>
      <c r="B14" s="30">
        <v>3</v>
      </c>
      <c r="C14" s="46" t="s">
        <v>2881</v>
      </c>
      <c r="D14" s="30" t="s">
        <v>233</v>
      </c>
      <c r="E14" s="29" t="s">
        <v>2837</v>
      </c>
      <c r="F14" s="30" t="s">
        <v>1802</v>
      </c>
      <c r="G14" s="30" t="s">
        <v>61</v>
      </c>
      <c r="H14" s="30" t="s">
        <v>1802</v>
      </c>
      <c r="I14" s="30" t="s">
        <v>19</v>
      </c>
      <c r="J14" s="47">
        <v>5</v>
      </c>
      <c r="K14" s="30">
        <v>100</v>
      </c>
      <c r="L14" s="30">
        <v>100</v>
      </c>
      <c r="M14" s="30">
        <v>100</v>
      </c>
      <c r="N14" s="30">
        <v>30</v>
      </c>
      <c r="O14" s="29">
        <v>40</v>
      </c>
      <c r="P14" s="31">
        <v>75</v>
      </c>
      <c r="Q14" s="32" t="s">
        <v>2882</v>
      </c>
      <c r="R14" s="34" t="s">
        <v>2883</v>
      </c>
      <c r="S14" s="48" t="s">
        <v>2884</v>
      </c>
    </row>
    <row r="15" ht="26.4" spans="1:19">
      <c r="A15" s="29">
        <v>10001372</v>
      </c>
      <c r="B15" s="30">
        <v>3</v>
      </c>
      <c r="C15" s="46" t="s">
        <v>2885</v>
      </c>
      <c r="D15" s="30" t="s">
        <v>50</v>
      </c>
      <c r="E15" s="29" t="s">
        <v>50</v>
      </c>
      <c r="F15" s="30" t="s">
        <v>241</v>
      </c>
      <c r="G15" s="30" t="s">
        <v>1802</v>
      </c>
      <c r="H15" s="30" t="s">
        <v>1802</v>
      </c>
      <c r="I15" s="30" t="s">
        <v>12</v>
      </c>
      <c r="J15" s="47">
        <v>10</v>
      </c>
      <c r="K15" s="30">
        <v>125</v>
      </c>
      <c r="L15" s="30">
        <v>75</v>
      </c>
      <c r="M15" s="30">
        <v>75</v>
      </c>
      <c r="N15" s="30">
        <v>50</v>
      </c>
      <c r="O15" s="29">
        <v>40</v>
      </c>
      <c r="P15" s="31">
        <v>75</v>
      </c>
      <c r="Q15" s="32" t="s">
        <v>2886</v>
      </c>
      <c r="R15" s="34" t="s">
        <v>2887</v>
      </c>
      <c r="S15" s="48" t="s">
        <v>2843</v>
      </c>
    </row>
    <row r="16" ht="26.4" spans="1:19">
      <c r="A16" s="29">
        <v>10001472</v>
      </c>
      <c r="B16" s="30">
        <v>3</v>
      </c>
      <c r="C16" s="46" t="s">
        <v>2888</v>
      </c>
      <c r="D16" s="30" t="s">
        <v>50</v>
      </c>
      <c r="E16" s="29" t="s">
        <v>50</v>
      </c>
      <c r="F16" s="30" t="s">
        <v>1802</v>
      </c>
      <c r="G16" s="30" t="s">
        <v>51</v>
      </c>
      <c r="H16" s="30" t="s">
        <v>1802</v>
      </c>
      <c r="I16" s="30" t="s">
        <v>13</v>
      </c>
      <c r="J16" s="47">
        <v>10</v>
      </c>
      <c r="K16" s="30">
        <v>150</v>
      </c>
      <c r="L16" s="30">
        <v>50</v>
      </c>
      <c r="M16" s="30">
        <v>75</v>
      </c>
      <c r="N16" s="30">
        <v>60</v>
      </c>
      <c r="O16" s="29">
        <v>40</v>
      </c>
      <c r="P16" s="31">
        <v>60</v>
      </c>
      <c r="Q16" s="32" t="s">
        <v>2889</v>
      </c>
      <c r="R16" s="34" t="s">
        <v>2890</v>
      </c>
      <c r="S16" s="48" t="s">
        <v>2843</v>
      </c>
    </row>
    <row r="17" ht="26.4" spans="1:19">
      <c r="A17" s="29">
        <v>10001572</v>
      </c>
      <c r="B17" s="30">
        <v>2</v>
      </c>
      <c r="C17" s="46" t="s">
        <v>2891</v>
      </c>
      <c r="D17" s="30" t="s">
        <v>86</v>
      </c>
      <c r="E17" s="29" t="s">
        <v>86</v>
      </c>
      <c r="F17" s="30" t="s">
        <v>127</v>
      </c>
      <c r="G17" s="30" t="s">
        <v>1802</v>
      </c>
      <c r="H17" s="30" t="s">
        <v>1802</v>
      </c>
      <c r="I17" s="30" t="s">
        <v>12</v>
      </c>
      <c r="J17" s="47">
        <v>7</v>
      </c>
      <c r="K17" s="30">
        <v>75</v>
      </c>
      <c r="L17" s="30">
        <v>50</v>
      </c>
      <c r="M17" s="30">
        <v>75</v>
      </c>
      <c r="N17" s="30">
        <v>30</v>
      </c>
      <c r="O17" s="29">
        <v>40</v>
      </c>
      <c r="P17" s="31">
        <v>60</v>
      </c>
      <c r="Q17" s="32" t="s">
        <v>2892</v>
      </c>
      <c r="R17" s="34" t="s">
        <v>2893</v>
      </c>
      <c r="S17" s="48" t="s">
        <v>2843</v>
      </c>
    </row>
    <row r="18" spans="1:19">
      <c r="A18" s="29">
        <v>10001672</v>
      </c>
      <c r="B18" s="30">
        <v>2</v>
      </c>
      <c r="C18" s="46" t="s">
        <v>2894</v>
      </c>
      <c r="D18" s="30" t="s">
        <v>2836</v>
      </c>
      <c r="E18" s="29" t="s">
        <v>2837</v>
      </c>
      <c r="F18" s="30" t="s">
        <v>241</v>
      </c>
      <c r="G18" s="30" t="s">
        <v>1802</v>
      </c>
      <c r="H18" s="30" t="s">
        <v>1802</v>
      </c>
      <c r="I18" s="30" t="s">
        <v>12</v>
      </c>
      <c r="J18" s="47">
        <v>7</v>
      </c>
      <c r="K18" s="30">
        <v>100</v>
      </c>
      <c r="L18" s="30">
        <v>75</v>
      </c>
      <c r="M18" s="30">
        <v>50</v>
      </c>
      <c r="N18" s="30">
        <v>25</v>
      </c>
      <c r="O18" s="29">
        <v>40</v>
      </c>
      <c r="P18" s="31">
        <v>50</v>
      </c>
      <c r="Q18" s="32" t="s">
        <v>2895</v>
      </c>
      <c r="R18" s="34" t="s">
        <v>2896</v>
      </c>
      <c r="S18" s="48" t="s">
        <v>2843</v>
      </c>
    </row>
    <row r="19" ht="26.4" spans="1:19">
      <c r="A19" s="29">
        <v>10001772</v>
      </c>
      <c r="B19" s="30">
        <v>2</v>
      </c>
      <c r="C19" s="46" t="s">
        <v>2897</v>
      </c>
      <c r="D19" s="30" t="s">
        <v>73</v>
      </c>
      <c r="E19" s="29" t="s">
        <v>73</v>
      </c>
      <c r="F19" s="30" t="s">
        <v>127</v>
      </c>
      <c r="G19" s="30" t="s">
        <v>1802</v>
      </c>
      <c r="H19" s="30" t="s">
        <v>1802</v>
      </c>
      <c r="I19" s="30" t="s">
        <v>12</v>
      </c>
      <c r="J19" s="47">
        <v>7</v>
      </c>
      <c r="K19" s="30">
        <v>100</v>
      </c>
      <c r="L19" s="30">
        <v>100</v>
      </c>
      <c r="M19" s="30">
        <v>50</v>
      </c>
      <c r="N19" s="30">
        <v>30</v>
      </c>
      <c r="O19" s="29">
        <v>40</v>
      </c>
      <c r="P19" s="31">
        <v>60</v>
      </c>
      <c r="Q19" s="32" t="s">
        <v>2898</v>
      </c>
      <c r="R19" s="34" t="s">
        <v>2899</v>
      </c>
      <c r="S19" s="48" t="s">
        <v>2843</v>
      </c>
    </row>
    <row r="20" ht="26.4" spans="1:19">
      <c r="A20" s="29">
        <v>10001872</v>
      </c>
      <c r="B20" s="30">
        <v>3</v>
      </c>
      <c r="C20" s="46" t="s">
        <v>2900</v>
      </c>
      <c r="D20" s="30" t="s">
        <v>91</v>
      </c>
      <c r="E20" s="29" t="s">
        <v>91</v>
      </c>
      <c r="F20" s="30" t="s">
        <v>54</v>
      </c>
      <c r="G20" s="30" t="s">
        <v>1802</v>
      </c>
      <c r="H20" s="30" t="s">
        <v>1802</v>
      </c>
      <c r="I20" s="30" t="s">
        <v>13</v>
      </c>
      <c r="J20" s="47">
        <v>10</v>
      </c>
      <c r="K20" s="30">
        <v>100</v>
      </c>
      <c r="L20" s="30">
        <v>75</v>
      </c>
      <c r="M20" s="30">
        <v>100</v>
      </c>
      <c r="N20" s="30">
        <v>50</v>
      </c>
      <c r="O20" s="29">
        <v>40</v>
      </c>
      <c r="P20" s="31">
        <v>70</v>
      </c>
      <c r="Q20" s="32" t="s">
        <v>2901</v>
      </c>
      <c r="R20" s="34" t="s">
        <v>2902</v>
      </c>
      <c r="S20" s="48" t="s">
        <v>2843</v>
      </c>
    </row>
    <row r="21" ht="26.4" spans="1:19">
      <c r="A21" s="29">
        <v>10001972</v>
      </c>
      <c r="B21" s="30">
        <v>2</v>
      </c>
      <c r="C21" s="46" t="s">
        <v>2903</v>
      </c>
      <c r="D21" s="30" t="s">
        <v>60</v>
      </c>
      <c r="E21" s="29" t="s">
        <v>60</v>
      </c>
      <c r="F21" s="30" t="s">
        <v>1802</v>
      </c>
      <c r="G21" s="30" t="s">
        <v>1802</v>
      </c>
      <c r="H21" s="30" t="s">
        <v>1802</v>
      </c>
      <c r="I21" s="30" t="s">
        <v>15</v>
      </c>
      <c r="J21" s="47">
        <v>7</v>
      </c>
      <c r="K21" s="30">
        <v>100</v>
      </c>
      <c r="L21" s="30">
        <v>100</v>
      </c>
      <c r="M21" s="30">
        <v>100</v>
      </c>
      <c r="N21" s="30">
        <v>100</v>
      </c>
      <c r="O21" s="29">
        <v>40</v>
      </c>
      <c r="P21" s="31">
        <v>60</v>
      </c>
      <c r="Q21" s="32" t="s">
        <v>2904</v>
      </c>
      <c r="R21" s="34" t="s">
        <v>2905</v>
      </c>
      <c r="S21" s="48" t="s">
        <v>2906</v>
      </c>
    </row>
    <row r="22" ht="26.4" spans="1:19">
      <c r="A22" s="29">
        <v>10002072</v>
      </c>
      <c r="B22" s="30">
        <v>3</v>
      </c>
      <c r="C22" s="46" t="s">
        <v>2907</v>
      </c>
      <c r="D22" s="30" t="s">
        <v>60</v>
      </c>
      <c r="E22" s="29" t="s">
        <v>60</v>
      </c>
      <c r="F22" s="30" t="s">
        <v>127</v>
      </c>
      <c r="G22" s="30" t="s">
        <v>1802</v>
      </c>
      <c r="H22" s="30" t="s">
        <v>1802</v>
      </c>
      <c r="I22" s="30" t="s">
        <v>12</v>
      </c>
      <c r="J22" s="47">
        <v>10</v>
      </c>
      <c r="K22" s="30">
        <v>100</v>
      </c>
      <c r="L22" s="30">
        <v>150</v>
      </c>
      <c r="M22" s="30">
        <v>130</v>
      </c>
      <c r="N22" s="30">
        <v>80</v>
      </c>
      <c r="O22" s="29">
        <v>40</v>
      </c>
      <c r="P22" s="31">
        <v>80</v>
      </c>
      <c r="Q22" s="32" t="s">
        <v>2908</v>
      </c>
      <c r="R22" s="34" t="s">
        <v>2909</v>
      </c>
      <c r="S22" s="48" t="s">
        <v>2910</v>
      </c>
    </row>
    <row r="23" ht="26.4" spans="1:19">
      <c r="A23" s="29">
        <v>10002172</v>
      </c>
      <c r="B23" s="30">
        <v>2</v>
      </c>
      <c r="C23" s="46" t="s">
        <v>2911</v>
      </c>
      <c r="D23" s="30" t="s">
        <v>330</v>
      </c>
      <c r="E23" s="29" t="s">
        <v>330</v>
      </c>
      <c r="F23" s="30" t="s">
        <v>1802</v>
      </c>
      <c r="G23" s="30" t="s">
        <v>1802</v>
      </c>
      <c r="H23" s="30" t="s">
        <v>1802</v>
      </c>
      <c r="I23" s="30" t="s">
        <v>13</v>
      </c>
      <c r="J23" s="47">
        <v>10</v>
      </c>
      <c r="K23" s="30">
        <v>100</v>
      </c>
      <c r="L23" s="30">
        <v>150</v>
      </c>
      <c r="M23" s="30">
        <v>100</v>
      </c>
      <c r="N23" s="30">
        <v>150</v>
      </c>
      <c r="O23" s="29">
        <v>40</v>
      </c>
      <c r="P23" s="31">
        <v>70</v>
      </c>
      <c r="Q23" s="32" t="s">
        <v>2912</v>
      </c>
      <c r="R23" s="34" t="s">
        <v>2913</v>
      </c>
      <c r="S23" s="48" t="s">
        <v>2914</v>
      </c>
    </row>
    <row r="24" ht="26.4" spans="1:19">
      <c r="A24" s="29">
        <v>10002272</v>
      </c>
      <c r="B24" s="30">
        <v>1</v>
      </c>
      <c r="C24" s="46" t="s">
        <v>2915</v>
      </c>
      <c r="D24" s="30" t="s">
        <v>326</v>
      </c>
      <c r="E24" s="29" t="s">
        <v>326</v>
      </c>
      <c r="F24" s="30" t="s">
        <v>1802</v>
      </c>
      <c r="G24" s="30" t="s">
        <v>1802</v>
      </c>
      <c r="H24" s="30" t="s">
        <v>1802</v>
      </c>
      <c r="I24" s="30" t="s">
        <v>19</v>
      </c>
      <c r="J24" s="47">
        <v>7</v>
      </c>
      <c r="K24" s="30">
        <v>100</v>
      </c>
      <c r="L24" s="30">
        <v>50</v>
      </c>
      <c r="M24" s="30">
        <v>100</v>
      </c>
      <c r="N24" s="30">
        <v>50</v>
      </c>
      <c r="O24" s="29">
        <v>40</v>
      </c>
      <c r="P24" s="31">
        <v>60</v>
      </c>
      <c r="Q24" s="32" t="s">
        <v>2916</v>
      </c>
      <c r="R24" s="34" t="s">
        <v>2917</v>
      </c>
      <c r="S24" s="48" t="s">
        <v>2906</v>
      </c>
    </row>
    <row r="25" ht="26.4" spans="1:19">
      <c r="A25" s="29">
        <v>10002372</v>
      </c>
      <c r="B25" s="30">
        <v>1</v>
      </c>
      <c r="C25" s="46" t="s">
        <v>2918</v>
      </c>
      <c r="D25" s="30" t="s">
        <v>2836</v>
      </c>
      <c r="E25" s="29" t="s">
        <v>2837</v>
      </c>
      <c r="F25" s="30" t="s">
        <v>1802</v>
      </c>
      <c r="G25" s="30" t="s">
        <v>246</v>
      </c>
      <c r="H25" s="30" t="s">
        <v>1802</v>
      </c>
      <c r="I25" s="30" t="s">
        <v>21</v>
      </c>
      <c r="J25" s="47">
        <v>3</v>
      </c>
      <c r="K25" s="30">
        <v>50</v>
      </c>
      <c r="L25" s="30">
        <v>50</v>
      </c>
      <c r="M25" s="30">
        <v>50</v>
      </c>
      <c r="N25" s="30">
        <v>50</v>
      </c>
      <c r="O25" s="29">
        <v>40</v>
      </c>
      <c r="P25" s="31">
        <v>15</v>
      </c>
      <c r="Q25" s="32" t="s">
        <v>2919</v>
      </c>
      <c r="R25" s="34" t="s">
        <v>2920</v>
      </c>
      <c r="S25" s="48" t="s">
        <v>2921</v>
      </c>
    </row>
    <row r="26" ht="26.4" spans="1:19">
      <c r="A26" s="29">
        <v>10002472</v>
      </c>
      <c r="B26" s="30">
        <v>3</v>
      </c>
      <c r="C26" s="46" t="s">
        <v>2922</v>
      </c>
      <c r="D26" s="30" t="s">
        <v>233</v>
      </c>
      <c r="E26" s="29" t="s">
        <v>2837</v>
      </c>
      <c r="F26" s="30" t="s">
        <v>1802</v>
      </c>
      <c r="G26" s="30" t="s">
        <v>114</v>
      </c>
      <c r="H26" s="30" t="s">
        <v>1802</v>
      </c>
      <c r="I26" s="30" t="s">
        <v>19</v>
      </c>
      <c r="J26" s="47">
        <v>5</v>
      </c>
      <c r="K26" s="30">
        <v>100</v>
      </c>
      <c r="L26" s="30">
        <v>100</v>
      </c>
      <c r="M26" s="30">
        <v>100</v>
      </c>
      <c r="N26" s="30">
        <v>30</v>
      </c>
      <c r="O26" s="29">
        <v>40</v>
      </c>
      <c r="P26" s="31">
        <v>75</v>
      </c>
      <c r="Q26" s="32" t="s">
        <v>2923</v>
      </c>
      <c r="R26" s="34" t="s">
        <v>2924</v>
      </c>
      <c r="S26" s="48" t="s">
        <v>2925</v>
      </c>
    </row>
    <row r="27" ht="26.4" spans="1:19">
      <c r="A27" s="29">
        <v>10002572</v>
      </c>
      <c r="B27" s="30">
        <v>3</v>
      </c>
      <c r="C27" s="46" t="s">
        <v>2926</v>
      </c>
      <c r="D27" s="30" t="s">
        <v>233</v>
      </c>
      <c r="E27" s="29" t="s">
        <v>233</v>
      </c>
      <c r="F27" s="30" t="s">
        <v>1802</v>
      </c>
      <c r="G27" s="30" t="s">
        <v>1802</v>
      </c>
      <c r="H27" s="30" t="s">
        <v>2855</v>
      </c>
      <c r="I27" s="30" t="s">
        <v>2856</v>
      </c>
      <c r="J27" s="47" t="s">
        <v>2840</v>
      </c>
      <c r="K27" s="30">
        <v>100</v>
      </c>
      <c r="L27" s="30">
        <v>100</v>
      </c>
      <c r="M27" s="30">
        <v>100</v>
      </c>
      <c r="N27" s="30">
        <v>30</v>
      </c>
      <c r="O27" s="29">
        <v>40</v>
      </c>
      <c r="P27" s="31">
        <v>60</v>
      </c>
      <c r="Q27" s="32" t="s">
        <v>2927</v>
      </c>
      <c r="R27" s="34" t="s">
        <v>2928</v>
      </c>
      <c r="S27" s="48" t="s">
        <v>2929</v>
      </c>
    </row>
    <row r="28" spans="1:19">
      <c r="A28" s="29">
        <v>10002672</v>
      </c>
      <c r="B28" s="30">
        <v>3</v>
      </c>
      <c r="C28" s="46" t="s">
        <v>2930</v>
      </c>
      <c r="D28" s="30" t="s">
        <v>233</v>
      </c>
      <c r="E28" s="29" t="s">
        <v>233</v>
      </c>
      <c r="F28" s="30" t="s">
        <v>1802</v>
      </c>
      <c r="G28" s="30" t="s">
        <v>1802</v>
      </c>
      <c r="H28" s="30" t="s">
        <v>2867</v>
      </c>
      <c r="I28" s="30" t="s">
        <v>2856</v>
      </c>
      <c r="J28" s="47" t="s">
        <v>2840</v>
      </c>
      <c r="K28" s="30">
        <v>100</v>
      </c>
      <c r="L28" s="30">
        <v>100</v>
      </c>
      <c r="M28" s="30">
        <v>100</v>
      </c>
      <c r="N28" s="30">
        <v>30</v>
      </c>
      <c r="O28" s="29">
        <v>40</v>
      </c>
      <c r="P28" s="31">
        <v>60</v>
      </c>
      <c r="Q28" s="32" t="s">
        <v>2931</v>
      </c>
      <c r="R28" s="34" t="s">
        <v>2932</v>
      </c>
      <c r="S28" s="48" t="s">
        <v>2933</v>
      </c>
    </row>
    <row r="29" ht="26.4" spans="1:19">
      <c r="A29" s="29">
        <v>10002772</v>
      </c>
      <c r="B29" s="30">
        <v>3</v>
      </c>
      <c r="C29" s="46" t="s">
        <v>2934</v>
      </c>
      <c r="D29" s="30" t="s">
        <v>86</v>
      </c>
      <c r="E29" s="29" t="s">
        <v>86</v>
      </c>
      <c r="F29" s="30" t="s">
        <v>1802</v>
      </c>
      <c r="G29" s="30" t="s">
        <v>61</v>
      </c>
      <c r="H29" s="30" t="s">
        <v>1802</v>
      </c>
      <c r="I29" s="30" t="s">
        <v>12</v>
      </c>
      <c r="J29" s="47">
        <v>5</v>
      </c>
      <c r="K29" s="30">
        <v>100</v>
      </c>
      <c r="L29" s="30">
        <v>150</v>
      </c>
      <c r="M29" s="30">
        <v>100</v>
      </c>
      <c r="N29" s="30">
        <v>50</v>
      </c>
      <c r="O29" s="29">
        <v>40</v>
      </c>
      <c r="P29" s="31">
        <v>60</v>
      </c>
      <c r="Q29" s="32" t="s">
        <v>2935</v>
      </c>
      <c r="R29" s="34" t="s">
        <v>2936</v>
      </c>
      <c r="S29" s="48" t="s">
        <v>2937</v>
      </c>
    </row>
    <row r="30" ht="26.4" spans="1:19">
      <c r="A30" s="29">
        <v>10002872</v>
      </c>
      <c r="B30" s="30">
        <v>3</v>
      </c>
      <c r="C30" s="46" t="s">
        <v>2938</v>
      </c>
      <c r="D30" s="30" t="s">
        <v>50</v>
      </c>
      <c r="E30" s="29" t="s">
        <v>50</v>
      </c>
      <c r="F30" s="30" t="s">
        <v>1802</v>
      </c>
      <c r="G30" s="30" t="s">
        <v>1802</v>
      </c>
      <c r="H30" s="30" t="s">
        <v>1802</v>
      </c>
      <c r="I30" s="30" t="s">
        <v>12</v>
      </c>
      <c r="J30" s="47">
        <v>5</v>
      </c>
      <c r="K30" s="30">
        <v>100</v>
      </c>
      <c r="L30" s="30">
        <v>150</v>
      </c>
      <c r="M30" s="30">
        <v>100</v>
      </c>
      <c r="N30" s="30">
        <v>50</v>
      </c>
      <c r="O30" s="29">
        <v>40</v>
      </c>
      <c r="P30" s="31">
        <v>60</v>
      </c>
      <c r="Q30" s="32" t="s">
        <v>2939</v>
      </c>
      <c r="R30" s="34" t="s">
        <v>2940</v>
      </c>
      <c r="S30" s="48" t="s">
        <v>2941</v>
      </c>
    </row>
    <row r="31" ht="26.4" spans="1:19">
      <c r="A31" s="29">
        <v>10002972</v>
      </c>
      <c r="B31" s="30">
        <v>3</v>
      </c>
      <c r="C31" s="46" t="s">
        <v>2942</v>
      </c>
      <c r="D31" s="30" t="s">
        <v>73</v>
      </c>
      <c r="E31" s="29" t="s">
        <v>73</v>
      </c>
      <c r="F31" s="30" t="s">
        <v>1802</v>
      </c>
      <c r="G31" s="30" t="s">
        <v>1802</v>
      </c>
      <c r="H31" s="30" t="s">
        <v>1802</v>
      </c>
      <c r="I31" s="30" t="s">
        <v>12</v>
      </c>
      <c r="J31" s="47">
        <v>5</v>
      </c>
      <c r="K31" s="30">
        <v>100</v>
      </c>
      <c r="L31" s="30">
        <v>150</v>
      </c>
      <c r="M31" s="30">
        <v>100</v>
      </c>
      <c r="N31" s="30">
        <v>50</v>
      </c>
      <c r="O31" s="29">
        <v>40</v>
      </c>
      <c r="P31" s="31">
        <v>60</v>
      </c>
      <c r="Q31" s="32" t="s">
        <v>2943</v>
      </c>
      <c r="R31" s="34" t="s">
        <v>2944</v>
      </c>
      <c r="S31" s="48" t="s">
        <v>2945</v>
      </c>
    </row>
    <row r="32" ht="26.4" spans="1:19">
      <c r="A32" s="29">
        <v>10003072</v>
      </c>
      <c r="B32" s="30">
        <v>3</v>
      </c>
      <c r="C32" s="46" t="s">
        <v>2946</v>
      </c>
      <c r="D32" s="30" t="s">
        <v>60</v>
      </c>
      <c r="E32" s="29" t="s">
        <v>60</v>
      </c>
      <c r="F32" s="30" t="s">
        <v>241</v>
      </c>
      <c r="G32" s="30" t="s">
        <v>1802</v>
      </c>
      <c r="H32" s="30" t="s">
        <v>1802</v>
      </c>
      <c r="I32" s="30" t="s">
        <v>14</v>
      </c>
      <c r="J32" s="47">
        <v>5</v>
      </c>
      <c r="K32" s="30">
        <v>100</v>
      </c>
      <c r="L32" s="30">
        <v>150</v>
      </c>
      <c r="M32" s="30">
        <v>100</v>
      </c>
      <c r="N32" s="30">
        <v>50</v>
      </c>
      <c r="O32" s="29">
        <v>40</v>
      </c>
      <c r="P32" s="31">
        <v>60</v>
      </c>
      <c r="Q32" s="32" t="s">
        <v>2947</v>
      </c>
      <c r="R32" s="34" t="s">
        <v>2948</v>
      </c>
      <c r="S32" s="48" t="s">
        <v>2949</v>
      </c>
    </row>
    <row r="33" ht="26.4" spans="1:19">
      <c r="A33" s="29">
        <v>10003172</v>
      </c>
      <c r="B33" s="30">
        <v>3</v>
      </c>
      <c r="C33" s="46" t="s">
        <v>2950</v>
      </c>
      <c r="D33" s="30" t="s">
        <v>233</v>
      </c>
      <c r="E33" s="29" t="s">
        <v>233</v>
      </c>
      <c r="F33" s="30" t="s">
        <v>1802</v>
      </c>
      <c r="G33" s="30" t="s">
        <v>1802</v>
      </c>
      <c r="H33" s="30" t="s">
        <v>1802</v>
      </c>
      <c r="I33" s="30" t="s">
        <v>18</v>
      </c>
      <c r="J33" s="47">
        <v>8</v>
      </c>
      <c r="K33" s="30">
        <v>100</v>
      </c>
      <c r="L33" s="30">
        <v>100</v>
      </c>
      <c r="M33" s="30">
        <v>100</v>
      </c>
      <c r="N33" s="30">
        <v>30</v>
      </c>
      <c r="O33" s="29">
        <v>40</v>
      </c>
      <c r="P33" s="31">
        <v>60</v>
      </c>
      <c r="Q33" s="32" t="s">
        <v>2951</v>
      </c>
      <c r="R33" s="34" t="s">
        <v>2952</v>
      </c>
      <c r="S33" s="48" t="s">
        <v>2953</v>
      </c>
    </row>
    <row r="34" ht="26.4" spans="1:19">
      <c r="A34" s="29">
        <v>10003272</v>
      </c>
      <c r="B34" s="30">
        <v>3</v>
      </c>
      <c r="C34" s="46" t="s">
        <v>2954</v>
      </c>
      <c r="D34" s="30" t="s">
        <v>91</v>
      </c>
      <c r="E34" s="29" t="s">
        <v>91</v>
      </c>
      <c r="F34" s="30" t="s">
        <v>54</v>
      </c>
      <c r="G34" s="30" t="s">
        <v>1802</v>
      </c>
      <c r="H34" s="30" t="s">
        <v>1802</v>
      </c>
      <c r="I34" s="30" t="s">
        <v>21</v>
      </c>
      <c r="J34" s="47">
        <v>2</v>
      </c>
      <c r="K34" s="30">
        <v>100</v>
      </c>
      <c r="L34" s="30">
        <v>75</v>
      </c>
      <c r="M34" s="30">
        <v>100</v>
      </c>
      <c r="N34" s="30">
        <v>50</v>
      </c>
      <c r="O34" s="29">
        <v>40</v>
      </c>
      <c r="P34" s="31">
        <v>60</v>
      </c>
      <c r="Q34" s="32" t="s">
        <v>2955</v>
      </c>
      <c r="R34" s="34" t="s">
        <v>2956</v>
      </c>
      <c r="S34" s="48" t="s">
        <v>2953</v>
      </c>
    </row>
    <row r="35" ht="26.4" spans="1:19">
      <c r="A35" s="29">
        <v>10003372</v>
      </c>
      <c r="B35" s="30">
        <v>2</v>
      </c>
      <c r="C35" s="46" t="s">
        <v>2957</v>
      </c>
      <c r="D35" s="30" t="s">
        <v>326</v>
      </c>
      <c r="E35" s="29" t="s">
        <v>326</v>
      </c>
      <c r="F35" s="30" t="s">
        <v>1802</v>
      </c>
      <c r="G35" s="30" t="s">
        <v>1802</v>
      </c>
      <c r="H35" s="30" t="s">
        <v>2838</v>
      </c>
      <c r="I35" s="30" t="s">
        <v>2839</v>
      </c>
      <c r="J35" s="47" t="s">
        <v>2840</v>
      </c>
      <c r="K35" s="30">
        <v>100</v>
      </c>
      <c r="L35" s="30">
        <v>50</v>
      </c>
      <c r="M35" s="30">
        <v>100</v>
      </c>
      <c r="N35" s="30">
        <v>50</v>
      </c>
      <c r="O35" s="29">
        <v>40</v>
      </c>
      <c r="P35" s="31">
        <v>60</v>
      </c>
      <c r="Q35" s="32" t="s">
        <v>2958</v>
      </c>
      <c r="R35" s="34" t="s">
        <v>2959</v>
      </c>
      <c r="S35" s="48" t="s">
        <v>2953</v>
      </c>
    </row>
    <row r="36" ht="26.4" spans="1:19">
      <c r="A36" s="29">
        <v>10003472</v>
      </c>
      <c r="B36" s="30">
        <v>3</v>
      </c>
      <c r="C36" s="46" t="s">
        <v>2960</v>
      </c>
      <c r="D36" s="30" t="s">
        <v>86</v>
      </c>
      <c r="E36" s="29" t="s">
        <v>86</v>
      </c>
      <c r="F36" s="30" t="s">
        <v>1802</v>
      </c>
      <c r="G36" s="30" t="s">
        <v>114</v>
      </c>
      <c r="H36" s="30" t="s">
        <v>1802</v>
      </c>
      <c r="I36" s="30" t="s">
        <v>13</v>
      </c>
      <c r="J36" s="47">
        <v>7</v>
      </c>
      <c r="K36" s="30">
        <v>150</v>
      </c>
      <c r="L36" s="30">
        <v>50</v>
      </c>
      <c r="M36" s="30">
        <v>100</v>
      </c>
      <c r="N36" s="30">
        <v>60</v>
      </c>
      <c r="O36" s="29">
        <v>40</v>
      </c>
      <c r="P36" s="31">
        <v>60</v>
      </c>
      <c r="Q36" s="32" t="s">
        <v>2961</v>
      </c>
      <c r="R36" s="34" t="s">
        <v>2962</v>
      </c>
      <c r="S36" s="48" t="s">
        <v>2963</v>
      </c>
    </row>
    <row r="37" ht="26.4" spans="1:19">
      <c r="A37" s="29">
        <v>10003772</v>
      </c>
      <c r="B37" s="30">
        <v>3</v>
      </c>
      <c r="C37" s="46" t="s">
        <v>2964</v>
      </c>
      <c r="D37" s="30" t="s">
        <v>73</v>
      </c>
      <c r="E37" s="29" t="s">
        <v>73</v>
      </c>
      <c r="F37" s="30" t="s">
        <v>1802</v>
      </c>
      <c r="G37" s="30" t="s">
        <v>1802</v>
      </c>
      <c r="H37" s="30" t="s">
        <v>1802</v>
      </c>
      <c r="I37" s="30" t="s">
        <v>18</v>
      </c>
      <c r="J37" s="47">
        <v>5</v>
      </c>
      <c r="K37" s="30">
        <v>150</v>
      </c>
      <c r="L37" s="30">
        <v>125</v>
      </c>
      <c r="M37" s="30">
        <v>125</v>
      </c>
      <c r="N37" s="30">
        <v>50</v>
      </c>
      <c r="O37" s="29">
        <v>40</v>
      </c>
      <c r="P37" s="31">
        <v>50</v>
      </c>
      <c r="Q37" s="32" t="s">
        <v>2965</v>
      </c>
      <c r="R37" s="34" t="s">
        <v>2966</v>
      </c>
      <c r="S37" s="48" t="s">
        <v>2967</v>
      </c>
    </row>
    <row r="38" ht="39.6" spans="1:19">
      <c r="A38" s="29">
        <v>10003872</v>
      </c>
      <c r="B38" s="30">
        <v>3</v>
      </c>
      <c r="C38" s="46" t="s">
        <v>2968</v>
      </c>
      <c r="D38" s="30" t="s">
        <v>50</v>
      </c>
      <c r="E38" s="29" t="s">
        <v>50</v>
      </c>
      <c r="F38" s="30" t="s">
        <v>54</v>
      </c>
      <c r="G38" s="30" t="s">
        <v>1802</v>
      </c>
      <c r="H38" s="30" t="s">
        <v>1802</v>
      </c>
      <c r="I38" s="30" t="s">
        <v>13</v>
      </c>
      <c r="J38" s="47">
        <v>7</v>
      </c>
      <c r="K38" s="30">
        <v>100</v>
      </c>
      <c r="L38" s="30">
        <v>100</v>
      </c>
      <c r="M38" s="30">
        <v>150</v>
      </c>
      <c r="N38" s="30">
        <v>60</v>
      </c>
      <c r="O38" s="29">
        <v>40</v>
      </c>
      <c r="P38" s="31">
        <v>60</v>
      </c>
      <c r="Q38" s="32" t="s">
        <v>2969</v>
      </c>
      <c r="R38" s="34" t="s">
        <v>2970</v>
      </c>
      <c r="S38" s="48" t="s">
        <v>2971</v>
      </c>
    </row>
    <row r="39" ht="26.4" spans="1:19">
      <c r="A39" s="29">
        <v>10003972</v>
      </c>
      <c r="B39" s="30">
        <v>3</v>
      </c>
      <c r="C39" s="46" t="s">
        <v>2972</v>
      </c>
      <c r="D39" s="30" t="s">
        <v>60</v>
      </c>
      <c r="E39" s="29" t="s">
        <v>60</v>
      </c>
      <c r="F39" s="30" t="s">
        <v>54</v>
      </c>
      <c r="G39" s="30" t="s">
        <v>1802</v>
      </c>
      <c r="H39" s="30" t="s">
        <v>1802</v>
      </c>
      <c r="I39" s="30" t="s">
        <v>12</v>
      </c>
      <c r="J39" s="47">
        <v>5</v>
      </c>
      <c r="K39" s="30">
        <v>100</v>
      </c>
      <c r="L39" s="30">
        <v>150</v>
      </c>
      <c r="M39" s="30">
        <v>130</v>
      </c>
      <c r="N39" s="30">
        <v>80</v>
      </c>
      <c r="O39" s="29">
        <v>40</v>
      </c>
      <c r="P39" s="31">
        <v>60</v>
      </c>
      <c r="Q39" s="32" t="s">
        <v>2973</v>
      </c>
      <c r="R39" s="34" t="s">
        <v>2974</v>
      </c>
      <c r="S39" s="48" t="s">
        <v>2975</v>
      </c>
    </row>
    <row r="40" ht="26.4" spans="1:19">
      <c r="A40" s="29">
        <v>10004072</v>
      </c>
      <c r="B40" s="30">
        <v>2</v>
      </c>
      <c r="C40" s="46" t="s">
        <v>2976</v>
      </c>
      <c r="D40" s="30" t="s">
        <v>86</v>
      </c>
      <c r="E40" s="29" t="s">
        <v>86</v>
      </c>
      <c r="F40" s="30" t="s">
        <v>1802</v>
      </c>
      <c r="G40" s="30" t="s">
        <v>184</v>
      </c>
      <c r="H40" s="30" t="s">
        <v>1802</v>
      </c>
      <c r="I40" s="30" t="s">
        <v>12</v>
      </c>
      <c r="J40" s="47">
        <v>7</v>
      </c>
      <c r="K40" s="30">
        <v>75</v>
      </c>
      <c r="L40" s="30">
        <v>125</v>
      </c>
      <c r="M40" s="30">
        <v>100</v>
      </c>
      <c r="N40" s="30">
        <v>50</v>
      </c>
      <c r="O40" s="29">
        <v>40</v>
      </c>
      <c r="P40" s="31">
        <v>60</v>
      </c>
      <c r="Q40" s="32" t="s">
        <v>2977</v>
      </c>
      <c r="R40" s="34" t="s">
        <v>2978</v>
      </c>
      <c r="S40" s="48" t="s">
        <v>2979</v>
      </c>
    </row>
    <row r="41" ht="26.4" spans="1:19">
      <c r="A41" s="29">
        <v>10004172</v>
      </c>
      <c r="B41" s="30">
        <v>3</v>
      </c>
      <c r="C41" s="46" t="s">
        <v>2980</v>
      </c>
      <c r="D41" s="30" t="s">
        <v>330</v>
      </c>
      <c r="E41" s="29" t="s">
        <v>330</v>
      </c>
      <c r="F41" s="30" t="s">
        <v>1802</v>
      </c>
      <c r="G41" s="30" t="s">
        <v>61</v>
      </c>
      <c r="H41" s="30" t="s">
        <v>1802</v>
      </c>
      <c r="I41" s="30" t="s">
        <v>12</v>
      </c>
      <c r="J41" s="47">
        <v>7</v>
      </c>
      <c r="K41" s="30">
        <v>150</v>
      </c>
      <c r="L41" s="30">
        <v>150</v>
      </c>
      <c r="M41" s="30">
        <v>75</v>
      </c>
      <c r="N41" s="30">
        <v>50</v>
      </c>
      <c r="O41" s="29">
        <v>40</v>
      </c>
      <c r="P41" s="31">
        <v>60</v>
      </c>
      <c r="Q41" s="32" t="s">
        <v>2981</v>
      </c>
      <c r="R41" s="34" t="s">
        <v>2982</v>
      </c>
      <c r="S41" s="48" t="s">
        <v>2983</v>
      </c>
    </row>
    <row r="42" ht="26.4" spans="1:19">
      <c r="A42" s="29">
        <v>10004272</v>
      </c>
      <c r="B42" s="30">
        <v>3</v>
      </c>
      <c r="C42" s="46" t="s">
        <v>2984</v>
      </c>
      <c r="D42" s="30" t="s">
        <v>60</v>
      </c>
      <c r="E42" s="29" t="s">
        <v>60</v>
      </c>
      <c r="F42" s="30" t="s">
        <v>127</v>
      </c>
      <c r="G42" s="30" t="s">
        <v>1802</v>
      </c>
      <c r="H42" s="30" t="s">
        <v>2867</v>
      </c>
      <c r="I42" s="30" t="s">
        <v>2856</v>
      </c>
      <c r="J42" s="47" t="s">
        <v>2840</v>
      </c>
      <c r="K42" s="30">
        <v>100</v>
      </c>
      <c r="L42" s="30">
        <v>100</v>
      </c>
      <c r="M42" s="30">
        <v>100</v>
      </c>
      <c r="N42" s="30">
        <v>30</v>
      </c>
      <c r="O42" s="29">
        <v>40</v>
      </c>
      <c r="P42" s="31">
        <v>60</v>
      </c>
      <c r="Q42" s="32" t="s">
        <v>2985</v>
      </c>
      <c r="R42" s="34" t="s">
        <v>2986</v>
      </c>
      <c r="S42" s="48" t="s">
        <v>2963</v>
      </c>
    </row>
    <row r="43" ht="26.4" spans="1:19">
      <c r="A43" s="29">
        <v>10004472</v>
      </c>
      <c r="B43" s="30">
        <v>3</v>
      </c>
      <c r="C43" s="46" t="s">
        <v>2987</v>
      </c>
      <c r="D43" s="30" t="s">
        <v>50</v>
      </c>
      <c r="E43" s="29" t="s">
        <v>50</v>
      </c>
      <c r="F43" s="30" t="s">
        <v>127</v>
      </c>
      <c r="G43" s="30" t="s">
        <v>1802</v>
      </c>
      <c r="H43" s="30" t="s">
        <v>1802</v>
      </c>
      <c r="I43" s="30" t="s">
        <v>18</v>
      </c>
      <c r="J43" s="47">
        <v>5</v>
      </c>
      <c r="K43" s="30">
        <v>100</v>
      </c>
      <c r="L43" s="30">
        <v>100</v>
      </c>
      <c r="M43" s="30">
        <v>100</v>
      </c>
      <c r="N43" s="30">
        <v>100</v>
      </c>
      <c r="O43" s="29">
        <v>40</v>
      </c>
      <c r="P43" s="31">
        <v>60</v>
      </c>
      <c r="Q43" s="32" t="s">
        <v>2988</v>
      </c>
      <c r="R43" s="34" t="s">
        <v>2989</v>
      </c>
      <c r="S43" s="45" t="s">
        <v>2990</v>
      </c>
    </row>
    <row r="44" ht="26.4" spans="1:19">
      <c r="A44" s="29">
        <v>10004572</v>
      </c>
      <c r="B44" s="30">
        <v>3</v>
      </c>
      <c r="C44" s="46" t="s">
        <v>2991</v>
      </c>
      <c r="D44" s="30" t="s">
        <v>86</v>
      </c>
      <c r="E44" s="29" t="s">
        <v>86</v>
      </c>
      <c r="F44" s="30" t="s">
        <v>54</v>
      </c>
      <c r="G44" s="30" t="s">
        <v>1802</v>
      </c>
      <c r="H44" s="30" t="s">
        <v>1802</v>
      </c>
      <c r="I44" s="30" t="s">
        <v>13</v>
      </c>
      <c r="J44" s="47">
        <v>5</v>
      </c>
      <c r="K44" s="30">
        <v>100</v>
      </c>
      <c r="L44" s="30">
        <v>150</v>
      </c>
      <c r="M44" s="30">
        <v>100</v>
      </c>
      <c r="N44" s="30">
        <v>50</v>
      </c>
      <c r="O44" s="29">
        <v>40</v>
      </c>
      <c r="P44" s="31">
        <v>60</v>
      </c>
      <c r="Q44" s="32" t="s">
        <v>2992</v>
      </c>
      <c r="R44" s="34" t="s">
        <v>2993</v>
      </c>
      <c r="S44" s="48" t="s">
        <v>2994</v>
      </c>
    </row>
    <row r="45" ht="26.4" spans="1:19">
      <c r="A45" s="29">
        <v>10004672</v>
      </c>
      <c r="B45" s="30">
        <v>3</v>
      </c>
      <c r="C45" s="46" t="s">
        <v>2995</v>
      </c>
      <c r="D45" s="30" t="s">
        <v>233</v>
      </c>
      <c r="E45" s="29" t="s">
        <v>233</v>
      </c>
      <c r="F45" s="30" t="s">
        <v>1802</v>
      </c>
      <c r="G45" s="30" t="s">
        <v>1802</v>
      </c>
      <c r="H45" s="30" t="s">
        <v>1802</v>
      </c>
      <c r="I45" s="30" t="s">
        <v>12</v>
      </c>
      <c r="J45" s="47">
        <v>11</v>
      </c>
      <c r="K45" s="30">
        <v>150</v>
      </c>
      <c r="L45" s="30">
        <v>100</v>
      </c>
      <c r="M45" s="30">
        <v>100</v>
      </c>
      <c r="N45" s="30">
        <v>30</v>
      </c>
      <c r="O45" s="29">
        <v>40</v>
      </c>
      <c r="P45" s="31">
        <v>60</v>
      </c>
      <c r="Q45" s="32" t="s">
        <v>2996</v>
      </c>
      <c r="R45" s="34" t="s">
        <v>2997</v>
      </c>
      <c r="S45" s="48" t="s">
        <v>2998</v>
      </c>
    </row>
    <row r="46" ht="26.4" spans="1:19">
      <c r="A46" s="29">
        <v>10004772</v>
      </c>
      <c r="B46" s="30">
        <v>2</v>
      </c>
      <c r="C46" s="46" t="s">
        <v>2999</v>
      </c>
      <c r="D46" s="30" t="s">
        <v>326</v>
      </c>
      <c r="E46" s="29" t="s">
        <v>326</v>
      </c>
      <c r="F46" s="30" t="s">
        <v>1802</v>
      </c>
      <c r="G46" s="30" t="s">
        <v>1802</v>
      </c>
      <c r="H46" s="30" t="s">
        <v>2855</v>
      </c>
      <c r="I46" s="30" t="s">
        <v>2856</v>
      </c>
      <c r="J46" s="47" t="s">
        <v>2840</v>
      </c>
      <c r="K46" s="30">
        <v>100</v>
      </c>
      <c r="L46" s="30">
        <v>50</v>
      </c>
      <c r="M46" s="30">
        <v>100</v>
      </c>
      <c r="N46" s="30">
        <v>50</v>
      </c>
      <c r="O46" s="29">
        <v>40</v>
      </c>
      <c r="P46" s="31">
        <v>60</v>
      </c>
      <c r="Q46" s="32" t="s">
        <v>3000</v>
      </c>
      <c r="R46" s="34" t="s">
        <v>3001</v>
      </c>
      <c r="S46" s="48" t="s">
        <v>3002</v>
      </c>
    </row>
    <row r="47" ht="52.8" spans="1:19">
      <c r="A47" s="29">
        <v>10004872</v>
      </c>
      <c r="B47" s="30">
        <v>2</v>
      </c>
      <c r="C47" s="46" t="s">
        <v>3003</v>
      </c>
      <c r="D47" s="30" t="s">
        <v>326</v>
      </c>
      <c r="E47" s="29" t="s">
        <v>326</v>
      </c>
      <c r="F47" s="30" t="s">
        <v>1802</v>
      </c>
      <c r="G47" s="30" t="s">
        <v>1802</v>
      </c>
      <c r="H47" s="30" t="s">
        <v>1802</v>
      </c>
      <c r="I47" s="30" t="s">
        <v>13</v>
      </c>
      <c r="J47" s="47">
        <v>10</v>
      </c>
      <c r="K47" s="30">
        <v>100</v>
      </c>
      <c r="L47" s="30">
        <v>50</v>
      </c>
      <c r="M47" s="30">
        <v>100</v>
      </c>
      <c r="N47" s="30">
        <v>50</v>
      </c>
      <c r="O47" s="29">
        <v>40</v>
      </c>
      <c r="P47" s="31">
        <v>60</v>
      </c>
      <c r="Q47" s="32" t="s">
        <v>3004</v>
      </c>
      <c r="R47" s="34" t="s">
        <v>3005</v>
      </c>
      <c r="S47" s="48" t="s">
        <v>3006</v>
      </c>
    </row>
    <row r="48" spans="1:19">
      <c r="A48" s="29">
        <v>10005072</v>
      </c>
      <c r="B48" s="30">
        <v>3</v>
      </c>
      <c r="C48" s="46" t="s">
        <v>3007</v>
      </c>
      <c r="D48" s="30" t="s">
        <v>91</v>
      </c>
      <c r="E48" s="29" t="s">
        <v>91</v>
      </c>
      <c r="F48" s="30" t="s">
        <v>1802</v>
      </c>
      <c r="G48" s="30" t="s">
        <v>1802</v>
      </c>
      <c r="H48" s="30" t="s">
        <v>1802</v>
      </c>
      <c r="I48" s="30" t="s">
        <v>15</v>
      </c>
      <c r="J48" s="47">
        <v>7</v>
      </c>
      <c r="K48" s="30">
        <v>150</v>
      </c>
      <c r="L48" s="30">
        <v>125</v>
      </c>
      <c r="M48" s="30">
        <v>150</v>
      </c>
      <c r="N48" s="30">
        <v>45</v>
      </c>
      <c r="O48" s="29">
        <v>40</v>
      </c>
      <c r="P48" s="31">
        <v>60</v>
      </c>
      <c r="Q48" s="32" t="s">
        <v>3008</v>
      </c>
      <c r="R48" s="34" t="s">
        <v>3009</v>
      </c>
      <c r="S48" s="48" t="s">
        <v>3010</v>
      </c>
    </row>
  </sheetData>
  <autoFilter ref="A2:S48">
    <extLst/>
  </autoFilter>
  <mergeCells count="2">
    <mergeCell ref="E1:J1"/>
    <mergeCell ref="K1:N1"/>
  </mergeCells>
  <conditionalFormatting sqref="C3:C88">
    <cfRule type="expression" dxfId="8" priority="1">
      <formula>$B3=3</formula>
    </cfRule>
    <cfRule type="expression" dxfId="5" priority="2">
      <formula>$B3=2</formula>
    </cfRule>
  </conditionalFormatting>
  <pageMargins left="0.7" right="0.7" top="0.75" bottom="0.75" header="0.3" footer="0.3"/>
  <pageSetup paperSize="9" orientation="portrait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tabSelected="1" workbookViewId="0">
      <pane xSplit="2" ySplit="2" topLeftCell="C40" activePane="bottomRight" state="frozen"/>
      <selection/>
      <selection pane="topRight"/>
      <selection pane="bottomLeft"/>
      <selection pane="bottomRight" activeCell="H42" sqref="H42"/>
    </sheetView>
  </sheetViews>
  <sheetFormatPr defaultColWidth="9" defaultRowHeight="13.8"/>
  <cols>
    <col min="1" max="1" width="9.66666666666667" style="27" customWidth="1"/>
    <col min="2" max="2" width="17.3333333333333" style="28" customWidth="1"/>
    <col min="3" max="3" width="9" style="29"/>
    <col min="4" max="5" width="9" style="30"/>
    <col min="6" max="6" width="9" style="31"/>
    <col min="7" max="7" width="21.6666666666667" style="32" customWidth="1"/>
    <col min="8" max="8" width="67.7777777777778" style="33" customWidth="1"/>
    <col min="9" max="9" width="23.7777777777778" style="34" customWidth="1"/>
  </cols>
  <sheetData>
    <row r="1" ht="14.55" spans="1:9">
      <c r="A1" s="35"/>
      <c r="B1" s="36"/>
      <c r="C1" s="37" t="s">
        <v>3011</v>
      </c>
      <c r="D1" s="35"/>
      <c r="E1" s="35"/>
      <c r="F1" s="38"/>
      <c r="G1" s="39"/>
      <c r="H1" s="39"/>
      <c r="I1" s="43"/>
    </row>
    <row r="2" ht="14.55" spans="1:9">
      <c r="A2" s="37"/>
      <c r="B2" s="39" t="s">
        <v>1785</v>
      </c>
      <c r="C2" s="37" t="s">
        <v>8</v>
      </c>
      <c r="D2" s="35" t="s">
        <v>9</v>
      </c>
      <c r="E2" s="35" t="s">
        <v>2825</v>
      </c>
      <c r="F2" s="38" t="s">
        <v>2826</v>
      </c>
      <c r="G2" s="39" t="s">
        <v>2833</v>
      </c>
      <c r="H2" s="40" t="s">
        <v>1796</v>
      </c>
      <c r="I2" s="43" t="s">
        <v>2834</v>
      </c>
    </row>
    <row r="3" spans="1:9">
      <c r="A3" s="27">
        <v>10143</v>
      </c>
      <c r="B3" s="28" t="s">
        <v>3012</v>
      </c>
      <c r="C3" s="29" t="s">
        <v>50</v>
      </c>
      <c r="D3" s="30" t="s">
        <v>61</v>
      </c>
      <c r="E3" s="30" t="s">
        <v>18</v>
      </c>
      <c r="F3" s="31">
        <v>3</v>
      </c>
      <c r="G3" s="41" t="s">
        <v>3013</v>
      </c>
      <c r="H3" s="33" t="s">
        <v>3014</v>
      </c>
      <c r="I3" s="34" t="s">
        <v>3015</v>
      </c>
    </row>
    <row r="4" spans="1:9">
      <c r="A4" s="27">
        <v>10243</v>
      </c>
      <c r="B4" s="28" t="s">
        <v>3016</v>
      </c>
      <c r="C4" s="29" t="s">
        <v>60</v>
      </c>
      <c r="D4" s="30" t="s">
        <v>246</v>
      </c>
      <c r="E4" s="30" t="s">
        <v>12</v>
      </c>
      <c r="F4" s="31">
        <v>3</v>
      </c>
      <c r="G4" s="41" t="s">
        <v>3017</v>
      </c>
      <c r="H4" s="33" t="s">
        <v>3018</v>
      </c>
      <c r="I4" s="34" t="s">
        <v>3019</v>
      </c>
    </row>
    <row r="5" ht="26.4" spans="1:9">
      <c r="A5" s="27">
        <v>10343</v>
      </c>
      <c r="B5" s="28" t="s">
        <v>3020</v>
      </c>
      <c r="C5" s="29" t="s">
        <v>233</v>
      </c>
      <c r="D5" s="30" t="s">
        <v>3021</v>
      </c>
      <c r="E5" s="30" t="s">
        <v>20</v>
      </c>
      <c r="F5" s="31">
        <v>3</v>
      </c>
      <c r="G5" s="41" t="s">
        <v>3022</v>
      </c>
      <c r="H5" s="33" t="s">
        <v>3023</v>
      </c>
      <c r="I5" s="34" t="s">
        <v>3024</v>
      </c>
    </row>
    <row r="6" spans="1:9">
      <c r="A6" s="27">
        <v>10443</v>
      </c>
      <c r="B6" s="28" t="s">
        <v>3025</v>
      </c>
      <c r="C6" s="29" t="s">
        <v>50</v>
      </c>
      <c r="D6" s="30" t="s">
        <v>246</v>
      </c>
      <c r="E6" s="30" t="s">
        <v>12</v>
      </c>
      <c r="F6" s="31">
        <v>3</v>
      </c>
      <c r="G6" s="41" t="s">
        <v>3026</v>
      </c>
      <c r="H6" s="33" t="s">
        <v>3027</v>
      </c>
      <c r="I6" s="34" t="s">
        <v>3028</v>
      </c>
    </row>
    <row r="7" spans="1:9">
      <c r="A7" s="27">
        <v>10543</v>
      </c>
      <c r="B7" s="28" t="s">
        <v>3029</v>
      </c>
      <c r="C7" s="29" t="s">
        <v>86</v>
      </c>
      <c r="D7" s="30" t="s">
        <v>246</v>
      </c>
      <c r="E7" s="30" t="s">
        <v>17</v>
      </c>
      <c r="F7" s="31">
        <v>3</v>
      </c>
      <c r="G7" s="41" t="s">
        <v>3030</v>
      </c>
      <c r="H7" s="33" t="s">
        <v>3031</v>
      </c>
      <c r="I7" s="34" t="s">
        <v>3032</v>
      </c>
    </row>
    <row r="8" spans="1:9">
      <c r="A8" s="27">
        <v>10643</v>
      </c>
      <c r="B8" s="28" t="s">
        <v>3033</v>
      </c>
      <c r="C8" s="29" t="s">
        <v>91</v>
      </c>
      <c r="D8" s="30" t="s">
        <v>246</v>
      </c>
      <c r="E8" s="30" t="s">
        <v>14</v>
      </c>
      <c r="F8" s="31">
        <v>3</v>
      </c>
      <c r="G8" s="41" t="s">
        <v>3034</v>
      </c>
      <c r="H8" s="33" t="s">
        <v>3035</v>
      </c>
      <c r="I8" s="34" t="s">
        <v>3036</v>
      </c>
    </row>
    <row r="9" spans="1:9">
      <c r="A9" s="27">
        <v>10743</v>
      </c>
      <c r="B9" s="28" t="s">
        <v>3037</v>
      </c>
      <c r="C9" s="29" t="s">
        <v>86</v>
      </c>
      <c r="D9" s="30" t="s">
        <v>184</v>
      </c>
      <c r="E9" s="30" t="s">
        <v>17</v>
      </c>
      <c r="F9" s="31">
        <v>3</v>
      </c>
      <c r="G9" s="41" t="s">
        <v>3038</v>
      </c>
      <c r="H9" s="33" t="s">
        <v>3039</v>
      </c>
      <c r="I9" s="34" t="s">
        <v>3040</v>
      </c>
    </row>
    <row r="10" spans="1:9">
      <c r="A10" s="27">
        <v>10843</v>
      </c>
      <c r="B10" s="28" t="s">
        <v>3041</v>
      </c>
      <c r="C10" s="29" t="s">
        <v>326</v>
      </c>
      <c r="D10" s="30" t="s">
        <v>3021</v>
      </c>
      <c r="E10" s="30" t="s">
        <v>12</v>
      </c>
      <c r="F10" s="31">
        <v>2</v>
      </c>
      <c r="G10" s="41" t="s">
        <v>3042</v>
      </c>
      <c r="H10" s="33" t="s">
        <v>3043</v>
      </c>
      <c r="I10" s="34" t="s">
        <v>3044</v>
      </c>
    </row>
    <row r="11" ht="26.4" spans="1:9">
      <c r="A11" s="27">
        <v>10943</v>
      </c>
      <c r="B11" s="28" t="s">
        <v>3045</v>
      </c>
      <c r="C11" s="29" t="s">
        <v>60</v>
      </c>
      <c r="D11" s="30" t="s">
        <v>3021</v>
      </c>
      <c r="E11" s="30" t="s">
        <v>19</v>
      </c>
      <c r="F11" s="31">
        <v>2</v>
      </c>
      <c r="G11" s="41" t="s">
        <v>3046</v>
      </c>
      <c r="H11" s="33" t="s">
        <v>3047</v>
      </c>
      <c r="I11" s="34" t="s">
        <v>3048</v>
      </c>
    </row>
    <row r="12" spans="1:9">
      <c r="A12" s="27">
        <v>11043</v>
      </c>
      <c r="B12" s="28" t="s">
        <v>3049</v>
      </c>
      <c r="C12" s="29" t="s">
        <v>2837</v>
      </c>
      <c r="D12" s="30" t="s">
        <v>61</v>
      </c>
      <c r="E12" s="30" t="s">
        <v>12</v>
      </c>
      <c r="F12" s="31">
        <v>2</v>
      </c>
      <c r="G12" s="41" t="s">
        <v>3050</v>
      </c>
      <c r="H12" s="33" t="s">
        <v>3051</v>
      </c>
      <c r="I12" s="34" t="s">
        <v>3052</v>
      </c>
    </row>
    <row r="13" ht="26.4" spans="1:9">
      <c r="A13" s="27">
        <v>11143</v>
      </c>
      <c r="B13" s="28" t="s">
        <v>3053</v>
      </c>
      <c r="C13" s="29" t="s">
        <v>86</v>
      </c>
      <c r="D13" s="30" t="s">
        <v>157</v>
      </c>
      <c r="E13" s="30" t="s">
        <v>15</v>
      </c>
      <c r="F13" s="31">
        <v>3</v>
      </c>
      <c r="G13" s="41" t="s">
        <v>3054</v>
      </c>
      <c r="H13" s="33" t="s">
        <v>3055</v>
      </c>
      <c r="I13" s="34" t="s">
        <v>3056</v>
      </c>
    </row>
    <row r="14" spans="1:9">
      <c r="A14" s="27">
        <v>11243</v>
      </c>
      <c r="B14" s="28" t="s">
        <v>3057</v>
      </c>
      <c r="C14" s="29" t="s">
        <v>50</v>
      </c>
      <c r="D14" s="30" t="s">
        <v>51</v>
      </c>
      <c r="E14" s="30" t="s">
        <v>12</v>
      </c>
      <c r="F14" s="31">
        <v>2</v>
      </c>
      <c r="G14" s="41" t="s">
        <v>3058</v>
      </c>
      <c r="H14" s="33" t="s">
        <v>3059</v>
      </c>
      <c r="I14" s="34" t="s">
        <v>3060</v>
      </c>
    </row>
    <row r="15" spans="1:9">
      <c r="A15" s="27">
        <v>11343</v>
      </c>
      <c r="B15" s="28" t="s">
        <v>3061</v>
      </c>
      <c r="C15" s="29" t="s">
        <v>60</v>
      </c>
      <c r="D15" s="30" t="s">
        <v>246</v>
      </c>
      <c r="E15" s="30" t="s">
        <v>14</v>
      </c>
      <c r="F15" s="31">
        <v>2</v>
      </c>
      <c r="G15" s="41" t="s">
        <v>3062</v>
      </c>
      <c r="H15" s="33" t="s">
        <v>3063</v>
      </c>
      <c r="I15" s="34" t="s">
        <v>3064</v>
      </c>
    </row>
    <row r="16" spans="1:9">
      <c r="A16" s="27">
        <v>11443</v>
      </c>
      <c r="B16" s="28" t="s">
        <v>3065</v>
      </c>
      <c r="C16" s="29" t="s">
        <v>233</v>
      </c>
      <c r="D16" s="30" t="s">
        <v>3021</v>
      </c>
      <c r="E16" s="30" t="s">
        <v>12</v>
      </c>
      <c r="F16" s="31">
        <v>3</v>
      </c>
      <c r="G16" s="41" t="s">
        <v>3066</v>
      </c>
      <c r="H16" s="33" t="s">
        <v>3067</v>
      </c>
      <c r="I16" s="34" t="s">
        <v>3068</v>
      </c>
    </row>
    <row r="17" ht="26.4" spans="1:9">
      <c r="A17" s="27">
        <v>11543</v>
      </c>
      <c r="B17" s="28" t="s">
        <v>3069</v>
      </c>
      <c r="C17" s="29" t="s">
        <v>91</v>
      </c>
      <c r="D17" s="30" t="s">
        <v>3021</v>
      </c>
      <c r="E17" s="30" t="s">
        <v>18</v>
      </c>
      <c r="F17" s="31">
        <v>3</v>
      </c>
      <c r="G17" s="41" t="s">
        <v>3070</v>
      </c>
      <c r="H17" s="33" t="s">
        <v>3071</v>
      </c>
      <c r="I17" s="34" t="s">
        <v>3072</v>
      </c>
    </row>
    <row r="18" ht="26.4" spans="1:9">
      <c r="A18" s="27">
        <v>11643</v>
      </c>
      <c r="B18" s="28" t="s">
        <v>3073</v>
      </c>
      <c r="C18" s="29" t="s">
        <v>2837</v>
      </c>
      <c r="D18" s="30" t="s">
        <v>3021</v>
      </c>
      <c r="E18" s="30" t="s">
        <v>20</v>
      </c>
      <c r="F18" s="31">
        <v>1</v>
      </c>
      <c r="G18" s="32" t="s">
        <v>3074</v>
      </c>
      <c r="H18" s="33" t="s">
        <v>3075</v>
      </c>
      <c r="I18" s="34" t="s">
        <v>3076</v>
      </c>
    </row>
    <row r="19" spans="1:9">
      <c r="A19" s="27">
        <v>11743</v>
      </c>
      <c r="B19" s="28" t="s">
        <v>3077</v>
      </c>
      <c r="C19" s="29" t="s">
        <v>73</v>
      </c>
      <c r="D19" s="30" t="s">
        <v>51</v>
      </c>
      <c r="E19" s="30" t="s">
        <v>12</v>
      </c>
      <c r="F19" s="31">
        <v>2</v>
      </c>
      <c r="G19" s="32" t="s">
        <v>3078</v>
      </c>
      <c r="H19" s="33" t="s">
        <v>3079</v>
      </c>
      <c r="I19" s="34" t="s">
        <v>3080</v>
      </c>
    </row>
    <row r="20" spans="1:9">
      <c r="A20" s="27">
        <v>11843</v>
      </c>
      <c r="B20" s="28" t="s">
        <v>3081</v>
      </c>
      <c r="C20" s="29" t="s">
        <v>86</v>
      </c>
      <c r="D20" s="30" t="s">
        <v>114</v>
      </c>
      <c r="E20" s="30" t="s">
        <v>19</v>
      </c>
      <c r="F20" s="31">
        <v>2</v>
      </c>
      <c r="G20" s="32" t="s">
        <v>3082</v>
      </c>
      <c r="H20" s="33" t="s">
        <v>3083</v>
      </c>
      <c r="I20" s="34" t="s">
        <v>3084</v>
      </c>
    </row>
    <row r="21" spans="1:9">
      <c r="A21" s="27">
        <v>11943</v>
      </c>
      <c r="B21" s="28" t="s">
        <v>3085</v>
      </c>
      <c r="C21" s="29" t="s">
        <v>2837</v>
      </c>
      <c r="D21" s="30" t="s">
        <v>61</v>
      </c>
      <c r="E21" s="30" t="s">
        <v>15</v>
      </c>
      <c r="F21" s="31">
        <v>2</v>
      </c>
      <c r="G21" s="32" t="s">
        <v>3086</v>
      </c>
      <c r="H21" s="33" t="s">
        <v>3087</v>
      </c>
      <c r="I21" s="34" t="s">
        <v>3088</v>
      </c>
    </row>
    <row r="22" spans="1:9">
      <c r="A22" s="27">
        <v>12043</v>
      </c>
      <c r="B22" s="28" t="s">
        <v>3089</v>
      </c>
      <c r="C22" s="29" t="s">
        <v>50</v>
      </c>
      <c r="D22" s="30" t="s">
        <v>3021</v>
      </c>
      <c r="E22" s="30" t="s">
        <v>15</v>
      </c>
      <c r="F22" s="31">
        <v>3</v>
      </c>
      <c r="G22" s="32" t="s">
        <v>3090</v>
      </c>
      <c r="H22" s="33" t="s">
        <v>3091</v>
      </c>
      <c r="I22" s="34" t="s">
        <v>3092</v>
      </c>
    </row>
    <row r="23" spans="1:9">
      <c r="A23" s="27">
        <v>12143</v>
      </c>
      <c r="B23" s="28" t="s">
        <v>3093</v>
      </c>
      <c r="C23" s="29" t="s">
        <v>2837</v>
      </c>
      <c r="D23" s="30" t="s">
        <v>51</v>
      </c>
      <c r="E23" s="30" t="s">
        <v>19</v>
      </c>
      <c r="F23" s="31">
        <v>2</v>
      </c>
      <c r="G23" s="32" t="s">
        <v>3094</v>
      </c>
      <c r="H23" s="33" t="s">
        <v>3095</v>
      </c>
      <c r="I23" s="34" t="s">
        <v>3096</v>
      </c>
    </row>
    <row r="24" ht="26.4" spans="1:9">
      <c r="A24" s="27">
        <v>12243</v>
      </c>
      <c r="B24" s="28" t="s">
        <v>3097</v>
      </c>
      <c r="C24" s="29" t="s">
        <v>2837</v>
      </c>
      <c r="D24" s="30" t="s">
        <v>61</v>
      </c>
      <c r="E24" s="30" t="s">
        <v>13</v>
      </c>
      <c r="F24" s="31">
        <v>2</v>
      </c>
      <c r="G24" s="32" t="s">
        <v>3098</v>
      </c>
      <c r="H24" s="33" t="s">
        <v>3099</v>
      </c>
      <c r="I24" s="34" t="s">
        <v>3100</v>
      </c>
    </row>
    <row r="25" spans="1:9">
      <c r="A25" s="27">
        <v>12343</v>
      </c>
      <c r="B25" s="28" t="s">
        <v>3101</v>
      </c>
      <c r="C25" s="29" t="s">
        <v>86</v>
      </c>
      <c r="D25" s="30" t="s">
        <v>3021</v>
      </c>
      <c r="E25" s="30" t="s">
        <v>14</v>
      </c>
      <c r="F25" s="31">
        <v>3</v>
      </c>
      <c r="G25" s="32" t="s">
        <v>3102</v>
      </c>
      <c r="H25" s="33" t="s">
        <v>3103</v>
      </c>
      <c r="I25" s="34" t="s">
        <v>3104</v>
      </c>
    </row>
    <row r="26" spans="1:9">
      <c r="A26" s="27">
        <v>12443</v>
      </c>
      <c r="B26" s="28" t="s">
        <v>3105</v>
      </c>
      <c r="C26" s="29" t="s">
        <v>60</v>
      </c>
      <c r="D26" s="30" t="s">
        <v>61</v>
      </c>
      <c r="E26" s="30" t="s">
        <v>12</v>
      </c>
      <c r="F26" s="31">
        <v>3</v>
      </c>
      <c r="G26" s="32" t="s">
        <v>3106</v>
      </c>
      <c r="H26" s="33" t="s">
        <v>3107</v>
      </c>
      <c r="I26" s="44" t="s">
        <v>3108</v>
      </c>
    </row>
    <row r="27" ht="26.4" spans="1:9">
      <c r="A27" s="27">
        <v>12543</v>
      </c>
      <c r="B27" s="28" t="s">
        <v>3109</v>
      </c>
      <c r="C27" s="29" t="s">
        <v>326</v>
      </c>
      <c r="D27" s="30" t="s">
        <v>3021</v>
      </c>
      <c r="E27" s="30" t="s">
        <v>19</v>
      </c>
      <c r="F27" s="31">
        <v>3</v>
      </c>
      <c r="G27" s="32" t="s">
        <v>3110</v>
      </c>
      <c r="H27" s="33" t="s">
        <v>3111</v>
      </c>
      <c r="I27" s="34" t="s">
        <v>3112</v>
      </c>
    </row>
    <row r="28" spans="1:9">
      <c r="A28" s="27">
        <v>12643</v>
      </c>
      <c r="B28" s="28" t="s">
        <v>3113</v>
      </c>
      <c r="C28" s="29" t="s">
        <v>326</v>
      </c>
      <c r="D28" s="30" t="s">
        <v>184</v>
      </c>
      <c r="E28" s="30" t="s">
        <v>12</v>
      </c>
      <c r="F28" s="31">
        <v>3</v>
      </c>
      <c r="G28" s="32" t="s">
        <v>3114</v>
      </c>
      <c r="H28" s="33" t="s">
        <v>3115</v>
      </c>
      <c r="I28" s="34" t="s">
        <v>2967</v>
      </c>
    </row>
    <row r="29" spans="1:9">
      <c r="A29" s="27">
        <v>12743</v>
      </c>
      <c r="B29" s="28" t="s">
        <v>3116</v>
      </c>
      <c r="C29" s="29" t="s">
        <v>73</v>
      </c>
      <c r="D29" s="30" t="s">
        <v>61</v>
      </c>
      <c r="E29" s="30" t="s">
        <v>18</v>
      </c>
      <c r="F29" s="31">
        <v>2</v>
      </c>
      <c r="G29" s="32" t="s">
        <v>3117</v>
      </c>
      <c r="H29" s="33" t="s">
        <v>3118</v>
      </c>
      <c r="I29" s="34" t="s">
        <v>3119</v>
      </c>
    </row>
    <row r="30" ht="26.4" spans="1:9">
      <c r="A30" s="27">
        <v>12843</v>
      </c>
      <c r="B30" s="28" t="s">
        <v>3120</v>
      </c>
      <c r="C30" s="29" t="s">
        <v>73</v>
      </c>
      <c r="D30" s="30" t="s">
        <v>61</v>
      </c>
      <c r="E30" s="30" t="s">
        <v>12</v>
      </c>
      <c r="F30" s="31">
        <v>2</v>
      </c>
      <c r="G30" s="32" t="s">
        <v>3121</v>
      </c>
      <c r="H30" s="33" t="s">
        <v>3122</v>
      </c>
      <c r="I30" s="34" t="s">
        <v>3123</v>
      </c>
    </row>
    <row r="31" ht="26.4" spans="1:9">
      <c r="A31" s="27">
        <v>12943</v>
      </c>
      <c r="B31" s="28" t="s">
        <v>3124</v>
      </c>
      <c r="C31" s="29" t="s">
        <v>86</v>
      </c>
      <c r="D31" s="30" t="s">
        <v>3021</v>
      </c>
      <c r="E31" s="30" t="s">
        <v>19</v>
      </c>
      <c r="F31" s="31">
        <v>2</v>
      </c>
      <c r="G31" s="32" t="s">
        <v>3125</v>
      </c>
      <c r="H31" s="33" t="s">
        <v>3126</v>
      </c>
      <c r="I31" s="34" t="s">
        <v>2759</v>
      </c>
    </row>
    <row r="32" spans="1:9">
      <c r="A32" s="27">
        <v>13043</v>
      </c>
      <c r="B32" s="28" t="s">
        <v>3127</v>
      </c>
      <c r="C32" s="29" t="s">
        <v>2837</v>
      </c>
      <c r="D32" s="30" t="s">
        <v>560</v>
      </c>
      <c r="E32" s="30" t="s">
        <v>14</v>
      </c>
      <c r="F32" s="31">
        <v>2</v>
      </c>
      <c r="G32" s="32" t="s">
        <v>3128</v>
      </c>
      <c r="H32" s="33" t="s">
        <v>3129</v>
      </c>
      <c r="I32" s="45" t="s">
        <v>3130</v>
      </c>
    </row>
    <row r="33" spans="1:9">
      <c r="A33" s="27">
        <v>13143</v>
      </c>
      <c r="B33" s="28" t="s">
        <v>3131</v>
      </c>
      <c r="C33" s="29" t="s">
        <v>330</v>
      </c>
      <c r="D33" s="30" t="s">
        <v>61</v>
      </c>
      <c r="E33" s="30" t="s">
        <v>12</v>
      </c>
      <c r="F33" s="31">
        <v>2</v>
      </c>
      <c r="G33" s="32" t="s">
        <v>3132</v>
      </c>
      <c r="H33" s="33" t="s">
        <v>3133</v>
      </c>
      <c r="I33" s="34" t="s">
        <v>3134</v>
      </c>
    </row>
    <row r="34" spans="1:9">
      <c r="A34" s="27">
        <v>13243</v>
      </c>
      <c r="B34" s="28" t="s">
        <v>3135</v>
      </c>
      <c r="C34" s="29" t="s">
        <v>326</v>
      </c>
      <c r="D34" s="30" t="s">
        <v>3021</v>
      </c>
      <c r="E34" s="30" t="s">
        <v>18</v>
      </c>
      <c r="F34" s="31">
        <v>2</v>
      </c>
      <c r="G34" s="32" t="s">
        <v>3136</v>
      </c>
      <c r="H34" s="33" t="s">
        <v>3137</v>
      </c>
      <c r="I34" s="34" t="s">
        <v>2793</v>
      </c>
    </row>
    <row r="35" spans="1:9">
      <c r="A35" s="27">
        <v>13343</v>
      </c>
      <c r="B35" s="28" t="s">
        <v>3138</v>
      </c>
      <c r="C35" s="29" t="s">
        <v>233</v>
      </c>
      <c r="D35" s="30" t="s">
        <v>3021</v>
      </c>
      <c r="E35" s="30" t="s">
        <v>19</v>
      </c>
      <c r="F35" s="31">
        <v>3</v>
      </c>
      <c r="G35" s="32" t="s">
        <v>3139</v>
      </c>
      <c r="H35" s="33" t="s">
        <v>3140</v>
      </c>
      <c r="I35" s="34" t="s">
        <v>3141</v>
      </c>
    </row>
    <row r="36" spans="1:9">
      <c r="A36" s="27">
        <v>13443</v>
      </c>
      <c r="B36" s="28" t="s">
        <v>3142</v>
      </c>
      <c r="C36" s="29" t="s">
        <v>60</v>
      </c>
      <c r="D36" s="30" t="s">
        <v>246</v>
      </c>
      <c r="E36" s="30" t="s">
        <v>19</v>
      </c>
      <c r="F36" s="31">
        <v>3</v>
      </c>
      <c r="G36" s="32" t="s">
        <v>3143</v>
      </c>
      <c r="H36" s="33" t="s">
        <v>3144</v>
      </c>
      <c r="I36" s="34" t="s">
        <v>1181</v>
      </c>
    </row>
    <row r="37" spans="1:7">
      <c r="A37" s="27">
        <v>13444</v>
      </c>
      <c r="B37" s="28" t="s">
        <v>3145</v>
      </c>
      <c r="C37" s="29" t="s">
        <v>60</v>
      </c>
      <c r="D37" s="30" t="s">
        <v>3021</v>
      </c>
      <c r="E37" s="30" t="s">
        <v>20</v>
      </c>
      <c r="F37" s="31">
        <v>2</v>
      </c>
      <c r="G37" s="32" t="s">
        <v>3146</v>
      </c>
    </row>
    <row r="38" spans="1:7">
      <c r="A38" s="27">
        <v>13445</v>
      </c>
      <c r="B38" s="28" t="s">
        <v>3147</v>
      </c>
      <c r="C38" s="29" t="s">
        <v>86</v>
      </c>
      <c r="D38" s="30" t="s">
        <v>184</v>
      </c>
      <c r="E38" s="30" t="s">
        <v>3148</v>
      </c>
      <c r="F38" s="31">
        <v>2</v>
      </c>
      <c r="G38" s="32" t="s">
        <v>3149</v>
      </c>
    </row>
    <row r="39" spans="1:7">
      <c r="A39" s="27">
        <v>13446</v>
      </c>
      <c r="B39" s="28" t="s">
        <v>3150</v>
      </c>
      <c r="C39" s="29" t="s">
        <v>2837</v>
      </c>
      <c r="D39" s="30" t="s">
        <v>61</v>
      </c>
      <c r="E39" s="30" t="s">
        <v>12</v>
      </c>
      <c r="F39" s="31">
        <v>2</v>
      </c>
      <c r="G39" s="32" t="s">
        <v>3151</v>
      </c>
    </row>
    <row r="40" spans="1:7">
      <c r="A40" s="27">
        <v>13447</v>
      </c>
      <c r="B40" s="28" t="s">
        <v>3152</v>
      </c>
      <c r="C40" s="29" t="s">
        <v>86</v>
      </c>
      <c r="D40" s="30" t="s">
        <v>125</v>
      </c>
      <c r="E40" s="30" t="s">
        <v>125</v>
      </c>
      <c r="F40" s="31">
        <v>2</v>
      </c>
      <c r="G40" s="32" t="s">
        <v>3153</v>
      </c>
    </row>
    <row r="41" spans="1:7">
      <c r="A41" s="27">
        <v>13448</v>
      </c>
      <c r="B41" s="28" t="s">
        <v>3154</v>
      </c>
      <c r="C41" s="29" t="s">
        <v>86</v>
      </c>
      <c r="D41" s="30" t="s">
        <v>61</v>
      </c>
      <c r="E41" s="30" t="s">
        <v>3148</v>
      </c>
      <c r="F41" s="31">
        <v>2</v>
      </c>
      <c r="G41" s="32" t="s">
        <v>3155</v>
      </c>
    </row>
    <row r="42" spans="1:7">
      <c r="A42" s="27">
        <v>13449</v>
      </c>
      <c r="B42" s="28" t="s">
        <v>3156</v>
      </c>
      <c r="C42" s="29" t="s">
        <v>73</v>
      </c>
      <c r="D42" s="30" t="s">
        <v>157</v>
      </c>
      <c r="E42" s="30" t="s">
        <v>12</v>
      </c>
      <c r="F42" s="31">
        <v>2</v>
      </c>
      <c r="G42" s="32" t="s">
        <v>3157</v>
      </c>
    </row>
    <row r="43" spans="1:7">
      <c r="A43" s="27">
        <v>13450</v>
      </c>
      <c r="B43" s="28" t="s">
        <v>3158</v>
      </c>
      <c r="C43" s="29" t="s">
        <v>73</v>
      </c>
      <c r="D43" s="30" t="s">
        <v>3021</v>
      </c>
      <c r="E43" s="30" t="s">
        <v>19</v>
      </c>
      <c r="F43" s="31">
        <v>2</v>
      </c>
      <c r="G43" s="32" t="s">
        <v>3159</v>
      </c>
    </row>
    <row r="44" spans="1:7">
      <c r="A44" s="27">
        <v>13451</v>
      </c>
      <c r="B44" s="28" t="s">
        <v>3160</v>
      </c>
      <c r="C44" s="29" t="s">
        <v>2837</v>
      </c>
      <c r="D44" s="30" t="s">
        <v>61</v>
      </c>
      <c r="E44" s="30" t="s">
        <v>19</v>
      </c>
      <c r="F44" s="31">
        <v>2</v>
      </c>
      <c r="G44" s="32" t="s">
        <v>3161</v>
      </c>
    </row>
    <row r="45" spans="1:7">
      <c r="A45" s="27">
        <v>13452</v>
      </c>
      <c r="B45" s="28" t="s">
        <v>3162</v>
      </c>
      <c r="C45" s="29" t="s">
        <v>2837</v>
      </c>
      <c r="D45" s="30" t="s">
        <v>51</v>
      </c>
      <c r="E45" s="30" t="s">
        <v>13</v>
      </c>
      <c r="F45" s="31">
        <v>2</v>
      </c>
      <c r="G45" s="32" t="s">
        <v>3163</v>
      </c>
    </row>
    <row r="46" spans="1:7">
      <c r="A46" s="27">
        <v>13453</v>
      </c>
      <c r="B46" s="28" t="s">
        <v>3164</v>
      </c>
      <c r="C46" s="29" t="s">
        <v>73</v>
      </c>
      <c r="D46" s="30" t="s">
        <v>114</v>
      </c>
      <c r="E46" s="30" t="s">
        <v>12</v>
      </c>
      <c r="F46" s="31">
        <v>2</v>
      </c>
      <c r="G46" s="32" t="s">
        <v>3165</v>
      </c>
    </row>
    <row r="47" spans="1:7">
      <c r="A47" s="27">
        <v>13454</v>
      </c>
      <c r="B47" s="42" t="s">
        <v>3166</v>
      </c>
      <c r="C47" s="29" t="s">
        <v>233</v>
      </c>
      <c r="D47" s="30" t="s">
        <v>3021</v>
      </c>
      <c r="E47" s="30" t="s">
        <v>12</v>
      </c>
      <c r="F47" s="31">
        <v>2</v>
      </c>
      <c r="G47" s="32" t="s">
        <v>3167</v>
      </c>
    </row>
    <row r="48" spans="1:7">
      <c r="A48" s="27">
        <v>13455</v>
      </c>
      <c r="B48" s="42" t="s">
        <v>3168</v>
      </c>
      <c r="C48" s="29" t="s">
        <v>91</v>
      </c>
      <c r="D48" s="30" t="s">
        <v>3021</v>
      </c>
      <c r="E48" s="30" t="s">
        <v>12</v>
      </c>
      <c r="F48" s="31">
        <v>2</v>
      </c>
      <c r="G48" s="32" t="s">
        <v>3169</v>
      </c>
    </row>
    <row r="49" spans="1:7">
      <c r="A49" s="27">
        <v>13456</v>
      </c>
      <c r="B49" s="42" t="s">
        <v>3170</v>
      </c>
      <c r="C49" s="29" t="s">
        <v>2837</v>
      </c>
      <c r="D49" s="30" t="s">
        <v>3021</v>
      </c>
      <c r="E49" s="30" t="s">
        <v>14</v>
      </c>
      <c r="F49" s="31">
        <v>2</v>
      </c>
      <c r="G49" s="32" t="s">
        <v>3171</v>
      </c>
    </row>
    <row r="50" spans="1:7">
      <c r="A50" s="27">
        <v>13457</v>
      </c>
      <c r="B50" s="42" t="s">
        <v>3172</v>
      </c>
      <c r="C50" s="29" t="s">
        <v>326</v>
      </c>
      <c r="D50" s="30" t="s">
        <v>3021</v>
      </c>
      <c r="E50" s="30" t="s">
        <v>13</v>
      </c>
      <c r="F50" s="31">
        <v>2</v>
      </c>
      <c r="G50" s="32" t="s">
        <v>3173</v>
      </c>
    </row>
    <row r="51" spans="1:7">
      <c r="A51" s="27">
        <v>13458</v>
      </c>
      <c r="B51" s="42" t="s">
        <v>3174</v>
      </c>
      <c r="C51" s="29" t="s">
        <v>2837</v>
      </c>
      <c r="D51" s="30" t="s">
        <v>114</v>
      </c>
      <c r="E51" s="30" t="s">
        <v>3148</v>
      </c>
      <c r="F51" s="31">
        <v>2</v>
      </c>
      <c r="G51" s="32" t="s">
        <v>3175</v>
      </c>
    </row>
    <row r="52" spans="1:7">
      <c r="A52" s="27">
        <v>13459</v>
      </c>
      <c r="B52" s="42" t="s">
        <v>3176</v>
      </c>
      <c r="C52" s="29" t="s">
        <v>2837</v>
      </c>
      <c r="D52" s="30" t="s">
        <v>246</v>
      </c>
      <c r="E52" s="30" t="s">
        <v>14</v>
      </c>
      <c r="F52" s="31">
        <v>2</v>
      </c>
      <c r="G52" s="32" t="s">
        <v>3177</v>
      </c>
    </row>
  </sheetData>
  <autoFilter ref="A2:I52">
    <sortState ref="A2:I52">
      <sortCondition ref="A2:A23"/>
    </sortState>
    <extLst/>
  </autoFilter>
  <mergeCells count="1">
    <mergeCell ref="C1:F1"/>
  </mergeCells>
  <pageMargins left="0.7" right="0.7" top="0.75" bottom="0.75" header="0.3" footer="0.3"/>
  <pageSetup paperSize="9" orientation="portrait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7"/>
  <sheetViews>
    <sheetView topLeftCell="A100" workbookViewId="0">
      <selection activeCell="B107" sqref="B107"/>
    </sheetView>
  </sheetViews>
  <sheetFormatPr defaultColWidth="9" defaultRowHeight="16.2" outlineLevelCol="2"/>
  <cols>
    <col min="1" max="1" width="14.4444444444444" style="1" customWidth="1"/>
    <col min="2" max="2" width="64.7777777777778" style="2" customWidth="1"/>
    <col min="3" max="3" width="52.3333333333333" customWidth="1"/>
  </cols>
  <sheetData>
    <row r="1" ht="16.95" spans="1:2">
      <c r="A1" s="3" t="s">
        <v>3178</v>
      </c>
      <c r="B1" s="4" t="s">
        <v>3179</v>
      </c>
    </row>
    <row r="2" ht="16.95" spans="1:2">
      <c r="A2" s="5" t="s">
        <v>3180</v>
      </c>
      <c r="B2" s="6" t="s">
        <v>3181</v>
      </c>
    </row>
    <row r="3" ht="16.95" spans="1:2">
      <c r="A3" s="5" t="s">
        <v>3182</v>
      </c>
      <c r="B3" s="6" t="s">
        <v>3183</v>
      </c>
    </row>
    <row r="4" ht="13.8" spans="1:2">
      <c r="A4" s="7" t="s">
        <v>3184</v>
      </c>
      <c r="B4" s="8" t="s">
        <v>3185</v>
      </c>
    </row>
    <row r="5" ht="24.75" spans="1:2">
      <c r="A5" s="9"/>
      <c r="B5" s="10" t="s">
        <v>3186</v>
      </c>
    </row>
    <row r="6" ht="13.8" spans="1:2">
      <c r="A6" s="7" t="s">
        <v>3187</v>
      </c>
      <c r="B6" s="8" t="s">
        <v>3188</v>
      </c>
    </row>
    <row r="7" ht="13.8" spans="1:2">
      <c r="A7" s="11"/>
      <c r="B7" s="12" t="s">
        <v>3189</v>
      </c>
    </row>
    <row r="8" ht="14.55" spans="1:2">
      <c r="A8" s="9"/>
      <c r="B8" s="10" t="s">
        <v>3190</v>
      </c>
    </row>
    <row r="9" ht="13.8" spans="1:2">
      <c r="A9" s="7" t="s">
        <v>3191</v>
      </c>
      <c r="B9" s="8" t="s">
        <v>3192</v>
      </c>
    </row>
    <row r="10" ht="14.55" spans="1:2">
      <c r="A10" s="9"/>
      <c r="B10" s="10" t="s">
        <v>3193</v>
      </c>
    </row>
    <row r="11" ht="16.95" spans="1:2">
      <c r="A11" s="11" t="s">
        <v>3194</v>
      </c>
      <c r="B11" s="13" t="s">
        <v>3195</v>
      </c>
    </row>
    <row r="12" ht="13.8" spans="1:2">
      <c r="A12" s="7" t="s">
        <v>3196</v>
      </c>
      <c r="B12" s="8" t="s">
        <v>3197</v>
      </c>
    </row>
    <row r="13" ht="60" spans="1:2">
      <c r="A13" s="11"/>
      <c r="B13" s="12" t="s">
        <v>3198</v>
      </c>
    </row>
    <row r="14" ht="36" spans="1:2">
      <c r="A14" s="11"/>
      <c r="B14" s="12" t="s">
        <v>3199</v>
      </c>
    </row>
    <row r="15" ht="13.8" spans="1:2">
      <c r="A15" s="11"/>
      <c r="B15" s="12" t="s">
        <v>3200</v>
      </c>
    </row>
    <row r="16" ht="14.55" spans="1:2">
      <c r="A16" s="9"/>
      <c r="B16" s="10" t="s">
        <v>3201</v>
      </c>
    </row>
    <row r="17" ht="16.95" spans="1:2">
      <c r="A17" s="5" t="s">
        <v>3202</v>
      </c>
      <c r="B17" s="6" t="s">
        <v>3203</v>
      </c>
    </row>
    <row r="18" ht="16.95" spans="1:2">
      <c r="A18" s="5" t="s">
        <v>3204</v>
      </c>
      <c r="B18" s="6" t="s">
        <v>3205</v>
      </c>
    </row>
    <row r="19" ht="16.95" spans="1:2">
      <c r="A19" s="5" t="s">
        <v>3206</v>
      </c>
      <c r="B19" s="6" t="s">
        <v>3207</v>
      </c>
    </row>
    <row r="20" ht="16.95" spans="1:2">
      <c r="A20" s="5" t="s">
        <v>3208</v>
      </c>
      <c r="B20" s="6" t="s">
        <v>3209</v>
      </c>
    </row>
    <row r="21" ht="16.95" spans="1:2">
      <c r="A21" s="5" t="s">
        <v>3210</v>
      </c>
      <c r="B21" s="6" t="s">
        <v>3211</v>
      </c>
    </row>
    <row r="22" ht="13.8" spans="1:2">
      <c r="A22" s="7" t="s">
        <v>3212</v>
      </c>
      <c r="B22" s="8" t="s">
        <v>3213</v>
      </c>
    </row>
    <row r="23" ht="14.55" spans="1:2">
      <c r="A23" s="9"/>
      <c r="B23" s="10" t="s">
        <v>3214</v>
      </c>
    </row>
    <row r="24" ht="13.8" spans="1:2">
      <c r="A24" s="7" t="s">
        <v>3215</v>
      </c>
      <c r="B24" s="8" t="s">
        <v>3216</v>
      </c>
    </row>
    <row r="25" ht="14.55" spans="1:2">
      <c r="A25" s="9"/>
      <c r="B25" s="10" t="s">
        <v>3217</v>
      </c>
    </row>
    <row r="26" ht="16.95" spans="1:2">
      <c r="A26" s="5" t="s">
        <v>3218</v>
      </c>
      <c r="B26" s="13" t="s">
        <v>3219</v>
      </c>
    </row>
    <row r="27" ht="13.8" spans="1:2">
      <c r="A27" s="7" t="s">
        <v>3220</v>
      </c>
      <c r="B27" s="14" t="s">
        <v>3221</v>
      </c>
    </row>
    <row r="28" ht="13.8" spans="1:2">
      <c r="A28" s="11"/>
      <c r="B28" s="15" t="s">
        <v>3222</v>
      </c>
    </row>
    <row r="29" ht="13.8" spans="1:2">
      <c r="A29" s="11"/>
      <c r="B29" s="15" t="s">
        <v>3223</v>
      </c>
    </row>
    <row r="30" ht="14.55" spans="1:2">
      <c r="A30" s="9"/>
      <c r="B30" s="16" t="s">
        <v>3224</v>
      </c>
    </row>
    <row r="31" ht="24.75" spans="1:2">
      <c r="A31" s="5" t="s">
        <v>3225</v>
      </c>
      <c r="B31" s="6" t="s">
        <v>3226</v>
      </c>
    </row>
    <row r="32" ht="16.95" spans="1:2">
      <c r="A32" s="5" t="s">
        <v>3227</v>
      </c>
      <c r="B32" s="6" t="s">
        <v>3228</v>
      </c>
    </row>
    <row r="33" ht="16.95" spans="1:2">
      <c r="A33" s="5" t="s">
        <v>3229</v>
      </c>
      <c r="B33" s="6" t="s">
        <v>3230</v>
      </c>
    </row>
    <row r="34" ht="24" spans="1:2">
      <c r="A34" s="7" t="s">
        <v>3231</v>
      </c>
      <c r="B34" s="14" t="s">
        <v>3232</v>
      </c>
    </row>
    <row r="35" ht="60" spans="1:2">
      <c r="A35" s="11"/>
      <c r="B35" s="15" t="s">
        <v>3233</v>
      </c>
    </row>
    <row r="36" ht="13.8" spans="1:2">
      <c r="A36" s="11"/>
      <c r="B36" s="15" t="s">
        <v>3234</v>
      </c>
    </row>
    <row r="37" ht="14.55" spans="1:2">
      <c r="A37" s="9"/>
      <c r="B37" s="16" t="s">
        <v>3235</v>
      </c>
    </row>
    <row r="38" ht="16.95" spans="1:2">
      <c r="A38" s="5" t="s">
        <v>3236</v>
      </c>
      <c r="B38" s="13" t="s">
        <v>3237</v>
      </c>
    </row>
    <row r="39" ht="16.95" spans="1:2">
      <c r="A39" s="5" t="s">
        <v>3238</v>
      </c>
      <c r="B39" s="13" t="s">
        <v>3239</v>
      </c>
    </row>
    <row r="40" ht="16.95" spans="1:2">
      <c r="A40" s="5" t="s">
        <v>3240</v>
      </c>
      <c r="B40" s="13" t="s">
        <v>3241</v>
      </c>
    </row>
    <row r="41" ht="16.95" spans="1:2">
      <c r="A41" s="5" t="s">
        <v>3242</v>
      </c>
      <c r="B41" s="6" t="s">
        <v>3243</v>
      </c>
    </row>
    <row r="42" ht="15" customHeight="1" spans="1:2">
      <c r="A42" s="7" t="s">
        <v>3244</v>
      </c>
      <c r="B42" s="14" t="s">
        <v>3245</v>
      </c>
    </row>
    <row r="43" ht="24" spans="1:2">
      <c r="A43" s="11"/>
      <c r="B43" s="15" t="s">
        <v>3246</v>
      </c>
    </row>
    <row r="44" ht="15" customHeight="1" spans="1:2">
      <c r="A44" s="9"/>
      <c r="B44" s="16" t="s">
        <v>3247</v>
      </c>
    </row>
    <row r="45" ht="16.95" spans="1:2">
      <c r="A45" s="5" t="s">
        <v>3248</v>
      </c>
      <c r="B45" s="6" t="s">
        <v>3249</v>
      </c>
    </row>
    <row r="46" ht="15" customHeight="1" spans="1:2">
      <c r="A46" s="7" t="s">
        <v>3250</v>
      </c>
      <c r="B46" s="8" t="s">
        <v>3251</v>
      </c>
    </row>
    <row r="47" ht="15" customHeight="1" spans="1:2">
      <c r="A47" s="11"/>
      <c r="B47" s="12" t="s">
        <v>3252</v>
      </c>
    </row>
    <row r="48" ht="15" customHeight="1" spans="1:2">
      <c r="A48" s="11"/>
      <c r="B48" s="12" t="s">
        <v>3253</v>
      </c>
    </row>
    <row r="49" ht="15" customHeight="1" spans="1:2">
      <c r="A49" s="9"/>
      <c r="B49" s="10" t="s">
        <v>3254</v>
      </c>
    </row>
    <row r="50" ht="16.95" spans="1:2">
      <c r="A50" s="5" t="s">
        <v>3255</v>
      </c>
      <c r="B50" s="13" t="s">
        <v>3256</v>
      </c>
    </row>
    <row r="51" ht="15" customHeight="1" spans="1:3">
      <c r="A51" s="7" t="s">
        <v>3257</v>
      </c>
      <c r="B51" s="14" t="s">
        <v>3258</v>
      </c>
      <c r="C51" s="17" t="s">
        <v>3259</v>
      </c>
    </row>
    <row r="52" ht="24" spans="1:3">
      <c r="A52" s="11"/>
      <c r="B52" s="15" t="s">
        <v>3260</v>
      </c>
      <c r="C52" s="18"/>
    </row>
    <row r="53" ht="15" customHeight="1" spans="1:3">
      <c r="A53" s="9"/>
      <c r="B53" s="15" t="s">
        <v>3261</v>
      </c>
      <c r="C53" s="18"/>
    </row>
    <row r="54" ht="14.25" customHeight="1" spans="1:2">
      <c r="A54" s="7" t="s">
        <v>3262</v>
      </c>
      <c r="B54" s="14" t="s">
        <v>3263</v>
      </c>
    </row>
    <row r="55" ht="15" customHeight="1" spans="1:2">
      <c r="A55" s="11"/>
      <c r="B55" s="15" t="s">
        <v>3264</v>
      </c>
    </row>
    <row r="56" ht="14.55" spans="1:2">
      <c r="A56" s="9"/>
      <c r="B56" s="16" t="s">
        <v>3265</v>
      </c>
    </row>
    <row r="57" ht="24" spans="1:2">
      <c r="A57" s="7" t="s">
        <v>3266</v>
      </c>
      <c r="B57" s="14" t="s">
        <v>3267</v>
      </c>
    </row>
    <row r="58" ht="15" customHeight="1" spans="1:2">
      <c r="A58" s="11"/>
      <c r="B58" s="15" t="s">
        <v>3268</v>
      </c>
    </row>
    <row r="59" ht="15.75" customHeight="1" spans="1:2">
      <c r="A59" s="9"/>
      <c r="B59" s="16" t="s">
        <v>3269</v>
      </c>
    </row>
    <row r="60" ht="16.95" spans="1:2">
      <c r="A60" s="5" t="s">
        <v>3270</v>
      </c>
      <c r="B60" s="6" t="s">
        <v>3271</v>
      </c>
    </row>
    <row r="61" ht="16.95" spans="1:2">
      <c r="A61" s="5" t="s">
        <v>3272</v>
      </c>
      <c r="B61" s="8" t="s">
        <v>3273</v>
      </c>
    </row>
    <row r="62" ht="15.75" customHeight="1" spans="1:2">
      <c r="A62" s="19" t="s">
        <v>3274</v>
      </c>
      <c r="B62" s="14" t="s">
        <v>3275</v>
      </c>
    </row>
    <row r="63" ht="13.8" spans="1:2">
      <c r="A63" s="20"/>
      <c r="B63" s="15" t="s">
        <v>3276</v>
      </c>
    </row>
    <row r="64" ht="14.55" spans="1:2">
      <c r="A64" s="21"/>
      <c r="B64" s="16" t="s">
        <v>3277</v>
      </c>
    </row>
    <row r="65" ht="16.95" spans="1:2">
      <c r="A65" s="7" t="s">
        <v>3278</v>
      </c>
      <c r="B65" s="12" t="s">
        <v>3279</v>
      </c>
    </row>
    <row r="66" ht="15" customHeight="1" spans="1:3">
      <c r="A66" s="19" t="s">
        <v>3280</v>
      </c>
      <c r="B66" s="14" t="s">
        <v>3281</v>
      </c>
      <c r="C66" s="17" t="s">
        <v>3282</v>
      </c>
    </row>
    <row r="67" ht="25.5" customHeight="1" spans="1:3">
      <c r="A67" s="20"/>
      <c r="B67" s="15" t="s">
        <v>3283</v>
      </c>
      <c r="C67" s="17"/>
    </row>
    <row r="68" ht="20.25" customHeight="1" spans="1:3">
      <c r="A68" s="21"/>
      <c r="B68" s="16" t="s">
        <v>3284</v>
      </c>
      <c r="C68" s="22"/>
    </row>
    <row r="69" ht="15" customHeight="1" spans="1:2">
      <c r="A69" s="7" t="s">
        <v>3285</v>
      </c>
      <c r="B69" s="23" t="s">
        <v>3286</v>
      </c>
    </row>
    <row r="70" ht="24" spans="1:2">
      <c r="A70" s="11"/>
      <c r="B70" s="15" t="s">
        <v>3287</v>
      </c>
    </row>
    <row r="71" ht="15" customHeight="1" spans="1:2">
      <c r="A71" s="9"/>
      <c r="B71" s="16" t="s">
        <v>3288</v>
      </c>
    </row>
    <row r="72" ht="16.95" spans="1:2">
      <c r="A72" s="5" t="s">
        <v>3289</v>
      </c>
      <c r="B72" s="24" t="s">
        <v>3290</v>
      </c>
    </row>
    <row r="73" ht="15" customHeight="1" spans="1:2">
      <c r="A73" s="7" t="s">
        <v>3291</v>
      </c>
      <c r="B73" s="14" t="s">
        <v>3292</v>
      </c>
    </row>
    <row r="74" ht="15" customHeight="1" spans="1:2">
      <c r="A74" s="9"/>
      <c r="B74" s="16" t="s">
        <v>3293</v>
      </c>
    </row>
    <row r="75" ht="16.95" spans="1:2">
      <c r="A75" s="5" t="s">
        <v>3294</v>
      </c>
      <c r="B75" s="13" t="s">
        <v>3295</v>
      </c>
    </row>
    <row r="76" ht="15" customHeight="1" spans="1:2">
      <c r="A76" s="7" t="s">
        <v>3296</v>
      </c>
      <c r="B76" s="14" t="s">
        <v>3297</v>
      </c>
    </row>
    <row r="77" ht="15" customHeight="1" spans="1:2">
      <c r="A77" s="9"/>
      <c r="B77" s="15" t="s">
        <v>3298</v>
      </c>
    </row>
    <row r="78" ht="15.75" customHeight="1" spans="1:2">
      <c r="A78" s="19" t="s">
        <v>3299</v>
      </c>
      <c r="B78" s="14" t="s">
        <v>3300</v>
      </c>
    </row>
    <row r="79" ht="15" customHeight="1" spans="1:2">
      <c r="A79" s="21"/>
      <c r="B79" s="16" t="s">
        <v>3301</v>
      </c>
    </row>
    <row r="80" ht="15" customHeight="1" spans="1:2">
      <c r="A80" s="7" t="s">
        <v>3302</v>
      </c>
      <c r="B80" s="14" t="s">
        <v>3303</v>
      </c>
    </row>
    <row r="81" ht="24" spans="1:2">
      <c r="A81" s="11"/>
      <c r="B81" s="15" t="s">
        <v>3304</v>
      </c>
    </row>
    <row r="82" ht="36.75" spans="1:2">
      <c r="A82" s="9"/>
      <c r="B82" s="16" t="s">
        <v>3305</v>
      </c>
    </row>
    <row r="83" ht="16.95" spans="1:2">
      <c r="A83" s="5" t="s">
        <v>3306</v>
      </c>
      <c r="B83" s="6" t="s">
        <v>3307</v>
      </c>
    </row>
    <row r="84" ht="15" customHeight="1" spans="1:2">
      <c r="A84" s="7" t="s">
        <v>3308</v>
      </c>
      <c r="B84" s="8" t="s">
        <v>3309</v>
      </c>
    </row>
    <row r="85" ht="15" customHeight="1" spans="1:2">
      <c r="A85" s="11"/>
      <c r="B85" s="12" t="s">
        <v>3310</v>
      </c>
    </row>
    <row r="86" ht="15" customHeight="1" spans="1:2">
      <c r="A86" s="11"/>
      <c r="B86" s="12" t="s">
        <v>3311</v>
      </c>
    </row>
    <row r="87" ht="15" customHeight="1" spans="1:2">
      <c r="A87" s="9"/>
      <c r="B87" s="10" t="s">
        <v>3312</v>
      </c>
    </row>
    <row r="88" ht="16.95" spans="1:2">
      <c r="A88" s="5" t="s">
        <v>3313</v>
      </c>
      <c r="B88" s="13" t="s">
        <v>3314</v>
      </c>
    </row>
    <row r="89" ht="15" customHeight="1" spans="1:2">
      <c r="A89" s="7" t="s">
        <v>3315</v>
      </c>
      <c r="B89" s="14" t="s">
        <v>3316</v>
      </c>
    </row>
    <row r="90" ht="15" customHeight="1" spans="1:2">
      <c r="A90" s="11"/>
      <c r="B90" s="15" t="s">
        <v>3317</v>
      </c>
    </row>
    <row r="91" ht="15" customHeight="1" spans="1:2">
      <c r="A91" s="11"/>
      <c r="B91" s="15" t="s">
        <v>3318</v>
      </c>
    </row>
    <row r="92" ht="15" customHeight="1" spans="1:2">
      <c r="A92" s="9"/>
      <c r="B92" s="16" t="s">
        <v>3298</v>
      </c>
    </row>
    <row r="93" ht="16.95" spans="1:2">
      <c r="A93" s="5" t="s">
        <v>3319</v>
      </c>
      <c r="B93" s="13" t="s">
        <v>3320</v>
      </c>
    </row>
    <row r="94" ht="15" customHeight="1" spans="1:2">
      <c r="A94" s="7" t="s">
        <v>3321</v>
      </c>
      <c r="B94" s="14" t="s">
        <v>3322</v>
      </c>
    </row>
    <row r="95" ht="15" customHeight="1" spans="1:2">
      <c r="A95" s="9"/>
      <c r="B95" s="15" t="s">
        <v>3323</v>
      </c>
    </row>
    <row r="96" ht="15.75" customHeight="1" spans="1:2">
      <c r="A96" s="25" t="s">
        <v>3324</v>
      </c>
      <c r="B96" s="14" t="s">
        <v>3325</v>
      </c>
    </row>
    <row r="97" ht="15" customHeight="1" spans="1:2">
      <c r="A97" s="26"/>
      <c r="B97" s="15" t="s">
        <v>3326</v>
      </c>
    </row>
    <row r="98" ht="15.75" customHeight="1" spans="1:2">
      <c r="A98" s="26"/>
      <c r="B98" s="16" t="s">
        <v>3327</v>
      </c>
    </row>
    <row r="99" ht="16.95" spans="1:2">
      <c r="A99" s="5" t="s">
        <v>3328</v>
      </c>
      <c r="B99" s="13" t="s">
        <v>3329</v>
      </c>
    </row>
    <row r="100" ht="204" spans="1:2">
      <c r="A100" s="7" t="s">
        <v>3330</v>
      </c>
      <c r="B100" s="14" t="s">
        <v>3331</v>
      </c>
    </row>
    <row r="101" ht="24" spans="1:2">
      <c r="A101" s="11"/>
      <c r="B101" s="15" t="s">
        <v>3332</v>
      </c>
    </row>
    <row r="102" ht="15.75" customHeight="1" spans="1:2">
      <c r="A102" s="11"/>
      <c r="B102" s="15" t="s">
        <v>3333</v>
      </c>
    </row>
    <row r="103" ht="15.75" customHeight="1" spans="1:2">
      <c r="A103" s="9"/>
      <c r="B103" s="16" t="s">
        <v>3334</v>
      </c>
    </row>
    <row r="104" ht="15" customHeight="1" spans="1:2">
      <c r="A104" s="7" t="s">
        <v>3335</v>
      </c>
      <c r="B104" s="14" t="s">
        <v>3336</v>
      </c>
    </row>
    <row r="105" ht="15" customHeight="1" spans="1:2">
      <c r="A105" s="9"/>
      <c r="B105" s="16" t="s">
        <v>3337</v>
      </c>
    </row>
    <row r="106" ht="15" customHeight="1" spans="1:2">
      <c r="A106" s="7" t="s">
        <v>3338</v>
      </c>
      <c r="B106" s="8" t="s">
        <v>3339</v>
      </c>
    </row>
    <row r="107" ht="15" customHeight="1" spans="1:2">
      <c r="A107" s="9"/>
      <c r="B107" s="10" t="s">
        <v>3340</v>
      </c>
    </row>
  </sheetData>
  <mergeCells count="29">
    <mergeCell ref="A4:A5"/>
    <mergeCell ref="A6:A8"/>
    <mergeCell ref="A9:A10"/>
    <mergeCell ref="A12:A16"/>
    <mergeCell ref="A22:A23"/>
    <mergeCell ref="A24:A25"/>
    <mergeCell ref="A27:A30"/>
    <mergeCell ref="A34:A37"/>
    <mergeCell ref="A42:A44"/>
    <mergeCell ref="A46:A49"/>
    <mergeCell ref="A51:A53"/>
    <mergeCell ref="A54:A56"/>
    <mergeCell ref="A57:A59"/>
    <mergeCell ref="A62:A64"/>
    <mergeCell ref="A66:A68"/>
    <mergeCell ref="A69:A71"/>
    <mergeCell ref="A73:A74"/>
    <mergeCell ref="A76:A77"/>
    <mergeCell ref="A78:A79"/>
    <mergeCell ref="A80:A82"/>
    <mergeCell ref="A84:A87"/>
    <mergeCell ref="A89:A92"/>
    <mergeCell ref="A94:A95"/>
    <mergeCell ref="A96:A98"/>
    <mergeCell ref="A100:A103"/>
    <mergeCell ref="A104:A105"/>
    <mergeCell ref="A106:A107"/>
    <mergeCell ref="C51:C53"/>
    <mergeCell ref="C66:C67"/>
  </mergeCells>
  <pageMargins left="0.7" right="0.7" top="0.75" bottom="0.75" header="0.3" footer="0.3"/>
  <pageSetup paperSize="9" orientation="portrait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舰船</vt:lpstr>
      <vt:lpstr>装备</vt:lpstr>
      <vt:lpstr>菜谱</vt:lpstr>
      <vt:lpstr>藏品</vt:lpstr>
      <vt:lpstr>更新说明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cvhime</cp:lastModifiedBy>
  <dcterms:created xsi:type="dcterms:W3CDTF">2019-08-20T09:56:00Z</dcterms:created>
  <dcterms:modified xsi:type="dcterms:W3CDTF">2023-03-04T13:09:42Z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5e1fcb90-44a8-485b-af60-0cffb8cdff0b</vt:lpwstr>
  </property>
  <property fmtid="{D5CDD505-2E9C-101B-9397-08002B2CF9AE}" pid="3" name="KSOProductBuildVer">
    <vt:lpwstr>2052-11.8.2.8411</vt:lpwstr>
  </property>
</Properties>
</file>